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S-Regression\"/>
    </mc:Choice>
  </mc:AlternateContent>
  <bookViews>
    <workbookView xWindow="0" yWindow="120" windowWidth="15600" windowHeight="11640" activeTab="6"/>
  </bookViews>
  <sheets>
    <sheet name="ArdiData" sheetId="21" r:id="rId1"/>
    <sheet name="BookData" sheetId="1" r:id="rId2"/>
    <sheet name="Set1MA" sheetId="22" r:id="rId3"/>
    <sheet name="Set2ES" sheetId="3" r:id="rId4"/>
    <sheet name="Setr2Reg" sheetId="5" r:id="rId5"/>
    <sheet name="Stat.S.T.Reg.Office2" sheetId="4" r:id="rId6"/>
    <sheet name="Set3" sheetId="6" r:id="rId7"/>
  </sheets>
  <definedNames>
    <definedName name="solver_adj" localSheetId="3" hidden="1">Set2ES!$J$1</definedName>
    <definedName name="solver_adj" localSheetId="4" hidden="1">Setr2Reg!$L$1</definedName>
    <definedName name="solver_cvg" localSheetId="3" hidden="1">0.0001</definedName>
    <definedName name="solver_cvg" localSheetId="4" hidden="1">0.0001</definedName>
    <definedName name="solver_drv" localSheetId="3" hidden="1">1</definedName>
    <definedName name="solver_drv" localSheetId="4" hidden="1">1</definedName>
    <definedName name="solver_eng" localSheetId="3" hidden="1">1</definedName>
    <definedName name="solver_eng" localSheetId="4" hidden="1">1</definedName>
    <definedName name="solver_est" localSheetId="3" hidden="1">1</definedName>
    <definedName name="solver_est" localSheetId="4" hidden="1">1</definedName>
    <definedName name="solver_itr" localSheetId="3" hidden="1">2147483647</definedName>
    <definedName name="solver_itr" localSheetId="4" hidden="1">2147483647</definedName>
    <definedName name="solver_lhs1" localSheetId="3" hidden="1">Set2ES!$J$1</definedName>
    <definedName name="solver_lhs1" localSheetId="4" hidden="1">Setr2Reg!$L$1</definedName>
    <definedName name="solver_lhs2" localSheetId="3" hidden="1">Set2ES!$J$1</definedName>
    <definedName name="solver_lhs2" localSheetId="4" hidden="1">Setr2Reg!$L$1</definedName>
    <definedName name="solver_mip" localSheetId="3" hidden="1">2147483647</definedName>
    <definedName name="solver_mip" localSheetId="4" hidden="1">2147483647</definedName>
    <definedName name="solver_mni" localSheetId="3" hidden="1">30</definedName>
    <definedName name="solver_mni" localSheetId="4" hidden="1">30</definedName>
    <definedName name="solver_mrt" localSheetId="3" hidden="1">0.075</definedName>
    <definedName name="solver_mrt" localSheetId="4" hidden="1">0.075</definedName>
    <definedName name="solver_msl" localSheetId="3" hidden="1">2</definedName>
    <definedName name="solver_msl" localSheetId="4" hidden="1">2</definedName>
    <definedName name="solver_neg" localSheetId="3" hidden="1">1</definedName>
    <definedName name="solver_neg" localSheetId="4" hidden="1">1</definedName>
    <definedName name="solver_nod" localSheetId="3" hidden="1">2147483647</definedName>
    <definedName name="solver_nod" localSheetId="4" hidden="1">2147483647</definedName>
    <definedName name="solver_num" localSheetId="3" hidden="1">0</definedName>
    <definedName name="solver_num" localSheetId="4" hidden="1">0</definedName>
    <definedName name="solver_nwt" localSheetId="3" hidden="1">1</definedName>
    <definedName name="solver_nwt" localSheetId="4" hidden="1">1</definedName>
    <definedName name="solver_opt" localSheetId="3" hidden="1">Set2ES!$J$3</definedName>
    <definedName name="solver_opt" localSheetId="4" hidden="1">Setr2Reg!$I$76</definedName>
    <definedName name="solver_pre" localSheetId="3" hidden="1">0.000001</definedName>
    <definedName name="solver_pre" localSheetId="4" hidden="1">0.000001</definedName>
    <definedName name="solver_rbv" localSheetId="3" hidden="1">1</definedName>
    <definedName name="solver_rbv" localSheetId="4" hidden="1">1</definedName>
    <definedName name="solver_rel1" localSheetId="3" hidden="1">1</definedName>
    <definedName name="solver_rel1" localSheetId="4" hidden="1">1</definedName>
    <definedName name="solver_rel2" localSheetId="3" hidden="1">3</definedName>
    <definedName name="solver_rel2" localSheetId="4" hidden="1">3</definedName>
    <definedName name="solver_rhs1" localSheetId="3" hidden="1">1</definedName>
    <definedName name="solver_rhs1" localSheetId="4" hidden="1">1</definedName>
    <definedName name="solver_rhs2" localSheetId="3" hidden="1">0</definedName>
    <definedName name="solver_rhs2" localSheetId="4" hidden="1">0</definedName>
    <definedName name="solver_rlx" localSheetId="3" hidden="1">2</definedName>
    <definedName name="solver_rlx" localSheetId="4" hidden="1">2</definedName>
    <definedName name="solver_rsd" localSheetId="3" hidden="1">0</definedName>
    <definedName name="solver_rsd" localSheetId="4" hidden="1">0</definedName>
    <definedName name="solver_scl" localSheetId="3" hidden="1">1</definedName>
    <definedName name="solver_scl" localSheetId="4" hidden="1">1</definedName>
    <definedName name="solver_sho" localSheetId="3" hidden="1">2</definedName>
    <definedName name="solver_sho" localSheetId="4" hidden="1">2</definedName>
    <definedName name="solver_ssz" localSheetId="3" hidden="1">100</definedName>
    <definedName name="solver_ssz" localSheetId="4" hidden="1">100</definedName>
    <definedName name="solver_tim" localSheetId="3" hidden="1">2147483647</definedName>
    <definedName name="solver_tim" localSheetId="4" hidden="1">2147483647</definedName>
    <definedName name="solver_tol" localSheetId="3" hidden="1">0.01</definedName>
    <definedName name="solver_tol" localSheetId="4" hidden="1">0.01</definedName>
    <definedName name="solver_typ" localSheetId="3" hidden="1">2</definedName>
    <definedName name="solver_typ" localSheetId="4" hidden="1">2</definedName>
    <definedName name="solver_val" localSheetId="3" hidden="1">0</definedName>
    <definedName name="solver_val" localSheetId="4" hidden="1">0</definedName>
    <definedName name="solver_ver" localSheetId="3" hidden="1">3</definedName>
    <definedName name="solver_ver" localSheetId="4" hidden="1">3</definedName>
  </definedNames>
  <calcPr calcId="152511"/>
</workbook>
</file>

<file path=xl/calcChain.xml><?xml version="1.0" encoding="utf-8"?>
<calcChain xmlns="http://schemas.openxmlformats.org/spreadsheetml/2006/main">
  <c r="B1" i="22" l="1"/>
  <c r="A1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2" i="3"/>
  <c r="AE4" i="21" l="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3" i="21"/>
  <c r="H2" i="21" l="1"/>
  <c r="AH1" i="21"/>
  <c r="AG1" i="21"/>
  <c r="AB53" i="21" l="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I2" i="21"/>
  <c r="Y2" i="22"/>
  <c r="D3" i="22"/>
  <c r="E3" i="22" s="1"/>
  <c r="X3" i="22"/>
  <c r="Z3" i="22"/>
  <c r="X4" i="22"/>
  <c r="Z4" i="22"/>
  <c r="X5" i="22"/>
  <c r="Z5" i="22"/>
  <c r="X6" i="22"/>
  <c r="Z6" i="22"/>
  <c r="X7" i="22"/>
  <c r="Z7" i="22"/>
  <c r="X8" i="22"/>
  <c r="Z8" i="22"/>
  <c r="X9" i="22"/>
  <c r="Z9" i="22"/>
  <c r="X10" i="22"/>
  <c r="Z10" i="22"/>
  <c r="X11" i="22"/>
  <c r="Z11" i="22"/>
  <c r="X12" i="22"/>
  <c r="Z12" i="22"/>
  <c r="X13" i="22"/>
  <c r="Z13" i="22"/>
  <c r="X14" i="22"/>
  <c r="Z14" i="22"/>
  <c r="X15" i="22"/>
  <c r="Z15" i="22"/>
  <c r="I16" i="22"/>
  <c r="F1" i="22" s="1"/>
  <c r="X16" i="22"/>
  <c r="Z16" i="22"/>
  <c r="X17" i="22"/>
  <c r="Z17" i="22"/>
  <c r="X18" i="22"/>
  <c r="Z18" i="22"/>
  <c r="X19" i="22"/>
  <c r="Z19" i="22"/>
  <c r="X20" i="22"/>
  <c r="Z20" i="22"/>
  <c r="X21" i="22"/>
  <c r="Z21" i="22"/>
  <c r="X22" i="22"/>
  <c r="Z22" i="22"/>
  <c r="X23" i="22"/>
  <c r="Z23" i="22"/>
  <c r="X24" i="22"/>
  <c r="Z24" i="22"/>
  <c r="X25" i="22"/>
  <c r="Z25" i="22"/>
  <c r="X26" i="22"/>
  <c r="Z26" i="22"/>
  <c r="X27" i="22"/>
  <c r="Z27" i="22"/>
  <c r="X28" i="22"/>
  <c r="Z28" i="22"/>
  <c r="X29" i="22"/>
  <c r="Z29" i="22"/>
  <c r="X30" i="22"/>
  <c r="Z30" i="22"/>
  <c r="X31" i="22"/>
  <c r="Z31" i="22"/>
  <c r="X32" i="22"/>
  <c r="Z32" i="22"/>
  <c r="X33" i="22"/>
  <c r="Z33" i="22"/>
  <c r="X34" i="22"/>
  <c r="Z34" i="22"/>
  <c r="X35" i="22"/>
  <c r="Z35" i="22"/>
  <c r="X36" i="22"/>
  <c r="Z36" i="22"/>
  <c r="X37" i="22"/>
  <c r="Z37" i="22"/>
  <c r="X38" i="22"/>
  <c r="Z38" i="22"/>
  <c r="X39" i="22"/>
  <c r="Z39" i="22"/>
  <c r="X40" i="22"/>
  <c r="Z40" i="22"/>
  <c r="X41" i="22"/>
  <c r="Z41" i="22"/>
  <c r="X42" i="22"/>
  <c r="Z42" i="22"/>
  <c r="X43" i="22"/>
  <c r="Z43" i="22"/>
  <c r="X44" i="22"/>
  <c r="Z44" i="22"/>
  <c r="X45" i="22"/>
  <c r="Z45" i="22"/>
  <c r="X46" i="22"/>
  <c r="Z46" i="22"/>
  <c r="X47" i="22"/>
  <c r="Z47" i="22"/>
  <c r="X48" i="22"/>
  <c r="Z48" i="22"/>
  <c r="X49" i="22"/>
  <c r="Z49" i="22"/>
  <c r="X50" i="22"/>
  <c r="Z50" i="22"/>
  <c r="X51" i="22"/>
  <c r="Z51" i="22"/>
  <c r="X52" i="22"/>
  <c r="Z52" i="22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AB7" i="21"/>
  <c r="AB6" i="21"/>
  <c r="AB5" i="21"/>
  <c r="AB4" i="21"/>
  <c r="AB3" i="21"/>
  <c r="AD60" i="21" l="1"/>
  <c r="AF60" i="21" s="1"/>
  <c r="D60" i="21" s="1"/>
  <c r="B59" i="6" s="1"/>
  <c r="AD76" i="21"/>
  <c r="AF76" i="21" s="1"/>
  <c r="D76" i="21" s="1"/>
  <c r="B75" i="6" s="1"/>
  <c r="AD72" i="21"/>
  <c r="AF72" i="21" s="1"/>
  <c r="D72" i="21" s="1"/>
  <c r="B71" i="6" s="1"/>
  <c r="AD68" i="21"/>
  <c r="AF68" i="21" s="1"/>
  <c r="D68" i="21" s="1"/>
  <c r="B67" i="6" s="1"/>
  <c r="AD56" i="21"/>
  <c r="AF56" i="21" s="1"/>
  <c r="D56" i="21" s="1"/>
  <c r="B55" i="6" s="1"/>
  <c r="AD74" i="21"/>
  <c r="AF74" i="21" s="1"/>
  <c r="D74" i="21" s="1"/>
  <c r="B73" i="6" s="1"/>
  <c r="AD70" i="21"/>
  <c r="AF70" i="21" s="1"/>
  <c r="D70" i="21" s="1"/>
  <c r="B69" i="6" s="1"/>
  <c r="AD66" i="21"/>
  <c r="AF66" i="21" s="1"/>
  <c r="D66" i="21" s="1"/>
  <c r="B65" i="6" s="1"/>
  <c r="AD64" i="21"/>
  <c r="AF64" i="21" s="1"/>
  <c r="D64" i="21" s="1"/>
  <c r="B63" i="6" s="1"/>
  <c r="AD62" i="21"/>
  <c r="AF62" i="21" s="1"/>
  <c r="D62" i="21" s="1"/>
  <c r="B61" i="6" s="1"/>
  <c r="AD54" i="21"/>
  <c r="AF54" i="21" s="1"/>
  <c r="D54" i="21" s="1"/>
  <c r="B53" i="6" s="1"/>
  <c r="AD58" i="21"/>
  <c r="AF58" i="21" s="1"/>
  <c r="D58" i="21" s="1"/>
  <c r="B57" i="6" s="1"/>
  <c r="AD77" i="21"/>
  <c r="AF77" i="21" s="1"/>
  <c r="D77" i="21" s="1"/>
  <c r="B76" i="6" s="1"/>
  <c r="AD75" i="21"/>
  <c r="AF75" i="21" s="1"/>
  <c r="D75" i="21" s="1"/>
  <c r="B74" i="6" s="1"/>
  <c r="AD73" i="21"/>
  <c r="AF73" i="21" s="1"/>
  <c r="D73" i="21" s="1"/>
  <c r="B72" i="6" s="1"/>
  <c r="AD71" i="21"/>
  <c r="AF71" i="21" s="1"/>
  <c r="D71" i="21" s="1"/>
  <c r="B70" i="6" s="1"/>
  <c r="AD69" i="21"/>
  <c r="AF69" i="21" s="1"/>
  <c r="D69" i="21" s="1"/>
  <c r="B68" i="6" s="1"/>
  <c r="AD67" i="21"/>
  <c r="AF67" i="21" s="1"/>
  <c r="D67" i="21" s="1"/>
  <c r="B66" i="6" s="1"/>
  <c r="AD65" i="21"/>
  <c r="AF65" i="21" s="1"/>
  <c r="D65" i="21" s="1"/>
  <c r="B64" i="6" s="1"/>
  <c r="AD63" i="21"/>
  <c r="AF63" i="21" s="1"/>
  <c r="D63" i="21" s="1"/>
  <c r="B62" i="6" s="1"/>
  <c r="AD61" i="21"/>
  <c r="AF61" i="21" s="1"/>
  <c r="D61" i="21" s="1"/>
  <c r="B60" i="6" s="1"/>
  <c r="AD59" i="21"/>
  <c r="AF59" i="21" s="1"/>
  <c r="D59" i="21" s="1"/>
  <c r="B58" i="6" s="1"/>
  <c r="AD57" i="21"/>
  <c r="AF57" i="21" s="1"/>
  <c r="D57" i="21" s="1"/>
  <c r="B56" i="6" s="1"/>
  <c r="AD55" i="21"/>
  <c r="AF55" i="21" s="1"/>
  <c r="D55" i="21" s="1"/>
  <c r="B54" i="6" s="1"/>
  <c r="AD53" i="21"/>
  <c r="AF53" i="21" s="1"/>
  <c r="D53" i="21" s="1"/>
  <c r="B52" i="6" s="1"/>
  <c r="G3" i="21"/>
  <c r="H3" i="21" s="1"/>
  <c r="Y6" i="22"/>
  <c r="AA6" i="22" s="1"/>
  <c r="Y21" i="22"/>
  <c r="AA21" i="22" s="1"/>
  <c r="Y48" i="22"/>
  <c r="AA48" i="22" s="1"/>
  <c r="Y40" i="22"/>
  <c r="AA40" i="22" s="1"/>
  <c r="Y32" i="22"/>
  <c r="AA32" i="22" s="1"/>
  <c r="Y16" i="22"/>
  <c r="AA16" i="22" s="1"/>
  <c r="Y45" i="22"/>
  <c r="AA45" i="22" s="1"/>
  <c r="Y9" i="22"/>
  <c r="AA9" i="22" s="1"/>
  <c r="AD49" i="21"/>
  <c r="AF49" i="21" s="1"/>
  <c r="D49" i="21" s="1"/>
  <c r="B48" i="6" s="1"/>
  <c r="Y14" i="22"/>
  <c r="AA14" i="22" s="1"/>
  <c r="Y24" i="22"/>
  <c r="AA24" i="22" s="1"/>
  <c r="Y29" i="22"/>
  <c r="AA29" i="22" s="1"/>
  <c r="Y37" i="22"/>
  <c r="AA37" i="22" s="1"/>
  <c r="F2" i="22"/>
  <c r="Y3" i="22"/>
  <c r="AA3" i="22" s="1"/>
  <c r="Y10" i="22"/>
  <c r="AA10" i="22" s="1"/>
  <c r="Y17" i="22"/>
  <c r="AA17" i="22" s="1"/>
  <c r="Y25" i="22"/>
  <c r="AA25" i="22" s="1"/>
  <c r="Y33" i="22"/>
  <c r="AA33" i="22" s="1"/>
  <c r="Y41" i="22"/>
  <c r="AA41" i="22" s="1"/>
  <c r="Y49" i="22"/>
  <c r="AA49" i="22" s="1"/>
  <c r="Y20" i="22"/>
  <c r="AA20" i="22" s="1"/>
  <c r="Y36" i="22"/>
  <c r="AA36" i="22" s="1"/>
  <c r="Y11" i="22"/>
  <c r="AA11" i="22" s="1"/>
  <c r="Y18" i="22"/>
  <c r="AA18" i="22" s="1"/>
  <c r="Y26" i="22"/>
  <c r="AA26" i="22" s="1"/>
  <c r="Y34" i="22"/>
  <c r="AA34" i="22" s="1"/>
  <c r="Y42" i="22"/>
  <c r="AA42" i="22" s="1"/>
  <c r="Y50" i="22"/>
  <c r="AA50" i="22" s="1"/>
  <c r="Y44" i="22"/>
  <c r="AA44" i="22" s="1"/>
  <c r="Y4" i="22"/>
  <c r="AA4" i="22" s="1"/>
  <c r="Y12" i="22"/>
  <c r="AA12" i="22" s="1"/>
  <c r="Y19" i="22"/>
  <c r="AA19" i="22" s="1"/>
  <c r="Y27" i="22"/>
  <c r="AA27" i="22" s="1"/>
  <c r="Y35" i="22"/>
  <c r="AA35" i="22" s="1"/>
  <c r="Y43" i="22"/>
  <c r="AA43" i="22" s="1"/>
  <c r="Y51" i="22"/>
  <c r="AA51" i="22" s="1"/>
  <c r="Y5" i="22"/>
  <c r="AA5" i="22" s="1"/>
  <c r="Y13" i="22"/>
  <c r="AA13" i="22" s="1"/>
  <c r="Y28" i="22"/>
  <c r="AA28" i="22" s="1"/>
  <c r="Y52" i="22"/>
  <c r="AA52" i="22" s="1"/>
  <c r="Y7" i="22"/>
  <c r="AA7" i="22" s="1"/>
  <c r="Y15" i="22"/>
  <c r="AA15" i="22" s="1"/>
  <c r="Y22" i="22"/>
  <c r="AA22" i="22" s="1"/>
  <c r="Y30" i="22"/>
  <c r="AA30" i="22" s="1"/>
  <c r="Y38" i="22"/>
  <c r="AA38" i="22" s="1"/>
  <c r="Y46" i="22"/>
  <c r="AA46" i="22" s="1"/>
  <c r="Y8" i="22"/>
  <c r="AA8" i="22" s="1"/>
  <c r="Y23" i="22"/>
  <c r="AA23" i="22" s="1"/>
  <c r="Y31" i="22"/>
  <c r="AA31" i="22" s="1"/>
  <c r="Y39" i="22"/>
  <c r="AA39" i="22" s="1"/>
  <c r="Y47" i="22"/>
  <c r="AA47" i="22" s="1"/>
  <c r="AD25" i="21"/>
  <c r="AF25" i="21" s="1"/>
  <c r="D25" i="21" s="1"/>
  <c r="B24" i="6" s="1"/>
  <c r="AD32" i="21"/>
  <c r="AF32" i="21" s="1"/>
  <c r="D32" i="21" s="1"/>
  <c r="B31" i="6" s="1"/>
  <c r="AD29" i="21"/>
  <c r="AF29" i="21" s="1"/>
  <c r="D29" i="21" s="1"/>
  <c r="B28" i="6" s="1"/>
  <c r="AD33" i="21"/>
  <c r="AF33" i="21" s="1"/>
  <c r="D33" i="21" s="1"/>
  <c r="B32" i="6" s="1"/>
  <c r="AD40" i="21"/>
  <c r="AF40" i="21" s="1"/>
  <c r="D40" i="21" s="1"/>
  <c r="B39" i="6" s="1"/>
  <c r="AD24" i="21"/>
  <c r="AF24" i="21" s="1"/>
  <c r="D24" i="21" s="1"/>
  <c r="B23" i="6" s="1"/>
  <c r="AD13" i="21"/>
  <c r="AF13" i="21" s="1"/>
  <c r="D13" i="21" s="1"/>
  <c r="B12" i="6" s="1"/>
  <c r="AD41" i="21"/>
  <c r="AF41" i="21" s="1"/>
  <c r="D41" i="21" s="1"/>
  <c r="B40" i="6" s="1"/>
  <c r="AD37" i="21"/>
  <c r="AF37" i="21" s="1"/>
  <c r="D37" i="21" s="1"/>
  <c r="B36" i="6" s="1"/>
  <c r="AD9" i="21"/>
  <c r="AF9" i="21" s="1"/>
  <c r="D9" i="21" s="1"/>
  <c r="B8" i="6" s="1"/>
  <c r="AD7" i="21"/>
  <c r="AF7" i="21" s="1"/>
  <c r="D7" i="21" s="1"/>
  <c r="B6" i="6" s="1"/>
  <c r="AD45" i="21"/>
  <c r="AF45" i="21" s="1"/>
  <c r="D45" i="21" s="1"/>
  <c r="B44" i="6" s="1"/>
  <c r="AD17" i="21"/>
  <c r="AF17" i="21" s="1"/>
  <c r="D17" i="21" s="1"/>
  <c r="B16" i="6" s="1"/>
  <c r="AD21" i="21"/>
  <c r="AF21" i="21" s="1"/>
  <c r="D21" i="21" s="1"/>
  <c r="B20" i="6" s="1"/>
  <c r="AD50" i="21"/>
  <c r="AF50" i="21" s="1"/>
  <c r="D50" i="21" s="1"/>
  <c r="B49" i="6" s="1"/>
  <c r="AD42" i="21"/>
  <c r="AF42" i="21" s="1"/>
  <c r="D42" i="21" s="1"/>
  <c r="B41" i="6" s="1"/>
  <c r="AD34" i="21"/>
  <c r="AF34" i="21" s="1"/>
  <c r="D34" i="21" s="1"/>
  <c r="B33" i="6" s="1"/>
  <c r="AD26" i="21"/>
  <c r="AF26" i="21" s="1"/>
  <c r="D26" i="21" s="1"/>
  <c r="B25" i="6" s="1"/>
  <c r="AD18" i="21"/>
  <c r="AF18" i="21" s="1"/>
  <c r="D18" i="21" s="1"/>
  <c r="B17" i="6" s="1"/>
  <c r="AD10" i="21"/>
  <c r="AF10" i="21" s="1"/>
  <c r="D10" i="21" s="1"/>
  <c r="B9" i="6" s="1"/>
  <c r="AD5" i="21"/>
  <c r="AF5" i="21" s="1"/>
  <c r="D5" i="21" s="1"/>
  <c r="B4" i="6" s="1"/>
  <c r="AD52" i="21"/>
  <c r="AF52" i="21" s="1"/>
  <c r="D52" i="21" s="1"/>
  <c r="B51" i="6" s="1"/>
  <c r="AD20" i="21"/>
  <c r="AF20" i="21" s="1"/>
  <c r="D20" i="21" s="1"/>
  <c r="B19" i="6" s="1"/>
  <c r="AD51" i="21"/>
  <c r="AF51" i="21" s="1"/>
  <c r="D51" i="21" s="1"/>
  <c r="B50" i="6" s="1"/>
  <c r="AD43" i="21"/>
  <c r="AF43" i="21" s="1"/>
  <c r="D43" i="21" s="1"/>
  <c r="B42" i="6" s="1"/>
  <c r="AD35" i="21"/>
  <c r="AF35" i="21" s="1"/>
  <c r="D35" i="21" s="1"/>
  <c r="B34" i="6" s="1"/>
  <c r="AD27" i="21"/>
  <c r="AF27" i="21" s="1"/>
  <c r="D27" i="21" s="1"/>
  <c r="B26" i="6" s="1"/>
  <c r="AD19" i="21"/>
  <c r="AF19" i="21" s="1"/>
  <c r="D19" i="21" s="1"/>
  <c r="B18" i="6" s="1"/>
  <c r="AD11" i="21"/>
  <c r="AF11" i="21" s="1"/>
  <c r="D11" i="21" s="1"/>
  <c r="B10" i="6" s="1"/>
  <c r="AD4" i="21"/>
  <c r="AF4" i="21" s="1"/>
  <c r="D4" i="21" s="1"/>
  <c r="B3" i="6" s="1"/>
  <c r="AD44" i="21"/>
  <c r="AF44" i="21" s="1"/>
  <c r="D44" i="21" s="1"/>
  <c r="B43" i="6" s="1"/>
  <c r="AD36" i="21"/>
  <c r="AF36" i="21" s="1"/>
  <c r="D36" i="21" s="1"/>
  <c r="B35" i="6" s="1"/>
  <c r="AD28" i="21"/>
  <c r="AF28" i="21" s="1"/>
  <c r="D28" i="21" s="1"/>
  <c r="B27" i="6" s="1"/>
  <c r="AD12" i="21"/>
  <c r="AF12" i="21" s="1"/>
  <c r="D12" i="21" s="1"/>
  <c r="B11" i="6" s="1"/>
  <c r="AD3" i="21"/>
  <c r="AF3" i="21" s="1"/>
  <c r="AD46" i="21"/>
  <c r="AF46" i="21" s="1"/>
  <c r="D46" i="21" s="1"/>
  <c r="B45" i="6" s="1"/>
  <c r="AD38" i="21"/>
  <c r="AF38" i="21" s="1"/>
  <c r="D38" i="21" s="1"/>
  <c r="B37" i="6" s="1"/>
  <c r="AD30" i="21"/>
  <c r="AF30" i="21" s="1"/>
  <c r="D30" i="21" s="1"/>
  <c r="B29" i="6" s="1"/>
  <c r="AD22" i="21"/>
  <c r="AF22" i="21" s="1"/>
  <c r="D22" i="21" s="1"/>
  <c r="B21" i="6" s="1"/>
  <c r="AD14" i="21"/>
  <c r="AF14" i="21" s="1"/>
  <c r="D14" i="21" s="1"/>
  <c r="B13" i="6" s="1"/>
  <c r="AD47" i="21"/>
  <c r="AF47" i="21" s="1"/>
  <c r="D47" i="21" s="1"/>
  <c r="B46" i="6" s="1"/>
  <c r="AD39" i="21"/>
  <c r="AF39" i="21" s="1"/>
  <c r="D39" i="21" s="1"/>
  <c r="B38" i="6" s="1"/>
  <c r="AD31" i="21"/>
  <c r="AF31" i="21" s="1"/>
  <c r="D31" i="21" s="1"/>
  <c r="B30" i="6" s="1"/>
  <c r="AD23" i="21"/>
  <c r="AF23" i="21" s="1"/>
  <c r="D23" i="21" s="1"/>
  <c r="B22" i="6" s="1"/>
  <c r="AD15" i="21"/>
  <c r="AF15" i="21" s="1"/>
  <c r="D15" i="21" s="1"/>
  <c r="B14" i="6" s="1"/>
  <c r="AD8" i="21"/>
  <c r="AF8" i="21" s="1"/>
  <c r="D8" i="21" s="1"/>
  <c r="B7" i="6" s="1"/>
  <c r="AD48" i="21"/>
  <c r="AF48" i="21" s="1"/>
  <c r="D48" i="21" s="1"/>
  <c r="B47" i="6" s="1"/>
  <c r="AD6" i="21"/>
  <c r="AF6" i="21" s="1"/>
  <c r="D6" i="21" s="1"/>
  <c r="B5" i="6" s="1"/>
  <c r="AD16" i="21"/>
  <c r="AF16" i="21" s="1"/>
  <c r="D16" i="21" s="1"/>
  <c r="B15" i="6" s="1"/>
  <c r="C7" i="21" l="1"/>
  <c r="B6" i="3" s="1"/>
  <c r="C11" i="21"/>
  <c r="B10" i="3" s="1"/>
  <c r="C15" i="21"/>
  <c r="B14" i="3" s="1"/>
  <c r="C19" i="21"/>
  <c r="B18" i="3" s="1"/>
  <c r="C23" i="21"/>
  <c r="B22" i="3" s="1"/>
  <c r="C27" i="21"/>
  <c r="B26" i="3" s="1"/>
  <c r="C31" i="21"/>
  <c r="B30" i="3" s="1"/>
  <c r="C35" i="21"/>
  <c r="B34" i="3" s="1"/>
  <c r="C39" i="21"/>
  <c r="B38" i="3" s="1"/>
  <c r="C43" i="21"/>
  <c r="B42" i="3" s="1"/>
  <c r="C47" i="21"/>
  <c r="B46" i="3" s="1"/>
  <c r="C51" i="21"/>
  <c r="B50" i="3" s="1"/>
  <c r="C55" i="21"/>
  <c r="B54" i="3" s="1"/>
  <c r="C59" i="21"/>
  <c r="B58" i="3" s="1"/>
  <c r="C63" i="21"/>
  <c r="B62" i="3" s="1"/>
  <c r="C67" i="21"/>
  <c r="B66" i="3" s="1"/>
  <c r="C71" i="21"/>
  <c r="B70" i="3" s="1"/>
  <c r="C75" i="21"/>
  <c r="B74" i="3" s="1"/>
  <c r="C4" i="21"/>
  <c r="B3" i="3" s="1"/>
  <c r="C8" i="21"/>
  <c r="C12" i="21"/>
  <c r="C16" i="21"/>
  <c r="B15" i="3" s="1"/>
  <c r="C20" i="21"/>
  <c r="B19" i="3" s="1"/>
  <c r="C24" i="21"/>
  <c r="B23" i="3" s="1"/>
  <c r="C28" i="21"/>
  <c r="C32" i="21"/>
  <c r="B31" i="3" s="1"/>
  <c r="C36" i="21"/>
  <c r="B35" i="3" s="1"/>
  <c r="C40" i="21"/>
  <c r="B39" i="3" s="1"/>
  <c r="C44" i="21"/>
  <c r="B43" i="3" s="1"/>
  <c r="C48" i="21"/>
  <c r="B47" i="3" s="1"/>
  <c r="C52" i="21"/>
  <c r="B51" i="3" s="1"/>
  <c r="C56" i="21"/>
  <c r="B55" i="3" s="1"/>
  <c r="C60" i="21"/>
  <c r="B59" i="3" s="1"/>
  <c r="C64" i="21"/>
  <c r="B63" i="3" s="1"/>
  <c r="C68" i="21"/>
  <c r="B67" i="3" s="1"/>
  <c r="C72" i="21"/>
  <c r="B71" i="3" s="1"/>
  <c r="C76" i="21"/>
  <c r="C5" i="21"/>
  <c r="B4" i="3" s="1"/>
  <c r="C9" i="21"/>
  <c r="B8" i="3" s="1"/>
  <c r="C13" i="21"/>
  <c r="B12" i="3" s="1"/>
  <c r="C17" i="21"/>
  <c r="C21" i="21"/>
  <c r="B20" i="3" s="1"/>
  <c r="C25" i="21"/>
  <c r="B24" i="3" s="1"/>
  <c r="C29" i="21"/>
  <c r="B28" i="3" s="1"/>
  <c r="C33" i="21"/>
  <c r="B32" i="3" s="1"/>
  <c r="C37" i="21"/>
  <c r="B36" i="3" s="1"/>
  <c r="C41" i="21"/>
  <c r="B40" i="3" s="1"/>
  <c r="C45" i="21"/>
  <c r="B44" i="3" s="1"/>
  <c r="C49" i="21"/>
  <c r="B48" i="3" s="1"/>
  <c r="C53" i="21"/>
  <c r="B52" i="3" s="1"/>
  <c r="C57" i="21"/>
  <c r="B56" i="3" s="1"/>
  <c r="C61" i="21"/>
  <c r="B60" i="3" s="1"/>
  <c r="C65" i="21"/>
  <c r="B64" i="3" s="1"/>
  <c r="C69" i="21"/>
  <c r="B68" i="3" s="1"/>
  <c r="C73" i="21"/>
  <c r="B72" i="3" s="1"/>
  <c r="C77" i="21"/>
  <c r="B76" i="3" s="1"/>
  <c r="C6" i="21"/>
  <c r="B5" i="3" s="1"/>
  <c r="C10" i="21"/>
  <c r="B9" i="3" s="1"/>
  <c r="C14" i="21"/>
  <c r="B13" i="3" s="1"/>
  <c r="C18" i="21"/>
  <c r="B17" i="3" s="1"/>
  <c r="C22" i="21"/>
  <c r="B21" i="3" s="1"/>
  <c r="C26" i="21"/>
  <c r="B25" i="3" s="1"/>
  <c r="C30" i="21"/>
  <c r="B29" i="3" s="1"/>
  <c r="C34" i="21"/>
  <c r="B33" i="3" s="1"/>
  <c r="C38" i="21"/>
  <c r="B37" i="3" s="1"/>
  <c r="C42" i="21"/>
  <c r="B41" i="3" s="1"/>
  <c r="C46" i="21"/>
  <c r="B45" i="3" s="1"/>
  <c r="C50" i="21"/>
  <c r="B49" i="3" s="1"/>
  <c r="C54" i="21"/>
  <c r="B53" i="3" s="1"/>
  <c r="C58" i="21"/>
  <c r="B57" i="3" s="1"/>
  <c r="C62" i="21"/>
  <c r="B61" i="3" s="1"/>
  <c r="C66" i="21"/>
  <c r="B65" i="3" s="1"/>
  <c r="C70" i="21"/>
  <c r="B69" i="3" s="1"/>
  <c r="C74" i="21"/>
  <c r="B73" i="3" s="1"/>
  <c r="C3" i="21"/>
  <c r="B7" i="3"/>
  <c r="B11" i="3"/>
  <c r="B27" i="3"/>
  <c r="B75" i="3"/>
  <c r="B16" i="3"/>
  <c r="D3" i="21"/>
  <c r="B2" i="6" s="1"/>
  <c r="B77" i="21"/>
  <c r="B75" i="21"/>
  <c r="B59" i="21"/>
  <c r="B5" i="21"/>
  <c r="B5" i="22" s="1"/>
  <c r="B72" i="21"/>
  <c r="B71" i="21"/>
  <c r="B15" i="21"/>
  <c r="B15" i="22" s="1"/>
  <c r="B41" i="21"/>
  <c r="B41" i="22" s="1"/>
  <c r="B76" i="21"/>
  <c r="B32" i="21"/>
  <c r="B32" i="22" s="1"/>
  <c r="B28" i="21"/>
  <c r="B28" i="22" s="1"/>
  <c r="B74" i="21"/>
  <c r="B17" i="21"/>
  <c r="B17" i="22" s="1"/>
  <c r="B8" i="21"/>
  <c r="B8" i="22" s="1"/>
  <c r="B46" i="21"/>
  <c r="B46" i="22" s="1"/>
  <c r="B60" i="21"/>
  <c r="B57" i="21"/>
  <c r="B23" i="21"/>
  <c r="B23" i="22" s="1"/>
  <c r="B54" i="21"/>
  <c r="B44" i="21"/>
  <c r="B44" i="22" s="1"/>
  <c r="B33" i="21"/>
  <c r="B33" i="22" s="1"/>
  <c r="B31" i="21"/>
  <c r="B31" i="22" s="1"/>
  <c r="B70" i="21"/>
  <c r="B36" i="21"/>
  <c r="B36" i="22" s="1"/>
  <c r="B47" i="21"/>
  <c r="B47" i="22" s="1"/>
  <c r="B49" i="21"/>
  <c r="B49" i="22" s="1"/>
  <c r="B51" i="21"/>
  <c r="B51" i="22" s="1"/>
  <c r="B62" i="21"/>
  <c r="B61" i="21"/>
  <c r="B48" i="21"/>
  <c r="B48" i="22" s="1"/>
  <c r="B38" i="21"/>
  <c r="B38" i="22" s="1"/>
  <c r="B9" i="21"/>
  <c r="B9" i="22" s="1"/>
  <c r="B69" i="21"/>
  <c r="B39" i="21"/>
  <c r="B39" i="22" s="1"/>
  <c r="B64" i="21"/>
  <c r="B30" i="21"/>
  <c r="B30" i="22" s="1"/>
  <c r="B50" i="21"/>
  <c r="B50" i="22" s="1"/>
  <c r="B37" i="21"/>
  <c r="B37" i="22" s="1"/>
  <c r="B16" i="21"/>
  <c r="B16" i="22" s="1"/>
  <c r="B20" i="21"/>
  <c r="B20" i="22" s="1"/>
  <c r="B13" i="21"/>
  <c r="B13" i="22" s="1"/>
  <c r="B43" i="21"/>
  <c r="B43" i="22" s="1"/>
  <c r="B65" i="21"/>
  <c r="B22" i="21"/>
  <c r="B22" i="22" s="1"/>
  <c r="B42" i="21"/>
  <c r="B42" i="22" s="1"/>
  <c r="B12" i="21"/>
  <c r="B12" i="22" s="1"/>
  <c r="B11" i="21"/>
  <c r="B11" i="22" s="1"/>
  <c r="B40" i="21"/>
  <c r="B40" i="22" s="1"/>
  <c r="B55" i="21"/>
  <c r="B53" i="21"/>
  <c r="B10" i="21"/>
  <c r="B10" i="22" s="1"/>
  <c r="B34" i="21"/>
  <c r="B34" i="22" s="1"/>
  <c r="B29" i="21"/>
  <c r="B29" i="22" s="1"/>
  <c r="B68" i="21"/>
  <c r="B4" i="21"/>
  <c r="B4" i="22" s="1"/>
  <c r="B24" i="21"/>
  <c r="B24" i="22" s="1"/>
  <c r="B67" i="21"/>
  <c r="B27" i="21"/>
  <c r="B27" i="22" s="1"/>
  <c r="B35" i="21"/>
  <c r="B35" i="22" s="1"/>
  <c r="B56" i="21"/>
  <c r="B63" i="21"/>
  <c r="B58" i="21"/>
  <c r="B26" i="21"/>
  <c r="B26" i="22" s="1"/>
  <c r="B25" i="21"/>
  <c r="B25" i="22" s="1"/>
  <c r="B18" i="21"/>
  <c r="B18" i="22" s="1"/>
  <c r="B45" i="21"/>
  <c r="B45" i="22" s="1"/>
  <c r="B19" i="21"/>
  <c r="B19" i="22" s="1"/>
  <c r="B7" i="21"/>
  <c r="B7" i="22" s="1"/>
  <c r="B66" i="21"/>
  <c r="B73" i="21"/>
  <c r="B14" i="21"/>
  <c r="B14" i="22" s="1"/>
  <c r="B21" i="21"/>
  <c r="B21" i="22" s="1"/>
  <c r="B52" i="21"/>
  <c r="B52" i="22" s="1"/>
  <c r="B6" i="21"/>
  <c r="B6" i="22" s="1"/>
  <c r="B3" i="21"/>
  <c r="G4" i="21"/>
  <c r="H4" i="21" s="1"/>
  <c r="Q2" i="21" l="1"/>
  <c r="P2" i="21"/>
  <c r="P3" i="21"/>
  <c r="R5" i="21"/>
  <c r="R6" i="21"/>
  <c r="Q6" i="21"/>
  <c r="P6" i="21"/>
  <c r="Q5" i="21"/>
  <c r="P5" i="21"/>
  <c r="R2" i="21"/>
  <c r="R3" i="21"/>
  <c r="Q3" i="21"/>
  <c r="B2" i="3"/>
  <c r="J2" i="21"/>
  <c r="B3" i="22"/>
  <c r="C4" i="22" s="1"/>
  <c r="I3" i="21"/>
  <c r="J3" i="21"/>
  <c r="J4" i="21"/>
  <c r="G5" i="21"/>
  <c r="H5" i="21" s="1"/>
  <c r="I4" i="21"/>
  <c r="R7" i="21" l="1"/>
  <c r="R8" i="21" s="1"/>
  <c r="R4" i="21"/>
  <c r="K2" i="21"/>
  <c r="P7" i="21"/>
  <c r="P8" i="21" s="1"/>
  <c r="P4" i="21"/>
  <c r="K4" i="21"/>
  <c r="K3" i="21"/>
  <c r="Q7" i="21"/>
  <c r="Q8" i="21" s="1"/>
  <c r="Q4" i="21"/>
  <c r="C5" i="22" l="1"/>
  <c r="J5" i="21"/>
  <c r="G6" i="21"/>
  <c r="H6" i="21" s="1"/>
  <c r="I5" i="21"/>
  <c r="K5" i="21" l="1"/>
  <c r="G7" i="21" l="1"/>
  <c r="H7" i="21" s="1"/>
  <c r="J6" i="21"/>
  <c r="I6" i="21"/>
  <c r="K6" i="21" l="1"/>
  <c r="I7" i="21"/>
  <c r="G8" i="21" l="1"/>
  <c r="H8" i="21" s="1"/>
  <c r="J7" i="21"/>
  <c r="K7" i="21" l="1"/>
  <c r="I8" i="21"/>
  <c r="J8" i="21" l="1"/>
  <c r="G9" i="21"/>
  <c r="H9" i="21" s="1"/>
  <c r="F4" i="22"/>
  <c r="C6" i="22" l="1"/>
  <c r="F5" i="22"/>
  <c r="F6" i="22" s="1"/>
  <c r="F7" i="22" s="1"/>
  <c r="F8" i="22" s="1"/>
  <c r="F9" i="22" s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K1" i="22" s="1"/>
  <c r="K3" i="22"/>
  <c r="L3" i="22"/>
  <c r="O3" i="22"/>
  <c r="N3" i="22"/>
  <c r="K8" i="21"/>
  <c r="J9" i="21"/>
  <c r="L2" i="21" l="1"/>
  <c r="M2" i="21"/>
  <c r="M3" i="22"/>
  <c r="K4" i="22" s="1"/>
  <c r="C7" i="22"/>
  <c r="P3" i="22"/>
  <c r="L9" i="21"/>
  <c r="K9" i="21"/>
  <c r="M9" i="21" s="1"/>
  <c r="L3" i="21"/>
  <c r="L4" i="21"/>
  <c r="M3" i="21"/>
  <c r="M4" i="21"/>
  <c r="L5" i="21"/>
  <c r="M5" i="21"/>
  <c r="L6" i="21"/>
  <c r="M6" i="21"/>
  <c r="L7" i="21"/>
  <c r="M7" i="21"/>
  <c r="I9" i="21"/>
  <c r="L8" i="21"/>
  <c r="M8" i="21"/>
  <c r="C8" i="22" l="1"/>
  <c r="C9" i="22" s="1"/>
  <c r="C10" i="22" s="1"/>
  <c r="C11" i="22" s="1"/>
  <c r="C12" i="22" l="1"/>
  <c r="C13" i="22" s="1"/>
  <c r="C14" i="22" s="1"/>
  <c r="C15" i="22" s="1"/>
  <c r="C16" i="22" l="1"/>
  <c r="D16" i="22" l="1"/>
  <c r="C17" i="22"/>
  <c r="D17" i="22" l="1"/>
  <c r="C18" i="22"/>
  <c r="D18" i="22" l="1"/>
  <c r="C19" i="22"/>
  <c r="D19" i="22" l="1"/>
  <c r="C20" i="22"/>
  <c r="D20" i="22" l="1"/>
  <c r="C21" i="22"/>
  <c r="D21" i="22" l="1"/>
  <c r="C22" i="22"/>
  <c r="D22" i="22" l="1"/>
  <c r="C23" i="22"/>
  <c r="D23" i="22" l="1"/>
  <c r="C24" i="22"/>
  <c r="D24" i="22" l="1"/>
  <c r="C25" i="22"/>
  <c r="C26" i="22" l="1"/>
  <c r="D25" i="22"/>
  <c r="D26" i="22" l="1"/>
  <c r="C27" i="22"/>
  <c r="D27" i="22" l="1"/>
  <c r="C28" i="22"/>
  <c r="D28" i="22" l="1"/>
  <c r="C29" i="22"/>
  <c r="D29" i="22" l="1"/>
  <c r="C30" i="22"/>
  <c r="D30" i="22" l="1"/>
  <c r="C31" i="22"/>
  <c r="D31" i="22" l="1"/>
  <c r="C32" i="22"/>
  <c r="C33" i="22" l="1"/>
  <c r="D32" i="22"/>
  <c r="D33" i="22" l="1"/>
  <c r="C34" i="22"/>
  <c r="D34" i="22" l="1"/>
  <c r="C35" i="22"/>
  <c r="D35" i="22" l="1"/>
  <c r="C36" i="22"/>
  <c r="D36" i="22" l="1"/>
  <c r="C37" i="22"/>
  <c r="D37" i="22" l="1"/>
  <c r="C38" i="22"/>
  <c r="D38" i="22" l="1"/>
  <c r="C39" i="22"/>
  <c r="D39" i="22" l="1"/>
  <c r="C40" i="22"/>
  <c r="C41" i="22" l="1"/>
  <c r="D4" i="22" s="1"/>
  <c r="D40" i="22"/>
  <c r="E4" i="22" l="1"/>
  <c r="D41" i="22"/>
  <c r="C42" i="22"/>
  <c r="D5" i="22" s="1"/>
  <c r="E5" i="22" s="1"/>
  <c r="D42" i="22" l="1"/>
  <c r="C43" i="22"/>
  <c r="D6" i="22" s="1"/>
  <c r="E6" i="22" l="1"/>
  <c r="D43" i="22"/>
  <c r="C44" i="22"/>
  <c r="D7" i="22" s="1"/>
  <c r="E7" i="22" s="1"/>
  <c r="C45" i="22" l="1"/>
  <c r="D8" i="22" s="1"/>
  <c r="D44" i="22"/>
  <c r="E8" i="22" l="1"/>
  <c r="D45" i="22"/>
  <c r="C46" i="22"/>
  <c r="D9" i="22" s="1"/>
  <c r="E9" i="22" l="1"/>
  <c r="D46" i="22"/>
  <c r="C47" i="22"/>
  <c r="D10" i="22" s="1"/>
  <c r="E10" i="22" l="1"/>
  <c r="D47" i="22"/>
  <c r="C48" i="22"/>
  <c r="D11" i="22" s="1"/>
  <c r="E11" i="22" s="1"/>
  <c r="C49" i="22" l="1"/>
  <c r="D48" i="22"/>
  <c r="D49" i="22" l="1"/>
  <c r="C50" i="22"/>
  <c r="D12" i="22"/>
  <c r="D50" i="22" l="1"/>
  <c r="C51" i="22"/>
  <c r="D13" i="22"/>
  <c r="E13" i="22" s="1"/>
  <c r="E12" i="22"/>
  <c r="D51" i="22" l="1"/>
  <c r="C52" i="22"/>
  <c r="D14" i="22"/>
  <c r="D52" i="22" l="1"/>
  <c r="D15" i="22"/>
  <c r="E26" i="22" s="1"/>
  <c r="E14" i="22"/>
  <c r="E28" i="22" l="1"/>
  <c r="E41" i="22"/>
  <c r="E15" i="22"/>
  <c r="E42" i="22"/>
  <c r="E23" i="22"/>
  <c r="E37" i="22"/>
  <c r="E21" i="22"/>
  <c r="E44" i="22"/>
  <c r="E27" i="22"/>
  <c r="E17" i="22"/>
  <c r="E20" i="22"/>
  <c r="E40" i="22"/>
  <c r="E31" i="22"/>
  <c r="E50" i="22"/>
  <c r="E29" i="22"/>
  <c r="E24" i="22"/>
  <c r="E33" i="22"/>
  <c r="E47" i="22"/>
  <c r="E43" i="22"/>
  <c r="E49" i="22"/>
  <c r="E22" i="22"/>
  <c r="E45" i="22"/>
  <c r="E32" i="22"/>
  <c r="E25" i="22"/>
  <c r="E39" i="22"/>
  <c r="E36" i="22"/>
  <c r="E34" i="22"/>
  <c r="E48" i="22"/>
  <c r="E51" i="22"/>
  <c r="E38" i="22"/>
  <c r="E18" i="22"/>
  <c r="E16" i="22"/>
  <c r="E52" i="22"/>
  <c r="I3" i="22" s="1"/>
  <c r="E46" i="22"/>
  <c r="E30" i="22"/>
  <c r="E35" i="22"/>
  <c r="E19" i="22"/>
  <c r="B1" i="6" l="1"/>
  <c r="A2" i="6"/>
  <c r="A3" i="6"/>
  <c r="A4" i="6"/>
  <c r="F4" i="6" s="1"/>
  <c r="A5" i="6"/>
  <c r="F5" i="6" s="1"/>
  <c r="A6" i="6"/>
  <c r="F6" i="6" s="1"/>
  <c r="A7" i="6"/>
  <c r="F7" i="6" s="1"/>
  <c r="A8" i="6"/>
  <c r="F8" i="6" s="1"/>
  <c r="A9" i="6"/>
  <c r="F9" i="6" s="1"/>
  <c r="A10" i="6"/>
  <c r="F10" i="6" s="1"/>
  <c r="A11" i="6"/>
  <c r="F11" i="6" s="1"/>
  <c r="A12" i="6"/>
  <c r="F12" i="6" s="1"/>
  <c r="A13" i="6"/>
  <c r="F13" i="6" s="1"/>
  <c r="A14" i="6"/>
  <c r="F14" i="6" s="1"/>
  <c r="A15" i="6"/>
  <c r="F15" i="6" s="1"/>
  <c r="A16" i="6"/>
  <c r="F16" i="6" s="1"/>
  <c r="A17" i="6"/>
  <c r="F17" i="6" s="1"/>
  <c r="A18" i="6"/>
  <c r="F18" i="6" s="1"/>
  <c r="A19" i="6"/>
  <c r="F19" i="6" s="1"/>
  <c r="A20" i="6"/>
  <c r="F20" i="6" s="1"/>
  <c r="A21" i="6"/>
  <c r="F21" i="6" s="1"/>
  <c r="A22" i="6"/>
  <c r="F22" i="6" s="1"/>
  <c r="A23" i="6"/>
  <c r="F23" i="6" s="1"/>
  <c r="A24" i="6"/>
  <c r="F24" i="6" s="1"/>
  <c r="A25" i="6"/>
  <c r="F25" i="6" s="1"/>
  <c r="A26" i="6"/>
  <c r="F26" i="6" s="1"/>
  <c r="A27" i="6"/>
  <c r="F27" i="6" s="1"/>
  <c r="A28" i="6"/>
  <c r="F28" i="6" s="1"/>
  <c r="A29" i="6"/>
  <c r="F29" i="6" s="1"/>
  <c r="A30" i="6"/>
  <c r="F30" i="6" s="1"/>
  <c r="A31" i="6"/>
  <c r="F31" i="6" s="1"/>
  <c r="A32" i="6"/>
  <c r="F32" i="6" s="1"/>
  <c r="A33" i="6"/>
  <c r="F33" i="6" s="1"/>
  <c r="A34" i="6"/>
  <c r="F34" i="6" s="1"/>
  <c r="A35" i="6"/>
  <c r="F35" i="6" s="1"/>
  <c r="A36" i="6"/>
  <c r="F36" i="6" s="1"/>
  <c r="A37" i="6"/>
  <c r="F37" i="6" s="1"/>
  <c r="A38" i="6"/>
  <c r="F38" i="6" s="1"/>
  <c r="A39" i="6"/>
  <c r="F39" i="6" s="1"/>
  <c r="A40" i="6"/>
  <c r="F40" i="6" s="1"/>
  <c r="A41" i="6"/>
  <c r="F41" i="6" s="1"/>
  <c r="A42" i="6"/>
  <c r="F42" i="6" s="1"/>
  <c r="A43" i="6"/>
  <c r="F43" i="6" s="1"/>
  <c r="A44" i="6"/>
  <c r="F44" i="6" s="1"/>
  <c r="A45" i="6"/>
  <c r="F45" i="6" s="1"/>
  <c r="A46" i="6"/>
  <c r="F46" i="6" s="1"/>
  <c r="A47" i="6"/>
  <c r="F47" i="6" s="1"/>
  <c r="A48" i="6"/>
  <c r="F48" i="6" s="1"/>
  <c r="A49" i="6"/>
  <c r="F49" i="6" s="1"/>
  <c r="A50" i="6"/>
  <c r="F50" i="6" s="1"/>
  <c r="A51" i="6"/>
  <c r="F51" i="6" s="1"/>
  <c r="A52" i="6"/>
  <c r="F52" i="6" s="1"/>
  <c r="A53" i="6"/>
  <c r="F53" i="6" s="1"/>
  <c r="A54" i="6"/>
  <c r="F54" i="6" s="1"/>
  <c r="A55" i="6"/>
  <c r="F55" i="6" s="1"/>
  <c r="A56" i="6"/>
  <c r="F56" i="6" s="1"/>
  <c r="A57" i="6"/>
  <c r="F57" i="6" s="1"/>
  <c r="A58" i="6"/>
  <c r="F58" i="6" s="1"/>
  <c r="A59" i="6"/>
  <c r="F59" i="6" s="1"/>
  <c r="A60" i="6"/>
  <c r="F60" i="6" s="1"/>
  <c r="A61" i="6"/>
  <c r="F61" i="6" s="1"/>
  <c r="A62" i="6"/>
  <c r="F62" i="6" s="1"/>
  <c r="A63" i="6"/>
  <c r="F63" i="6" s="1"/>
  <c r="A64" i="6"/>
  <c r="F64" i="6" s="1"/>
  <c r="A65" i="6"/>
  <c r="F65" i="6" s="1"/>
  <c r="A66" i="6"/>
  <c r="F66" i="6" s="1"/>
  <c r="A67" i="6"/>
  <c r="F67" i="6" s="1"/>
  <c r="A68" i="6"/>
  <c r="F68" i="6" s="1"/>
  <c r="A69" i="6"/>
  <c r="F69" i="6" s="1"/>
  <c r="A70" i="6"/>
  <c r="F70" i="6" s="1"/>
  <c r="A71" i="6"/>
  <c r="F71" i="6" s="1"/>
  <c r="A72" i="6"/>
  <c r="F72" i="6" s="1"/>
  <c r="A73" i="6"/>
  <c r="F73" i="6" s="1"/>
  <c r="A74" i="6"/>
  <c r="F74" i="6" s="1"/>
  <c r="A75" i="6"/>
  <c r="F75" i="6" s="1"/>
  <c r="A76" i="6"/>
  <c r="F76" i="6" s="1"/>
  <c r="A1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2" i="5"/>
  <c r="C2" i="5"/>
  <c r="J15" i="3"/>
  <c r="N1" i="3" s="1"/>
  <c r="B1" i="3"/>
  <c r="C57" i="6" l="1"/>
  <c r="C25" i="6"/>
  <c r="C76" i="6"/>
  <c r="C65" i="6"/>
  <c r="C49" i="6"/>
  <c r="C33" i="6"/>
  <c r="C17" i="6"/>
  <c r="C64" i="6"/>
  <c r="C40" i="6"/>
  <c r="C8" i="6"/>
  <c r="C72" i="6"/>
  <c r="C48" i="6"/>
  <c r="C32" i="6"/>
  <c r="C16" i="6"/>
  <c r="C56" i="6"/>
  <c r="C24" i="6"/>
  <c r="C71" i="6"/>
  <c r="C63" i="6"/>
  <c r="C55" i="6"/>
  <c r="C47" i="6"/>
  <c r="C39" i="6"/>
  <c r="C31" i="6"/>
  <c r="C23" i="6"/>
  <c r="C15" i="6"/>
  <c r="C7" i="6"/>
  <c r="C70" i="6"/>
  <c r="C62" i="6"/>
  <c r="C54" i="6"/>
  <c r="C46" i="6"/>
  <c r="C38" i="6"/>
  <c r="C30" i="6"/>
  <c r="C22" i="6"/>
  <c r="C14" i="6"/>
  <c r="C69" i="6"/>
  <c r="C61" i="6"/>
  <c r="C53" i="6"/>
  <c r="C45" i="6"/>
  <c r="C37" i="6"/>
  <c r="C29" i="6"/>
  <c r="C21" i="6"/>
  <c r="C13" i="6"/>
  <c r="C5" i="6"/>
  <c r="C68" i="6"/>
  <c r="C44" i="6"/>
  <c r="C28" i="6"/>
  <c r="C12" i="6"/>
  <c r="C74" i="6"/>
  <c r="C58" i="6"/>
  <c r="C42" i="6"/>
  <c r="C26" i="6"/>
  <c r="C10" i="6"/>
  <c r="C41" i="6"/>
  <c r="C60" i="6"/>
  <c r="C52" i="6"/>
  <c r="C36" i="6"/>
  <c r="C20" i="6"/>
  <c r="C66" i="6"/>
  <c r="C50" i="6"/>
  <c r="C34" i="6"/>
  <c r="C18" i="6"/>
  <c r="C73" i="6"/>
  <c r="C9" i="6"/>
  <c r="C6" i="6"/>
  <c r="C4" i="6"/>
  <c r="C75" i="6"/>
  <c r="C67" i="6"/>
  <c r="C59" i="6"/>
  <c r="C51" i="6"/>
  <c r="C43" i="6"/>
  <c r="C35" i="6"/>
  <c r="C27" i="6"/>
  <c r="C19" i="6"/>
  <c r="C11" i="6"/>
  <c r="D23" i="6" l="1"/>
  <c r="D29" i="6"/>
  <c r="D38" i="6"/>
  <c r="D76" i="6"/>
  <c r="D28" i="6"/>
  <c r="D6" i="6"/>
  <c r="D55" i="6"/>
  <c r="D19" i="6"/>
  <c r="D59" i="6"/>
  <c r="D14" i="6"/>
  <c r="D13" i="6"/>
  <c r="D5" i="6"/>
  <c r="D45" i="6"/>
  <c r="D31" i="6"/>
  <c r="D54" i="6"/>
  <c r="D71" i="6"/>
  <c r="D24" i="6"/>
  <c r="D18" i="6"/>
  <c r="D73" i="6"/>
  <c r="D36" i="6"/>
  <c r="D47" i="6"/>
  <c r="D53" i="6"/>
  <c r="D9" i="6"/>
  <c r="D62" i="6"/>
  <c r="D32" i="6"/>
  <c r="D11" i="6"/>
  <c r="D51" i="6"/>
  <c r="D57" i="6"/>
  <c r="D46" i="6"/>
  <c r="D10" i="6"/>
  <c r="D44" i="6"/>
  <c r="D70" i="6"/>
  <c r="D34" i="6"/>
  <c r="D40" i="6"/>
  <c r="D25" i="6"/>
  <c r="D26" i="6"/>
  <c r="D50" i="6"/>
  <c r="D52" i="6"/>
  <c r="D17" i="6"/>
  <c r="D69" i="6"/>
  <c r="D43" i="6"/>
  <c r="D8" i="6"/>
  <c r="D58" i="6"/>
  <c r="D48" i="6"/>
  <c r="D33" i="6"/>
  <c r="D66" i="6"/>
  <c r="D72" i="6"/>
  <c r="D37" i="6"/>
  <c r="D65" i="6"/>
  <c r="D63" i="6"/>
  <c r="D42" i="6"/>
  <c r="D60" i="6"/>
  <c r="D74" i="6"/>
  <c r="D7" i="6"/>
  <c r="D22" i="6"/>
  <c r="D16" i="6"/>
  <c r="D12" i="6"/>
  <c r="D56" i="6"/>
  <c r="D41" i="6"/>
  <c r="D20" i="6"/>
  <c r="D39" i="6"/>
  <c r="D67" i="6"/>
  <c r="D75" i="6"/>
  <c r="D61" i="6"/>
  <c r="D68" i="6"/>
  <c r="D21" i="6"/>
  <c r="D15" i="6"/>
  <c r="D30" i="6"/>
  <c r="D4" i="6"/>
  <c r="D27" i="6"/>
  <c r="D64" i="6"/>
  <c r="D49" i="6"/>
  <c r="D35" i="6"/>
  <c r="E11" i="6"/>
  <c r="E24" i="5"/>
  <c r="C77" i="5"/>
  <c r="C76" i="5"/>
  <c r="E76" i="5" s="1"/>
  <c r="C75" i="5"/>
  <c r="E75" i="5" s="1"/>
  <c r="C74" i="5"/>
  <c r="E74" i="5" s="1"/>
  <c r="C73" i="5"/>
  <c r="E73" i="5" s="1"/>
  <c r="C72" i="5"/>
  <c r="E72" i="5" s="1"/>
  <c r="C71" i="5"/>
  <c r="E71" i="5" s="1"/>
  <c r="C70" i="5"/>
  <c r="E70" i="5" s="1"/>
  <c r="C69" i="5"/>
  <c r="E69" i="5" s="1"/>
  <c r="C68" i="5"/>
  <c r="E68" i="5" s="1"/>
  <c r="C67" i="5"/>
  <c r="E67" i="5" s="1"/>
  <c r="C66" i="5"/>
  <c r="E66" i="5" s="1"/>
  <c r="C65" i="5"/>
  <c r="E65" i="5" s="1"/>
  <c r="C64" i="5"/>
  <c r="E64" i="5" s="1"/>
  <c r="C63" i="5"/>
  <c r="E63" i="5" s="1"/>
  <c r="C62" i="5"/>
  <c r="E62" i="5" s="1"/>
  <c r="C61" i="5"/>
  <c r="E61" i="5" s="1"/>
  <c r="C60" i="5"/>
  <c r="E60" i="5" s="1"/>
  <c r="C59" i="5"/>
  <c r="E59" i="5" s="1"/>
  <c r="C58" i="5"/>
  <c r="E58" i="5" s="1"/>
  <c r="C57" i="5"/>
  <c r="E57" i="5" s="1"/>
  <c r="C56" i="5"/>
  <c r="E56" i="5" s="1"/>
  <c r="C55" i="5"/>
  <c r="E55" i="5" s="1"/>
  <c r="C54" i="5"/>
  <c r="E54" i="5" s="1"/>
  <c r="C53" i="5"/>
  <c r="E53" i="5" s="1"/>
  <c r="C52" i="5"/>
  <c r="E52" i="5" s="1"/>
  <c r="C51" i="5"/>
  <c r="E51" i="5" s="1"/>
  <c r="C50" i="5"/>
  <c r="E50" i="5" s="1"/>
  <c r="C49" i="5"/>
  <c r="E49" i="5" s="1"/>
  <c r="C48" i="5"/>
  <c r="E48" i="5" s="1"/>
  <c r="C47" i="5"/>
  <c r="E47" i="5" s="1"/>
  <c r="C46" i="5"/>
  <c r="E46" i="5" s="1"/>
  <c r="C45" i="5"/>
  <c r="E45" i="5" s="1"/>
  <c r="C44" i="5"/>
  <c r="E44" i="5" s="1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4" i="5"/>
  <c r="E4" i="5" s="1"/>
  <c r="C3" i="5"/>
  <c r="E3" i="5" s="1"/>
  <c r="E2" i="5"/>
  <c r="F2" i="5" s="1"/>
  <c r="E74" i="6" l="1"/>
  <c r="E46" i="6"/>
  <c r="E73" i="6"/>
  <c r="E38" i="6"/>
  <c r="E39" i="6"/>
  <c r="E45" i="6"/>
  <c r="E57" i="6"/>
  <c r="E63" i="6"/>
  <c r="E18" i="6"/>
  <c r="E14" i="6"/>
  <c r="E29" i="6"/>
  <c r="E53" i="6"/>
  <c r="E34" i="6"/>
  <c r="E59" i="6"/>
  <c r="E23" i="6"/>
  <c r="E4" i="6"/>
  <c r="E69" i="6"/>
  <c r="E19" i="6"/>
  <c r="E61" i="6"/>
  <c r="E70" i="6"/>
  <c r="E54" i="6"/>
  <c r="E30" i="6"/>
  <c r="E15" i="6"/>
  <c r="E41" i="6"/>
  <c r="E42" i="6"/>
  <c r="E58" i="6"/>
  <c r="E25" i="6"/>
  <c r="E51" i="6"/>
  <c r="E13" i="6"/>
  <c r="E62" i="6"/>
  <c r="E75" i="6"/>
  <c r="E7" i="6"/>
  <c r="E10" i="6"/>
  <c r="E5" i="6"/>
  <c r="E50" i="6"/>
  <c r="E21" i="6"/>
  <c r="E37" i="6"/>
  <c r="E71" i="6"/>
  <c r="E22" i="6"/>
  <c r="E9" i="6"/>
  <c r="E27" i="6"/>
  <c r="E66" i="6"/>
  <c r="E6" i="6"/>
  <c r="E55" i="6"/>
  <c r="E31" i="6"/>
  <c r="E47" i="6"/>
  <c r="E26" i="6"/>
  <c r="E43" i="6"/>
  <c r="E67" i="6"/>
  <c r="E60" i="6"/>
  <c r="E56" i="6"/>
  <c r="E49" i="6"/>
  <c r="E35" i="6"/>
  <c r="E28" i="6"/>
  <c r="E24" i="6"/>
  <c r="E17" i="6"/>
  <c r="E52" i="6"/>
  <c r="E76" i="6"/>
  <c r="E72" i="6"/>
  <c r="E65" i="6"/>
  <c r="E44" i="6"/>
  <c r="E40" i="6"/>
  <c r="E33" i="6"/>
  <c r="E12" i="6"/>
  <c r="E8" i="6"/>
  <c r="E48" i="6"/>
  <c r="E20" i="6"/>
  <c r="E16" i="6"/>
  <c r="E68" i="6"/>
  <c r="E64" i="6"/>
  <c r="E36" i="6"/>
  <c r="E32" i="6"/>
  <c r="H2" i="5"/>
  <c r="I2" i="5" s="1"/>
  <c r="F3" i="5"/>
  <c r="G3" i="5" s="1"/>
  <c r="H3" i="5"/>
  <c r="G2" i="5"/>
  <c r="C2" i="3"/>
  <c r="C3" i="3" s="1"/>
  <c r="C4" i="3" s="1"/>
  <c r="I1" i="6" l="1"/>
  <c r="I3" i="6"/>
  <c r="I5" i="6"/>
  <c r="I2" i="6"/>
  <c r="I4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I3" i="5"/>
  <c r="D2" i="3"/>
  <c r="H4" i="5"/>
  <c r="F4" i="5"/>
  <c r="D3" i="3"/>
  <c r="G3" i="1"/>
  <c r="H2" i="1"/>
  <c r="P9" i="1"/>
  <c r="Q9" i="1"/>
  <c r="O9" i="1"/>
  <c r="P2" i="1"/>
  <c r="Q2" i="1"/>
  <c r="O2" i="1"/>
  <c r="P6" i="1"/>
  <c r="P7" i="1" s="1"/>
  <c r="Q6" i="1"/>
  <c r="O6" i="1"/>
  <c r="O7" i="1" s="1"/>
  <c r="P4" i="1"/>
  <c r="Q4" i="1"/>
  <c r="O4" i="1"/>
  <c r="P3" i="1"/>
  <c r="Q3" i="1"/>
  <c r="O3" i="1"/>
  <c r="O5" i="1" s="1"/>
  <c r="I6" i="6" l="1"/>
  <c r="J1" i="6" s="1"/>
  <c r="O8" i="1"/>
  <c r="Q7" i="1"/>
  <c r="F2" i="1"/>
  <c r="I2" i="1"/>
  <c r="J2" i="1" s="1"/>
  <c r="Q5" i="1"/>
  <c r="Q8" i="1" s="1"/>
  <c r="P5" i="1"/>
  <c r="P8" i="1" s="1"/>
  <c r="H3" i="1"/>
  <c r="F3" i="1" s="1"/>
  <c r="G2" i="3"/>
  <c r="H2" i="3" s="1"/>
  <c r="E2" i="3"/>
  <c r="F2" i="3" s="1"/>
  <c r="G4" i="5"/>
  <c r="I4" i="5"/>
  <c r="H5" i="5"/>
  <c r="F5" i="5"/>
  <c r="E3" i="3"/>
  <c r="G3" i="3"/>
  <c r="D4" i="3"/>
  <c r="G42" i="6" l="1"/>
  <c r="G52" i="6"/>
  <c r="G37" i="6"/>
  <c r="G12" i="6"/>
  <c r="G22" i="6"/>
  <c r="G72" i="6"/>
  <c r="G7" i="6"/>
  <c r="G67" i="6"/>
  <c r="G57" i="6"/>
  <c r="G62" i="6"/>
  <c r="G47" i="6"/>
  <c r="G17" i="6"/>
  <c r="G27" i="6"/>
  <c r="G32" i="6"/>
  <c r="J2" i="6"/>
  <c r="J4" i="6"/>
  <c r="J3" i="6"/>
  <c r="J5" i="6"/>
  <c r="G4" i="1"/>
  <c r="H4" i="1" s="1"/>
  <c r="I3" i="1"/>
  <c r="J3" i="1" s="1"/>
  <c r="H3" i="3"/>
  <c r="F3" i="3"/>
  <c r="I5" i="5"/>
  <c r="G5" i="5"/>
  <c r="H6" i="5"/>
  <c r="I6" i="5" s="1"/>
  <c r="F6" i="5"/>
  <c r="E4" i="3"/>
  <c r="G4" i="3"/>
  <c r="D5" i="3"/>
  <c r="G6" i="6" l="1"/>
  <c r="G16" i="6"/>
  <c r="G66" i="6"/>
  <c r="G11" i="6"/>
  <c r="G46" i="6"/>
  <c r="G51" i="6"/>
  <c r="G71" i="6"/>
  <c r="G76" i="6"/>
  <c r="G21" i="6"/>
  <c r="G36" i="6"/>
  <c r="G61" i="6"/>
  <c r="G31" i="6"/>
  <c r="G26" i="6"/>
  <c r="G56" i="6"/>
  <c r="G41" i="6"/>
  <c r="G4" i="6"/>
  <c r="G29" i="6"/>
  <c r="G24" i="6"/>
  <c r="G64" i="6"/>
  <c r="G9" i="6"/>
  <c r="G34" i="6"/>
  <c r="G74" i="6"/>
  <c r="G49" i="6"/>
  <c r="G19" i="6"/>
  <c r="G69" i="6"/>
  <c r="G59" i="6"/>
  <c r="G39" i="6"/>
  <c r="G44" i="6"/>
  <c r="G54" i="6"/>
  <c r="G14" i="6"/>
  <c r="G5" i="6"/>
  <c r="G35" i="6"/>
  <c r="G25" i="6"/>
  <c r="G20" i="6"/>
  <c r="G75" i="6"/>
  <c r="G55" i="6"/>
  <c r="G45" i="6"/>
  <c r="G70" i="6"/>
  <c r="G40" i="6"/>
  <c r="G65" i="6"/>
  <c r="G50" i="6"/>
  <c r="G15" i="6"/>
  <c r="G60" i="6"/>
  <c r="G30" i="6"/>
  <c r="G10" i="6"/>
  <c r="G38" i="6"/>
  <c r="G48" i="6"/>
  <c r="G8" i="6"/>
  <c r="G33" i="6"/>
  <c r="G43" i="6"/>
  <c r="G73" i="6"/>
  <c r="G13" i="6"/>
  <c r="G63" i="6"/>
  <c r="G58" i="6"/>
  <c r="G68" i="6"/>
  <c r="G53" i="6"/>
  <c r="G18" i="6"/>
  <c r="G23" i="6"/>
  <c r="G28" i="6"/>
  <c r="J6" i="6"/>
  <c r="G5" i="1"/>
  <c r="H5" i="1" s="1"/>
  <c r="I4" i="1"/>
  <c r="J4" i="1" s="1"/>
  <c r="F4" i="1"/>
  <c r="F4" i="3"/>
  <c r="H4" i="3"/>
  <c r="G6" i="5"/>
  <c r="F7" i="5"/>
  <c r="G7" i="5" s="1"/>
  <c r="H7" i="5"/>
  <c r="E5" i="3"/>
  <c r="F5" i="3" s="1"/>
  <c r="G5" i="3"/>
  <c r="D6" i="3"/>
  <c r="G6" i="1" l="1"/>
  <c r="H6" i="1" s="1"/>
  <c r="I5" i="1"/>
  <c r="J5" i="1" s="1"/>
  <c r="F5" i="1"/>
  <c r="H5" i="3"/>
  <c r="I7" i="5"/>
  <c r="F8" i="5"/>
  <c r="G8" i="5" s="1"/>
  <c r="H8" i="5"/>
  <c r="E6" i="3"/>
  <c r="F6" i="3" s="1"/>
  <c r="G6" i="3"/>
  <c r="D7" i="3"/>
  <c r="G7" i="1" l="1"/>
  <c r="H7" i="1" s="1"/>
  <c r="I6" i="1"/>
  <c r="J6" i="1" s="1"/>
  <c r="F6" i="1"/>
  <c r="H6" i="3"/>
  <c r="I8" i="5"/>
  <c r="H9" i="5"/>
  <c r="I9" i="5" s="1"/>
  <c r="F9" i="5"/>
  <c r="G9" i="5" s="1"/>
  <c r="E7" i="3"/>
  <c r="F7" i="3" s="1"/>
  <c r="G7" i="3"/>
  <c r="H7" i="3" s="1"/>
  <c r="D8" i="3"/>
  <c r="G8" i="1" l="1"/>
  <c r="I7" i="1"/>
  <c r="J7" i="1" s="1"/>
  <c r="F7" i="1"/>
  <c r="H8" i="1"/>
  <c r="H10" i="5"/>
  <c r="F10" i="5"/>
  <c r="E8" i="3"/>
  <c r="F8" i="3" s="1"/>
  <c r="G8" i="3"/>
  <c r="H8" i="3" s="1"/>
  <c r="D9" i="3"/>
  <c r="G9" i="1" l="1"/>
  <c r="I8" i="1"/>
  <c r="J8" i="1" s="1"/>
  <c r="F8" i="1"/>
  <c r="H9" i="1"/>
  <c r="G10" i="5"/>
  <c r="I10" i="5"/>
  <c r="H11" i="5"/>
  <c r="I11" i="5" s="1"/>
  <c r="F11" i="5"/>
  <c r="G11" i="5" s="1"/>
  <c r="E9" i="3"/>
  <c r="F9" i="3" s="1"/>
  <c r="G9" i="3"/>
  <c r="D10" i="3"/>
  <c r="G10" i="1" l="1"/>
  <c r="I9" i="1"/>
  <c r="J9" i="1" s="1"/>
  <c r="F9" i="1"/>
  <c r="H9" i="3"/>
  <c r="H10" i="1"/>
  <c r="H12" i="5"/>
  <c r="I12" i="5" s="1"/>
  <c r="F12" i="5"/>
  <c r="G12" i="5" s="1"/>
  <c r="E10" i="3"/>
  <c r="F10" i="3" s="1"/>
  <c r="G10" i="3"/>
  <c r="D11" i="3"/>
  <c r="G11" i="1" l="1"/>
  <c r="I10" i="1"/>
  <c r="J10" i="1" s="1"/>
  <c r="F10" i="1"/>
  <c r="H10" i="3"/>
  <c r="H11" i="1"/>
  <c r="H13" i="5"/>
  <c r="I13" i="5" s="1"/>
  <c r="F13" i="5"/>
  <c r="G13" i="5" s="1"/>
  <c r="E11" i="3"/>
  <c r="F11" i="3" s="1"/>
  <c r="G11" i="3"/>
  <c r="D12" i="3"/>
  <c r="G12" i="1" l="1"/>
  <c r="I11" i="1"/>
  <c r="J11" i="1" s="1"/>
  <c r="F11" i="1"/>
  <c r="H11" i="3"/>
  <c r="H12" i="1"/>
  <c r="F14" i="5"/>
  <c r="G14" i="5" s="1"/>
  <c r="H14" i="5"/>
  <c r="I14" i="5" s="1"/>
  <c r="E12" i="3"/>
  <c r="F12" i="3" s="1"/>
  <c r="G12" i="3"/>
  <c r="H12" i="3" s="1"/>
  <c r="D13" i="3"/>
  <c r="G13" i="1" l="1"/>
  <c r="I12" i="1"/>
  <c r="J12" i="1" s="1"/>
  <c r="F12" i="1"/>
  <c r="H13" i="1"/>
  <c r="F15" i="5"/>
  <c r="G15" i="5" s="1"/>
  <c r="H15" i="5"/>
  <c r="I15" i="5" s="1"/>
  <c r="E13" i="3"/>
  <c r="F13" i="3" s="1"/>
  <c r="G13" i="3"/>
  <c r="H13" i="3" s="1"/>
  <c r="D14" i="3"/>
  <c r="G14" i="1" l="1"/>
  <c r="I13" i="1"/>
  <c r="J13" i="1" s="1"/>
  <c r="F13" i="1"/>
  <c r="H14" i="1"/>
  <c r="I14" i="1" s="1"/>
  <c r="J14" i="1" s="1"/>
  <c r="F16" i="5"/>
  <c r="G16" i="5" s="1"/>
  <c r="H16" i="5"/>
  <c r="I16" i="5" s="1"/>
  <c r="E14" i="3"/>
  <c r="F14" i="3" s="1"/>
  <c r="G14" i="3"/>
  <c r="H14" i="3" s="1"/>
  <c r="D15" i="3"/>
  <c r="F14" i="1" l="1"/>
  <c r="J15" i="1"/>
  <c r="F17" i="5"/>
  <c r="G17" i="5" s="1"/>
  <c r="H17" i="5"/>
  <c r="I17" i="5" s="1"/>
  <c r="E15" i="3"/>
  <c r="F15" i="3" s="1"/>
  <c r="G15" i="3"/>
  <c r="H15" i="3" s="1"/>
  <c r="D16" i="3"/>
  <c r="L10" i="1" l="1"/>
  <c r="L3" i="1"/>
  <c r="L11" i="1"/>
  <c r="K6" i="1"/>
  <c r="K14" i="1"/>
  <c r="L4" i="1"/>
  <c r="L12" i="1"/>
  <c r="K7" i="1"/>
  <c r="L9" i="1"/>
  <c r="K4" i="1"/>
  <c r="K5" i="1"/>
  <c r="L5" i="1"/>
  <c r="L13" i="1"/>
  <c r="K8" i="1"/>
  <c r="L6" i="1"/>
  <c r="L14" i="1"/>
  <c r="K9" i="1"/>
  <c r="L7" i="1"/>
  <c r="K10" i="1"/>
  <c r="L8" i="1"/>
  <c r="K11" i="1"/>
  <c r="K12" i="1"/>
  <c r="K13" i="1"/>
  <c r="L2" i="1"/>
  <c r="K3" i="1"/>
  <c r="K2" i="1"/>
  <c r="H18" i="5"/>
  <c r="I18" i="5" s="1"/>
  <c r="F18" i="5"/>
  <c r="G18" i="5" s="1"/>
  <c r="E16" i="3"/>
  <c r="F16" i="3" s="1"/>
  <c r="G16" i="3"/>
  <c r="H16" i="3" s="1"/>
  <c r="D17" i="3"/>
  <c r="K15" i="1" l="1"/>
  <c r="H19" i="5"/>
  <c r="I19" i="5" s="1"/>
  <c r="F19" i="5"/>
  <c r="G19" i="5" s="1"/>
  <c r="E17" i="3"/>
  <c r="F17" i="3" s="1"/>
  <c r="G17" i="3"/>
  <c r="H17" i="3" s="1"/>
  <c r="D18" i="3"/>
  <c r="H20" i="5" l="1"/>
  <c r="I20" i="5" s="1"/>
  <c r="F20" i="5"/>
  <c r="G20" i="5" s="1"/>
  <c r="E18" i="3"/>
  <c r="F18" i="3" s="1"/>
  <c r="G18" i="3"/>
  <c r="H18" i="3" s="1"/>
  <c r="D19" i="3"/>
  <c r="H21" i="5" l="1"/>
  <c r="I21" i="5" s="1"/>
  <c r="F21" i="5"/>
  <c r="G21" i="5" s="1"/>
  <c r="E19" i="3"/>
  <c r="F19" i="3" s="1"/>
  <c r="G19" i="3"/>
  <c r="H19" i="3" s="1"/>
  <c r="D20" i="3"/>
  <c r="F22" i="5" l="1"/>
  <c r="G22" i="5" s="1"/>
  <c r="H22" i="5"/>
  <c r="I22" i="5" s="1"/>
  <c r="E20" i="3"/>
  <c r="F20" i="3" s="1"/>
  <c r="G20" i="3"/>
  <c r="H20" i="3" s="1"/>
  <c r="D21" i="3"/>
  <c r="H23" i="5" l="1"/>
  <c r="I23" i="5" s="1"/>
  <c r="F23" i="5"/>
  <c r="G23" i="5" s="1"/>
  <c r="E21" i="3"/>
  <c r="F21" i="3" s="1"/>
  <c r="G21" i="3"/>
  <c r="H21" i="3" s="1"/>
  <c r="D22" i="3"/>
  <c r="F24" i="5" l="1"/>
  <c r="G24" i="5" s="1"/>
  <c r="H24" i="5"/>
  <c r="I24" i="5" s="1"/>
  <c r="E22" i="3"/>
  <c r="F22" i="3" s="1"/>
  <c r="G22" i="3"/>
  <c r="H22" i="3" s="1"/>
  <c r="D23" i="3"/>
  <c r="F25" i="5" l="1"/>
  <c r="G25" i="5" s="1"/>
  <c r="H25" i="5"/>
  <c r="I25" i="5" s="1"/>
  <c r="E23" i="3"/>
  <c r="F23" i="3" s="1"/>
  <c r="G23" i="3"/>
  <c r="H23" i="3" s="1"/>
  <c r="D24" i="3"/>
  <c r="H26" i="5" l="1"/>
  <c r="I26" i="5" s="1"/>
  <c r="F26" i="5"/>
  <c r="G26" i="5" s="1"/>
  <c r="E24" i="3"/>
  <c r="F24" i="3" s="1"/>
  <c r="G24" i="3"/>
  <c r="H24" i="3" s="1"/>
  <c r="D25" i="3"/>
  <c r="H27" i="5" l="1"/>
  <c r="I27" i="5" s="1"/>
  <c r="F27" i="5"/>
  <c r="G27" i="5" s="1"/>
  <c r="E25" i="3"/>
  <c r="F25" i="3" s="1"/>
  <c r="G25" i="3"/>
  <c r="H25" i="3" s="1"/>
  <c r="D26" i="3"/>
  <c r="H28" i="5" l="1"/>
  <c r="I28" i="5" s="1"/>
  <c r="F28" i="5"/>
  <c r="G28" i="5" s="1"/>
  <c r="E26" i="3"/>
  <c r="F26" i="3" s="1"/>
  <c r="G26" i="3"/>
  <c r="H26" i="3" s="1"/>
  <c r="D27" i="3"/>
  <c r="H29" i="5" l="1"/>
  <c r="I29" i="5" s="1"/>
  <c r="F29" i="5"/>
  <c r="G29" i="5" s="1"/>
  <c r="E27" i="3"/>
  <c r="F27" i="3" s="1"/>
  <c r="G27" i="3"/>
  <c r="H27" i="3" s="1"/>
  <c r="D28" i="3"/>
  <c r="F30" i="5" l="1"/>
  <c r="G30" i="5" s="1"/>
  <c r="H30" i="5"/>
  <c r="I30" i="5" s="1"/>
  <c r="E28" i="3"/>
  <c r="F28" i="3" s="1"/>
  <c r="G28" i="3"/>
  <c r="H28" i="3" s="1"/>
  <c r="D29" i="3"/>
  <c r="H31" i="5" l="1"/>
  <c r="I31" i="5" s="1"/>
  <c r="F31" i="5"/>
  <c r="G31" i="5" s="1"/>
  <c r="E29" i="3"/>
  <c r="F29" i="3" s="1"/>
  <c r="G29" i="3"/>
  <c r="H29" i="3" s="1"/>
  <c r="D30" i="3"/>
  <c r="F32" i="5" l="1"/>
  <c r="G32" i="5" s="1"/>
  <c r="H32" i="5"/>
  <c r="I32" i="5" s="1"/>
  <c r="E30" i="3"/>
  <c r="F30" i="3" s="1"/>
  <c r="G30" i="3"/>
  <c r="H30" i="3" s="1"/>
  <c r="D31" i="3"/>
  <c r="F33" i="5" l="1"/>
  <c r="G33" i="5" s="1"/>
  <c r="H33" i="5"/>
  <c r="I33" i="5" s="1"/>
  <c r="E31" i="3"/>
  <c r="F31" i="3" s="1"/>
  <c r="G31" i="3"/>
  <c r="H31" i="3" s="1"/>
  <c r="D32" i="3"/>
  <c r="H34" i="5" l="1"/>
  <c r="I34" i="5" s="1"/>
  <c r="F34" i="5"/>
  <c r="G34" i="5" s="1"/>
  <c r="E32" i="3"/>
  <c r="F32" i="3" s="1"/>
  <c r="G32" i="3"/>
  <c r="H32" i="3" s="1"/>
  <c r="D33" i="3"/>
  <c r="H35" i="5" l="1"/>
  <c r="I35" i="5" s="1"/>
  <c r="F35" i="5"/>
  <c r="G35" i="5" s="1"/>
  <c r="E33" i="3"/>
  <c r="F33" i="3" s="1"/>
  <c r="G33" i="3"/>
  <c r="H33" i="3" s="1"/>
  <c r="D34" i="3"/>
  <c r="F36" i="5" l="1"/>
  <c r="G36" i="5" s="1"/>
  <c r="H36" i="5"/>
  <c r="I36" i="5" s="1"/>
  <c r="E34" i="3"/>
  <c r="F34" i="3" s="1"/>
  <c r="G34" i="3"/>
  <c r="H34" i="3" s="1"/>
  <c r="D35" i="3"/>
  <c r="H37" i="5" l="1"/>
  <c r="I37" i="5" s="1"/>
  <c r="F37" i="5"/>
  <c r="G37" i="5" s="1"/>
  <c r="E35" i="3"/>
  <c r="F35" i="3" s="1"/>
  <c r="G35" i="3"/>
  <c r="H35" i="3" s="1"/>
  <c r="D36" i="3"/>
  <c r="H38" i="5" l="1"/>
  <c r="I38" i="5" s="1"/>
  <c r="F38" i="5"/>
  <c r="G38" i="5" s="1"/>
  <c r="E36" i="3"/>
  <c r="F36" i="3" s="1"/>
  <c r="G36" i="3"/>
  <c r="H36" i="3" s="1"/>
  <c r="D37" i="3"/>
  <c r="H39" i="5" l="1"/>
  <c r="I39" i="5" s="1"/>
  <c r="F39" i="5"/>
  <c r="G39" i="5" s="1"/>
  <c r="E37" i="3"/>
  <c r="F37" i="3" s="1"/>
  <c r="G37" i="3"/>
  <c r="H37" i="3" s="1"/>
  <c r="D38" i="3"/>
  <c r="F40" i="5" l="1"/>
  <c r="G40" i="5" s="1"/>
  <c r="H40" i="5"/>
  <c r="I40" i="5" s="1"/>
  <c r="E38" i="3"/>
  <c r="F38" i="3" s="1"/>
  <c r="G38" i="3"/>
  <c r="H38" i="3" s="1"/>
  <c r="D39" i="3"/>
  <c r="F41" i="5" l="1"/>
  <c r="G41" i="5" s="1"/>
  <c r="H41" i="5"/>
  <c r="I41" i="5" s="1"/>
  <c r="E39" i="3"/>
  <c r="F39" i="3" s="1"/>
  <c r="G39" i="3"/>
  <c r="H39" i="3" s="1"/>
  <c r="D40" i="3"/>
  <c r="H42" i="5" l="1"/>
  <c r="I42" i="5" s="1"/>
  <c r="F42" i="5"/>
  <c r="G42" i="5" s="1"/>
  <c r="E40" i="3"/>
  <c r="F40" i="3" s="1"/>
  <c r="G40" i="3"/>
  <c r="H40" i="3" s="1"/>
  <c r="D41" i="3"/>
  <c r="H43" i="5" l="1"/>
  <c r="I43" i="5" s="1"/>
  <c r="F43" i="5"/>
  <c r="G43" i="5" s="1"/>
  <c r="E41" i="3"/>
  <c r="F41" i="3" s="1"/>
  <c r="G41" i="3"/>
  <c r="H41" i="3" s="1"/>
  <c r="D42" i="3"/>
  <c r="F44" i="5" l="1"/>
  <c r="G44" i="5" s="1"/>
  <c r="H44" i="5"/>
  <c r="I44" i="5" s="1"/>
  <c r="E42" i="3"/>
  <c r="F42" i="3" s="1"/>
  <c r="G42" i="3"/>
  <c r="H42" i="3" s="1"/>
  <c r="D43" i="3"/>
  <c r="H45" i="5" l="1"/>
  <c r="I45" i="5" s="1"/>
  <c r="F45" i="5"/>
  <c r="G45" i="5" s="1"/>
  <c r="E43" i="3"/>
  <c r="F43" i="3" s="1"/>
  <c r="G43" i="3"/>
  <c r="H43" i="3" s="1"/>
  <c r="D44" i="3"/>
  <c r="H46" i="5" l="1"/>
  <c r="I46" i="5" s="1"/>
  <c r="F46" i="5"/>
  <c r="G46" i="5" s="1"/>
  <c r="E44" i="3"/>
  <c r="F44" i="3" s="1"/>
  <c r="G44" i="3"/>
  <c r="H44" i="3" s="1"/>
  <c r="D45" i="3"/>
  <c r="H47" i="5" l="1"/>
  <c r="I47" i="5" s="1"/>
  <c r="F47" i="5"/>
  <c r="G47" i="5" s="1"/>
  <c r="E45" i="3"/>
  <c r="F45" i="3" s="1"/>
  <c r="G45" i="3"/>
  <c r="H45" i="3" s="1"/>
  <c r="D46" i="3"/>
  <c r="F48" i="5" l="1"/>
  <c r="G48" i="5" s="1"/>
  <c r="H48" i="5"/>
  <c r="I48" i="5" s="1"/>
  <c r="E46" i="3"/>
  <c r="F46" i="3" s="1"/>
  <c r="G46" i="3"/>
  <c r="H46" i="3" s="1"/>
  <c r="D47" i="3"/>
  <c r="F49" i="5" l="1"/>
  <c r="G49" i="5" s="1"/>
  <c r="H49" i="5"/>
  <c r="I49" i="5" s="1"/>
  <c r="E47" i="3"/>
  <c r="F47" i="3" s="1"/>
  <c r="G47" i="3"/>
  <c r="H47" i="3" s="1"/>
  <c r="D48" i="3"/>
  <c r="H50" i="5" l="1"/>
  <c r="I50" i="5" s="1"/>
  <c r="F50" i="5"/>
  <c r="G50" i="5" s="1"/>
  <c r="E48" i="3"/>
  <c r="F48" i="3" s="1"/>
  <c r="G48" i="3"/>
  <c r="H48" i="3" s="1"/>
  <c r="D49" i="3"/>
  <c r="H51" i="5" l="1"/>
  <c r="I51" i="5" s="1"/>
  <c r="F51" i="5"/>
  <c r="G51" i="5" s="1"/>
  <c r="E49" i="3"/>
  <c r="F49" i="3" s="1"/>
  <c r="G49" i="3"/>
  <c r="H49" i="3" s="1"/>
  <c r="D50" i="3"/>
  <c r="H52" i="5" l="1"/>
  <c r="I52" i="5" s="1"/>
  <c r="F52" i="5"/>
  <c r="G52" i="5" s="1"/>
  <c r="E50" i="3"/>
  <c r="F50" i="3" s="1"/>
  <c r="G50" i="3"/>
  <c r="H50" i="3" s="1"/>
  <c r="D51" i="3"/>
  <c r="H53" i="5" l="1"/>
  <c r="I53" i="5" s="1"/>
  <c r="F53" i="5"/>
  <c r="G53" i="5" s="1"/>
  <c r="E51" i="3"/>
  <c r="F51" i="3" s="1"/>
  <c r="G51" i="3"/>
  <c r="H51" i="3" s="1"/>
  <c r="D52" i="3"/>
  <c r="H54" i="5" l="1"/>
  <c r="I54" i="5" s="1"/>
  <c r="F54" i="5"/>
  <c r="G54" i="5" s="1"/>
  <c r="E52" i="3"/>
  <c r="F52" i="3" s="1"/>
  <c r="G52" i="3"/>
  <c r="H52" i="3" s="1"/>
  <c r="D53" i="3"/>
  <c r="F55" i="5" l="1"/>
  <c r="G55" i="5" s="1"/>
  <c r="H55" i="5"/>
  <c r="I55" i="5" s="1"/>
  <c r="E53" i="3"/>
  <c r="F53" i="3" s="1"/>
  <c r="G53" i="3"/>
  <c r="H53" i="3" s="1"/>
  <c r="D54" i="3"/>
  <c r="F56" i="5" l="1"/>
  <c r="G56" i="5" s="1"/>
  <c r="H56" i="5"/>
  <c r="I56" i="5" s="1"/>
  <c r="E54" i="3"/>
  <c r="F54" i="3" s="1"/>
  <c r="G54" i="3"/>
  <c r="H54" i="3" s="1"/>
  <c r="D55" i="3"/>
  <c r="F57" i="5" l="1"/>
  <c r="G57" i="5" s="1"/>
  <c r="H57" i="5"/>
  <c r="I57" i="5" s="1"/>
  <c r="E55" i="3"/>
  <c r="F55" i="3" s="1"/>
  <c r="G55" i="3"/>
  <c r="H55" i="3" s="1"/>
  <c r="D56" i="3"/>
  <c r="H58" i="5" l="1"/>
  <c r="I58" i="5" s="1"/>
  <c r="F58" i="5"/>
  <c r="G58" i="5" s="1"/>
  <c r="E56" i="3"/>
  <c r="F56" i="3" s="1"/>
  <c r="G56" i="3"/>
  <c r="H56" i="3" s="1"/>
  <c r="D57" i="3"/>
  <c r="H59" i="5" l="1"/>
  <c r="I59" i="5" s="1"/>
  <c r="F59" i="5"/>
  <c r="G59" i="5" s="1"/>
  <c r="E57" i="3"/>
  <c r="F57" i="3" s="1"/>
  <c r="G57" i="3"/>
  <c r="H57" i="3" s="1"/>
  <c r="D58" i="3"/>
  <c r="F60" i="5" l="1"/>
  <c r="G60" i="5" s="1"/>
  <c r="H60" i="5"/>
  <c r="I60" i="5" s="1"/>
  <c r="E58" i="3"/>
  <c r="F58" i="3" s="1"/>
  <c r="G58" i="3"/>
  <c r="H58" i="3" s="1"/>
  <c r="D59" i="3"/>
  <c r="H61" i="5" l="1"/>
  <c r="I61" i="5" s="1"/>
  <c r="F61" i="5"/>
  <c r="G61" i="5" s="1"/>
  <c r="E59" i="3"/>
  <c r="F59" i="3" s="1"/>
  <c r="G59" i="3"/>
  <c r="H59" i="3" s="1"/>
  <c r="D60" i="3"/>
  <c r="H62" i="5" l="1"/>
  <c r="I62" i="5" s="1"/>
  <c r="F62" i="5"/>
  <c r="G62" i="5" s="1"/>
  <c r="E60" i="3"/>
  <c r="F60" i="3" s="1"/>
  <c r="G60" i="3"/>
  <c r="H60" i="3" s="1"/>
  <c r="D61" i="3"/>
  <c r="F63" i="5" l="1"/>
  <c r="G63" i="5" s="1"/>
  <c r="H63" i="5"/>
  <c r="I63" i="5" s="1"/>
  <c r="E61" i="3"/>
  <c r="F61" i="3" s="1"/>
  <c r="G61" i="3"/>
  <c r="H61" i="3" s="1"/>
  <c r="D62" i="3"/>
  <c r="F64" i="5" l="1"/>
  <c r="G64" i="5" s="1"/>
  <c r="H64" i="5"/>
  <c r="I64" i="5" s="1"/>
  <c r="E62" i="3"/>
  <c r="F62" i="3" s="1"/>
  <c r="G62" i="3"/>
  <c r="H62" i="3" s="1"/>
  <c r="D63" i="3"/>
  <c r="F65" i="5" l="1"/>
  <c r="G65" i="5" s="1"/>
  <c r="H65" i="5"/>
  <c r="I65" i="5" s="1"/>
  <c r="E63" i="3"/>
  <c r="F63" i="3" s="1"/>
  <c r="G63" i="3"/>
  <c r="H63" i="3" s="1"/>
  <c r="D64" i="3"/>
  <c r="H66" i="5" l="1"/>
  <c r="I66" i="5" s="1"/>
  <c r="F66" i="5"/>
  <c r="G66" i="5" s="1"/>
  <c r="E64" i="3"/>
  <c r="F64" i="3" s="1"/>
  <c r="G64" i="3"/>
  <c r="H64" i="3" s="1"/>
  <c r="D65" i="3"/>
  <c r="H67" i="5" l="1"/>
  <c r="I67" i="5" s="1"/>
  <c r="F67" i="5"/>
  <c r="G67" i="5" s="1"/>
  <c r="E65" i="3"/>
  <c r="F65" i="3" s="1"/>
  <c r="G65" i="3"/>
  <c r="H65" i="3" s="1"/>
  <c r="D66" i="3"/>
  <c r="F68" i="5" l="1"/>
  <c r="G68" i="5" s="1"/>
  <c r="H68" i="5"/>
  <c r="I68" i="5" s="1"/>
  <c r="E66" i="3"/>
  <c r="F66" i="3" s="1"/>
  <c r="G66" i="3"/>
  <c r="H66" i="3" s="1"/>
  <c r="D67" i="3"/>
  <c r="H69" i="5" l="1"/>
  <c r="I69" i="5" s="1"/>
  <c r="F69" i="5"/>
  <c r="G69" i="5" s="1"/>
  <c r="E67" i="3"/>
  <c r="F67" i="3" s="1"/>
  <c r="G67" i="3"/>
  <c r="H67" i="3" s="1"/>
  <c r="D68" i="3"/>
  <c r="H70" i="5" l="1"/>
  <c r="I70" i="5" s="1"/>
  <c r="F70" i="5"/>
  <c r="G70" i="5" s="1"/>
  <c r="E68" i="3"/>
  <c r="F68" i="3" s="1"/>
  <c r="G68" i="3"/>
  <c r="H68" i="3" s="1"/>
  <c r="D69" i="3"/>
  <c r="H71" i="5" l="1"/>
  <c r="I71" i="5" s="1"/>
  <c r="F71" i="5"/>
  <c r="G71" i="5" s="1"/>
  <c r="E69" i="3"/>
  <c r="F69" i="3" s="1"/>
  <c r="G69" i="3"/>
  <c r="H69" i="3" s="1"/>
  <c r="D70" i="3"/>
  <c r="F72" i="5" l="1"/>
  <c r="G72" i="5" s="1"/>
  <c r="H72" i="5"/>
  <c r="I72" i="5" s="1"/>
  <c r="E70" i="3"/>
  <c r="F70" i="3" s="1"/>
  <c r="G70" i="3"/>
  <c r="H70" i="3" s="1"/>
  <c r="D71" i="3"/>
  <c r="F73" i="5" l="1"/>
  <c r="G73" i="5" s="1"/>
  <c r="H73" i="5"/>
  <c r="I73" i="5" s="1"/>
  <c r="E71" i="3"/>
  <c r="F71" i="3" s="1"/>
  <c r="G71" i="3"/>
  <c r="H71" i="3" s="1"/>
  <c r="D72" i="3"/>
  <c r="H74" i="5" l="1"/>
  <c r="I74" i="5" s="1"/>
  <c r="F74" i="5"/>
  <c r="G74" i="5" s="1"/>
  <c r="E72" i="3"/>
  <c r="F72" i="3" s="1"/>
  <c r="G72" i="3"/>
  <c r="H72" i="3" s="1"/>
  <c r="D73" i="3"/>
  <c r="H75" i="5" l="1"/>
  <c r="I75" i="5" s="1"/>
  <c r="F75" i="5"/>
  <c r="G75" i="5" s="1"/>
  <c r="E73" i="3"/>
  <c r="F73" i="3" s="1"/>
  <c r="G73" i="3"/>
  <c r="H73" i="3" s="1"/>
  <c r="D74" i="3"/>
  <c r="F76" i="5" l="1"/>
  <c r="G76" i="5" s="1"/>
  <c r="H76" i="5"/>
  <c r="I76" i="5" s="1"/>
  <c r="I77" i="5" s="1"/>
  <c r="M1" i="5" s="1"/>
  <c r="E74" i="3"/>
  <c r="F74" i="3" s="1"/>
  <c r="G74" i="3"/>
  <c r="H74" i="3" s="1"/>
  <c r="D75" i="3"/>
  <c r="G77" i="5" l="1"/>
  <c r="D76" i="3"/>
  <c r="E76" i="3" s="1"/>
  <c r="E75" i="3"/>
  <c r="F75" i="3" s="1"/>
  <c r="G75" i="3"/>
  <c r="H75" i="3" s="1"/>
  <c r="F76" i="3" l="1"/>
  <c r="K1" i="3" s="1"/>
  <c r="G76" i="3"/>
  <c r="H76" i="3" l="1"/>
  <c r="H77" i="3"/>
  <c r="F77" i="3"/>
  <c r="J3" i="3"/>
</calcChain>
</file>

<file path=xl/sharedStrings.xml><?xml version="1.0" encoding="utf-8"?>
<sst xmlns="http://schemas.openxmlformats.org/spreadsheetml/2006/main" count="89" uniqueCount="65">
  <si>
    <t>Office 1</t>
  </si>
  <si>
    <t>Office 2</t>
  </si>
  <si>
    <t>Office 3</t>
  </si>
  <si>
    <t>Mean</t>
  </si>
  <si>
    <t>Min</t>
  </si>
  <si>
    <t>StdDev</t>
  </si>
  <si>
    <t>CV</t>
  </si>
  <si>
    <t>Max</t>
  </si>
  <si>
    <t>Skew</t>
  </si>
  <si>
    <t>Range</t>
  </si>
  <si>
    <t>E</t>
  </si>
  <si>
    <t>MAD</t>
  </si>
  <si>
    <t>ABS(E)</t>
  </si>
  <si>
    <t>E^2</t>
  </si>
  <si>
    <t>SUM(E^2)</t>
  </si>
  <si>
    <t>Office2 Data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</si>
  <si>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</si>
  <si>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</si>
  <si>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</si>
  <si>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</si>
  <si>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</si>
  <si>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</si>
  <si>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</si>
  <si>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</si>
  <si>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</si>
  <si>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</si>
  <si>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</si>
  <si>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</si>
  <si>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</si>
  <si>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</si>
  <si>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</si>
  <si>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</si>
  <si>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</si>
  <si>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</si>
  <si>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</si>
  <si>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</si>
  <si>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</si>
  <si>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</si>
  <si>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</si>
  <si>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</si>
  <si>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</si>
  <si>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ExpoSmoo</t>
  </si>
  <si>
    <t>Do Not Write on these four columns A-D</t>
  </si>
  <si>
    <t xml:space="preserve">Not Trend </t>
  </si>
  <si>
    <t>Trend</t>
  </si>
  <si>
    <t>F(MA)</t>
  </si>
  <si>
    <t>Actual</t>
  </si>
  <si>
    <t>DataBase Do not Delete therse columns</t>
  </si>
  <si>
    <t>Period MA</t>
  </si>
  <si>
    <t>Range/5Mean</t>
  </si>
  <si>
    <t>|E|</t>
  </si>
  <si>
    <t>T&amp;RanS</t>
  </si>
  <si>
    <t>Seas</t>
  </si>
  <si>
    <t>Rg/Mean</t>
  </si>
  <si>
    <t>LB</t>
  </si>
  <si>
    <t>UB</t>
  </si>
  <si>
    <t>CumCount</t>
  </si>
  <si>
    <t>Count</t>
  </si>
  <si>
    <t>CumFreq</t>
  </si>
  <si>
    <t>Freq</t>
  </si>
  <si>
    <t>Per.</t>
  </si>
  <si>
    <t>Std.S</t>
  </si>
  <si>
    <t>Reg</t>
  </si>
  <si>
    <t>Trend&amp;S</t>
  </si>
  <si>
    <t>These data were generated using the procedure in columns AB to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</si>
</sst>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</cellStyleXfs>
  <cellXfs count="116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 applyBorder="1"/>
    <xf numFmtId="1" fontId="0" fillId="0" borderId="5" xfId="0" applyNumberFormat="1" applyBorder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2" borderId="1" xfId="0" applyFont="1" applyFill="1" applyBorder="1"/>
    <xf numFmtId="164" fontId="6" fillId="2" borderId="2" xfId="0" applyNumberFormat="1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164" fontId="6" fillId="2" borderId="0" xfId="0" applyNumberFormat="1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0" fillId="0" borderId="9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Continuous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9" borderId="9" xfId="0" applyNumberForma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166" fontId="16" fillId="8" borderId="0" xfId="0" applyNumberFormat="1" applyFont="1" applyFill="1"/>
    <xf numFmtId="164" fontId="16" fillId="8" borderId="0" xfId="0" applyNumberFormat="1" applyFont="1" applyFill="1"/>
    <xf numFmtId="2" fontId="0" fillId="0" borderId="0" xfId="0" applyNumberFormat="1" applyFill="1" applyBorder="1" applyAlignment="1"/>
    <xf numFmtId="0" fontId="16" fillId="8" borderId="0" xfId="0" applyFont="1" applyFill="1" applyBorder="1" applyAlignment="1"/>
    <xf numFmtId="0" fontId="16" fillId="8" borderId="7" xfId="0" applyFont="1" applyFill="1" applyBorder="1" applyAlignment="1"/>
    <xf numFmtId="2" fontId="15" fillId="8" borderId="0" xfId="0" applyNumberFormat="1" applyFont="1" applyFill="1" applyBorder="1" applyAlignment="1"/>
    <xf numFmtId="2" fontId="16" fillId="8" borderId="0" xfId="0" applyNumberFormat="1" applyFont="1" applyFill="1" applyBorder="1" applyAlignment="1"/>
    <xf numFmtId="0" fontId="5" fillId="0" borderId="0" xfId="0" applyFont="1" applyAlignment="1">
      <alignment horizontal="left"/>
    </xf>
    <xf numFmtId="0" fontId="2" fillId="0" borderId="0" xfId="3"/>
    <xf numFmtId="0" fontId="2" fillId="0" borderId="0" xfId="3" applyAlignment="1">
      <alignment horizontal="left"/>
    </xf>
    <xf numFmtId="0" fontId="2" fillId="0" borderId="0" xfId="3" applyFont="1"/>
    <xf numFmtId="0" fontId="8" fillId="0" borderId="0" xfId="3" applyFont="1"/>
    <xf numFmtId="0" fontId="2" fillId="4" borderId="0" xfId="3" applyFill="1"/>
    <xf numFmtId="0" fontId="2" fillId="4" borderId="0" xfId="3" applyFont="1" applyFill="1"/>
    <xf numFmtId="0" fontId="2" fillId="6" borderId="0" xfId="3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2" fillId="0" borderId="0" xfId="3" applyAlignment="1">
      <alignment horizontal="center"/>
    </xf>
    <xf numFmtId="0" fontId="2" fillId="2" borderId="0" xfId="3" applyFill="1" applyAlignment="1">
      <alignment horizontal="center"/>
    </xf>
    <xf numFmtId="0" fontId="2" fillId="2" borderId="0" xfId="3" applyFill="1"/>
    <xf numFmtId="0" fontId="2" fillId="0" borderId="1" xfId="3" applyFont="1" applyBorder="1"/>
    <xf numFmtId="164" fontId="2" fillId="6" borderId="2" xfId="3" applyNumberFormat="1" applyFill="1" applyBorder="1" applyAlignment="1">
      <alignment horizontal="left"/>
    </xf>
    <xf numFmtId="164" fontId="2" fillId="3" borderId="2" xfId="3" applyNumberFormat="1" applyFill="1" applyBorder="1" applyAlignment="1">
      <alignment horizontal="left"/>
    </xf>
    <xf numFmtId="0" fontId="5" fillId="0" borderId="0" xfId="4"/>
    <xf numFmtId="0" fontId="2" fillId="0" borderId="4" xfId="3" applyFont="1" applyBorder="1"/>
    <xf numFmtId="0" fontId="2" fillId="0" borderId="0" xfId="5"/>
    <xf numFmtId="165" fontId="2" fillId="6" borderId="0" xfId="3" applyNumberFormat="1" applyFont="1" applyFill="1" applyBorder="1" applyAlignment="1">
      <alignment horizontal="left"/>
    </xf>
    <xf numFmtId="165" fontId="2" fillId="3" borderId="0" xfId="3" applyNumberFormat="1" applyFont="1" applyFill="1" applyBorder="1" applyAlignment="1">
      <alignment horizontal="left"/>
    </xf>
    <xf numFmtId="0" fontId="2" fillId="6" borderId="0" xfId="3" applyFill="1" applyBorder="1" applyAlignment="1">
      <alignment horizontal="left"/>
    </xf>
    <xf numFmtId="0" fontId="2" fillId="3" borderId="0" xfId="3" applyFill="1" applyBorder="1" applyAlignment="1">
      <alignment horizontal="left"/>
    </xf>
    <xf numFmtId="0" fontId="2" fillId="0" borderId="6" xfId="3" applyFont="1" applyBorder="1"/>
    <xf numFmtId="2" fontId="2" fillId="6" borderId="7" xfId="3" applyNumberFormat="1" applyFill="1" applyBorder="1" applyAlignment="1">
      <alignment horizontal="left"/>
    </xf>
    <xf numFmtId="2" fontId="2" fillId="3" borderId="7" xfId="3" applyNumberFormat="1" applyFill="1" applyBorder="1" applyAlignment="1">
      <alignment horizontal="left"/>
    </xf>
    <xf numFmtId="2" fontId="5" fillId="5" borderId="0" xfId="4" applyNumberFormat="1" applyFill="1" applyAlignment="1">
      <alignment horizontal="center"/>
    </xf>
    <xf numFmtId="1" fontId="2" fillId="0" borderId="0" xfId="3" applyNumberFormat="1" applyAlignment="1">
      <alignment horizontal="center"/>
    </xf>
    <xf numFmtId="2" fontId="5" fillId="0" borderId="0" xfId="4" applyNumberFormat="1" applyAlignment="1">
      <alignment horizontal="center"/>
    </xf>
    <xf numFmtId="0" fontId="12" fillId="0" borderId="0" xfId="3" applyFont="1" applyFill="1"/>
    <xf numFmtId="164" fontId="5" fillId="5" borderId="8" xfId="4" applyNumberFormat="1" applyFill="1" applyBorder="1" applyAlignment="1">
      <alignment horizontal="center"/>
    </xf>
    <xf numFmtId="0" fontId="5" fillId="5" borderId="6" xfId="4" applyFill="1" applyBorder="1" applyAlignment="1">
      <alignment horizontal="center"/>
    </xf>
    <xf numFmtId="164" fontId="5" fillId="5" borderId="5" xfId="4" applyNumberFormat="1" applyFill="1" applyBorder="1" applyAlignment="1">
      <alignment horizontal="center"/>
    </xf>
    <xf numFmtId="0" fontId="5" fillId="5" borderId="4" xfId="4" applyFill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1" fontId="5" fillId="5" borderId="3" xfId="4" applyNumberFormat="1" applyFill="1" applyBorder="1" applyAlignment="1">
      <alignment horizontal="center"/>
    </xf>
    <xf numFmtId="0" fontId="5" fillId="5" borderId="1" xfId="4" applyFont="1" applyFill="1" applyBorder="1" applyAlignment="1">
      <alignment horizontal="center"/>
    </xf>
    <xf numFmtId="0" fontId="5" fillId="5" borderId="0" xfId="4" applyFill="1" applyAlignment="1">
      <alignment horizontal="center"/>
    </xf>
    <xf numFmtId="0" fontId="2" fillId="5" borderId="0" xfId="3" applyFont="1" applyFill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Alignment="1">
      <alignment horizontal="center"/>
    </xf>
    <xf numFmtId="0" fontId="2" fillId="5" borderId="0" xfId="3" applyFont="1" applyFill="1" applyAlignment="1">
      <alignment horizontal="center"/>
    </xf>
    <xf numFmtId="0" fontId="11" fillId="0" borderId="0" xfId="3" applyFont="1"/>
    <xf numFmtId="0" fontId="10" fillId="8" borderId="0" xfId="4" applyFont="1" applyFill="1"/>
    <xf numFmtId="1" fontId="9" fillId="5" borderId="0" xfId="3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2" fillId="6" borderId="0" xfId="3" applyFill="1" applyAlignment="1">
      <alignment horizontal="center"/>
    </xf>
    <xf numFmtId="0" fontId="2" fillId="3" borderId="0" xfId="3" applyFill="1" applyAlignment="1">
      <alignment horizontal="center"/>
    </xf>
    <xf numFmtId="0" fontId="2" fillId="7" borderId="0" xfId="3" applyFill="1" applyAlignment="1">
      <alignment horizontal="center"/>
    </xf>
    <xf numFmtId="0" fontId="1" fillId="7" borderId="0" xfId="3" applyFont="1" applyFill="1" applyAlignment="1">
      <alignment horizontal="center"/>
    </xf>
    <xf numFmtId="164" fontId="2" fillId="7" borderId="2" xfId="3" applyNumberFormat="1" applyFill="1" applyBorder="1" applyAlignment="1">
      <alignment horizontal="left"/>
    </xf>
    <xf numFmtId="165" fontId="2" fillId="7" borderId="0" xfId="3" applyNumberFormat="1" applyFont="1" applyFill="1" applyBorder="1" applyAlignment="1">
      <alignment horizontal="left"/>
    </xf>
    <xf numFmtId="0" fontId="2" fillId="7" borderId="0" xfId="3" applyFill="1" applyBorder="1" applyAlignment="1">
      <alignment horizontal="left"/>
    </xf>
    <xf numFmtId="2" fontId="2" fillId="7" borderId="7" xfId="3" applyNumberFormat="1" applyFill="1" applyBorder="1" applyAlignment="1">
      <alignment horizontal="left"/>
    </xf>
    <xf numFmtId="0" fontId="11" fillId="2" borderId="0" xfId="3" applyFont="1" applyFill="1"/>
    <xf numFmtId="0" fontId="2" fillId="2" borderId="0" xfId="3" applyFont="1" applyFill="1" applyAlignment="1">
      <alignment horizontal="right"/>
    </xf>
    <xf numFmtId="0" fontId="2" fillId="2" borderId="0" xfId="3" applyFill="1" applyAlignment="1">
      <alignment horizontal="left"/>
    </xf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Normal 4" xfId="4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ArdiData!$D$2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ArdiData!$D$3:$D$77</c:f>
              <c:numCache>
                <c:formatCode>General</c:formatCode>
                <c:ptCount val="75"/>
                <c:pt idx="0">
                  <c:v>997</c:v>
                </c:pt>
                <c:pt idx="1">
                  <c:v>1092</c:v>
                </c:pt>
                <c:pt idx="2">
                  <c:v>1333</c:v>
                </c:pt>
                <c:pt idx="3">
                  <c:v>1368</c:v>
                </c:pt>
                <c:pt idx="4">
                  <c:v>1587</c:v>
                </c:pt>
                <c:pt idx="5">
                  <c:v>1178</c:v>
                </c:pt>
                <c:pt idx="6">
                  <c:v>1263</c:v>
                </c:pt>
                <c:pt idx="7">
                  <c:v>1731</c:v>
                </c:pt>
                <c:pt idx="8">
                  <c:v>1603</c:v>
                </c:pt>
                <c:pt idx="9">
                  <c:v>1935</c:v>
                </c:pt>
                <c:pt idx="10">
                  <c:v>1206</c:v>
                </c:pt>
                <c:pt idx="11">
                  <c:v>1771</c:v>
                </c:pt>
                <c:pt idx="12">
                  <c:v>2190</c:v>
                </c:pt>
                <c:pt idx="13">
                  <c:v>1920</c:v>
                </c:pt>
                <c:pt idx="14">
                  <c:v>2301</c:v>
                </c:pt>
                <c:pt idx="15">
                  <c:v>1421</c:v>
                </c:pt>
                <c:pt idx="16">
                  <c:v>1568</c:v>
                </c:pt>
                <c:pt idx="17">
                  <c:v>2146</c:v>
                </c:pt>
                <c:pt idx="18">
                  <c:v>2379</c:v>
                </c:pt>
                <c:pt idx="19">
                  <c:v>2435</c:v>
                </c:pt>
                <c:pt idx="20">
                  <c:v>1800</c:v>
                </c:pt>
                <c:pt idx="21">
                  <c:v>2139</c:v>
                </c:pt>
                <c:pt idx="22">
                  <c:v>2493</c:v>
                </c:pt>
                <c:pt idx="23">
                  <c:v>2428</c:v>
                </c:pt>
                <c:pt idx="24">
                  <c:v>2906</c:v>
                </c:pt>
                <c:pt idx="25">
                  <c:v>1991</c:v>
                </c:pt>
                <c:pt idx="26">
                  <c:v>1901</c:v>
                </c:pt>
                <c:pt idx="27">
                  <c:v>2133</c:v>
                </c:pt>
                <c:pt idx="28">
                  <c:v>3172</c:v>
                </c:pt>
                <c:pt idx="29">
                  <c:v>3247</c:v>
                </c:pt>
                <c:pt idx="30">
                  <c:v>1922</c:v>
                </c:pt>
                <c:pt idx="31">
                  <c:v>2463</c:v>
                </c:pt>
                <c:pt idx="32">
                  <c:v>2736</c:v>
                </c:pt>
                <c:pt idx="33">
                  <c:v>2919</c:v>
                </c:pt>
                <c:pt idx="34">
                  <c:v>3623</c:v>
                </c:pt>
                <c:pt idx="35">
                  <c:v>2511</c:v>
                </c:pt>
                <c:pt idx="36">
                  <c:v>2462</c:v>
                </c:pt>
                <c:pt idx="37">
                  <c:v>2934</c:v>
                </c:pt>
                <c:pt idx="38">
                  <c:v>3638</c:v>
                </c:pt>
                <c:pt idx="39">
                  <c:v>3870</c:v>
                </c:pt>
                <c:pt idx="40">
                  <c:v>2203</c:v>
                </c:pt>
                <c:pt idx="41">
                  <c:v>3431</c:v>
                </c:pt>
                <c:pt idx="42">
                  <c:v>2991</c:v>
                </c:pt>
                <c:pt idx="43">
                  <c:v>4286</c:v>
                </c:pt>
                <c:pt idx="44">
                  <c:v>3325</c:v>
                </c:pt>
                <c:pt idx="45">
                  <c:v>3146</c:v>
                </c:pt>
                <c:pt idx="46">
                  <c:v>3325</c:v>
                </c:pt>
                <c:pt idx="47">
                  <c:v>3749</c:v>
                </c:pt>
                <c:pt idx="48">
                  <c:v>3616</c:v>
                </c:pt>
                <c:pt idx="49">
                  <c:v>3844</c:v>
                </c:pt>
                <c:pt idx="50">
                  <c:v>2636</c:v>
                </c:pt>
                <c:pt idx="51">
                  <c:v>3114</c:v>
                </c:pt>
                <c:pt idx="52">
                  <c:v>3616</c:v>
                </c:pt>
                <c:pt idx="53">
                  <c:v>4468</c:v>
                </c:pt>
                <c:pt idx="54">
                  <c:v>4058</c:v>
                </c:pt>
                <c:pt idx="55">
                  <c:v>3073</c:v>
                </c:pt>
                <c:pt idx="56">
                  <c:v>4124</c:v>
                </c:pt>
                <c:pt idx="57">
                  <c:v>3557</c:v>
                </c:pt>
                <c:pt idx="58">
                  <c:v>4873</c:v>
                </c:pt>
                <c:pt idx="59">
                  <c:v>5037</c:v>
                </c:pt>
                <c:pt idx="60">
                  <c:v>3623</c:v>
                </c:pt>
                <c:pt idx="61">
                  <c:v>3683</c:v>
                </c:pt>
                <c:pt idx="62">
                  <c:v>4440</c:v>
                </c:pt>
                <c:pt idx="63">
                  <c:v>4884</c:v>
                </c:pt>
                <c:pt idx="64">
                  <c:v>5074</c:v>
                </c:pt>
                <c:pt idx="65">
                  <c:v>3167</c:v>
                </c:pt>
                <c:pt idx="66">
                  <c:v>4003</c:v>
                </c:pt>
                <c:pt idx="67">
                  <c:v>4628</c:v>
                </c:pt>
                <c:pt idx="68">
                  <c:v>5304</c:v>
                </c:pt>
                <c:pt idx="69">
                  <c:v>5197</c:v>
                </c:pt>
                <c:pt idx="70">
                  <c:v>3899</c:v>
                </c:pt>
                <c:pt idx="71">
                  <c:v>3623</c:v>
                </c:pt>
                <c:pt idx="72">
                  <c:v>4731</c:v>
                </c:pt>
                <c:pt idx="73">
                  <c:v>4949</c:v>
                </c:pt>
                <c:pt idx="74">
                  <c:v>5781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15720"/>
        <c:axId val="595316896"/>
      </c:scatterChart>
      <c:valAx>
        <c:axId val="595315720"/>
        <c:scaling>
          <c:orientation val="minMax"/>
          <c:max val="7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95316896"/>
        <c:crosses val="autoZero"/>
        <c:crossBetween val="midCat"/>
      </c:valAx>
      <c:valAx>
        <c:axId val="59531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5315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95318072"/>
        <c:axId val="595318464"/>
      </c:barChart>
      <c:catAx>
        <c:axId val="595318072"/>
        <c:scaling>
          <c:orientation val="minMax"/>
        </c:scaling>
        <c:delete val="0"/>
        <c:axPos val="b"/>
        <c:majorTickMark val="out"/>
        <c:minorTickMark val="none"/>
        <c:tickLblPos val="nextTo"/>
        <c:crossAx val="595318464"/>
        <c:crosses val="autoZero"/>
        <c:auto val="1"/>
        <c:lblAlgn val="ctr"/>
        <c:lblOffset val="100"/>
        <c:noMultiLvlLbl val="0"/>
      </c:catAx>
      <c:valAx>
        <c:axId val="5953184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95318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95856888"/>
        <c:axId val="595860808"/>
      </c:barChart>
      <c:catAx>
        <c:axId val="595856888"/>
        <c:scaling>
          <c:orientation val="minMax"/>
        </c:scaling>
        <c:delete val="0"/>
        <c:axPos val="b"/>
        <c:majorTickMark val="out"/>
        <c:minorTickMark val="none"/>
        <c:tickLblPos val="nextTo"/>
        <c:crossAx val="595860808"/>
        <c:crosses val="autoZero"/>
        <c:auto val="1"/>
        <c:lblAlgn val="ctr"/>
        <c:lblOffset val="100"/>
        <c:noMultiLvlLbl val="0"/>
      </c:catAx>
      <c:valAx>
        <c:axId val="5958608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9585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95855712"/>
        <c:axId val="595858456"/>
      </c:barChart>
      <c:catAx>
        <c:axId val="59585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595858456"/>
        <c:crosses val="autoZero"/>
        <c:auto val="1"/>
        <c:lblAlgn val="ctr"/>
        <c:lblOffset val="100"/>
        <c:noMultiLvlLbl val="0"/>
      </c:catAx>
      <c:valAx>
        <c:axId val="5958584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59585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858064"/>
        <c:axId val="595857672"/>
      </c:scatterChart>
      <c:valAx>
        <c:axId val="59585806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95857672"/>
        <c:crosses val="autoZero"/>
        <c:crossBetween val="midCat"/>
      </c:valAx>
      <c:valAx>
        <c:axId val="595857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85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861200"/>
        <c:axId val="595855320"/>
      </c:scatterChart>
      <c:valAx>
        <c:axId val="595861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95855320"/>
        <c:crosses val="autoZero"/>
        <c:crossBetween val="midCat"/>
      </c:valAx>
      <c:valAx>
        <c:axId val="595855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861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854928"/>
        <c:axId val="595854536"/>
      </c:scatterChart>
      <c:valAx>
        <c:axId val="595854928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95854536"/>
        <c:crosses val="autoZero"/>
        <c:crossBetween val="midCat"/>
      </c:valAx>
      <c:valAx>
        <c:axId val="595854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854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Set1MA!$K$1</c:f>
          <c:strCache>
            <c:ptCount val="1"/>
            <c:pt idx="0">
              <c:v>8-Period MA: F (51) = N~ (2673, 4289)</c:v>
            </c:pt>
          </c:strCache>
        </c:strRef>
      </c:tx>
      <c:layout>
        <c:manualLayout>
          <c:xMode val="edge"/>
          <c:yMode val="edge"/>
          <c:x val="0.11358333333333331"/>
          <c:y val="4.1379310344827586E-2"/>
        </c:manualLayout>
      </c:layout>
      <c:overlay val="0"/>
      <c:txPr>
        <a:bodyPr/>
        <a:lstStyle/>
        <a:p>
          <a:pPr>
            <a:defRPr sz="1600"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Set1MA!$B$2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Set1MA!$A$3:$A$52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Set1MA!$B$3:$B$52</c:f>
              <c:numCache>
                <c:formatCode>0</c:formatCode>
                <c:ptCount val="50"/>
                <c:pt idx="0">
                  <c:v>4058</c:v>
                </c:pt>
                <c:pt idx="1">
                  <c:v>1771</c:v>
                </c:pt>
                <c:pt idx="2">
                  <c:v>1421</c:v>
                </c:pt>
                <c:pt idx="3">
                  <c:v>5304</c:v>
                </c:pt>
                <c:pt idx="4">
                  <c:v>3749</c:v>
                </c:pt>
                <c:pt idx="5">
                  <c:v>2991</c:v>
                </c:pt>
                <c:pt idx="6">
                  <c:v>2428</c:v>
                </c:pt>
                <c:pt idx="7">
                  <c:v>5037</c:v>
                </c:pt>
                <c:pt idx="8">
                  <c:v>4124</c:v>
                </c:pt>
                <c:pt idx="9">
                  <c:v>3172</c:v>
                </c:pt>
                <c:pt idx="10">
                  <c:v>2462</c:v>
                </c:pt>
                <c:pt idx="11">
                  <c:v>1603</c:v>
                </c:pt>
                <c:pt idx="12">
                  <c:v>3114</c:v>
                </c:pt>
                <c:pt idx="13">
                  <c:v>3623</c:v>
                </c:pt>
                <c:pt idx="14">
                  <c:v>3247</c:v>
                </c:pt>
                <c:pt idx="15">
                  <c:v>1922</c:v>
                </c:pt>
                <c:pt idx="16">
                  <c:v>4286</c:v>
                </c:pt>
                <c:pt idx="17">
                  <c:v>3638</c:v>
                </c:pt>
                <c:pt idx="18">
                  <c:v>2435</c:v>
                </c:pt>
                <c:pt idx="19">
                  <c:v>3623</c:v>
                </c:pt>
                <c:pt idx="20">
                  <c:v>1333</c:v>
                </c:pt>
                <c:pt idx="21">
                  <c:v>2203</c:v>
                </c:pt>
                <c:pt idx="22">
                  <c:v>2934</c:v>
                </c:pt>
                <c:pt idx="23">
                  <c:v>3844</c:v>
                </c:pt>
                <c:pt idx="24">
                  <c:v>2146</c:v>
                </c:pt>
                <c:pt idx="25">
                  <c:v>5197</c:v>
                </c:pt>
                <c:pt idx="26">
                  <c:v>1991</c:v>
                </c:pt>
                <c:pt idx="27">
                  <c:v>1935</c:v>
                </c:pt>
                <c:pt idx="28">
                  <c:v>4884</c:v>
                </c:pt>
                <c:pt idx="29">
                  <c:v>5781</c:v>
                </c:pt>
                <c:pt idx="30">
                  <c:v>4628</c:v>
                </c:pt>
                <c:pt idx="31">
                  <c:v>1800</c:v>
                </c:pt>
                <c:pt idx="32">
                  <c:v>1092</c:v>
                </c:pt>
                <c:pt idx="33">
                  <c:v>2463</c:v>
                </c:pt>
                <c:pt idx="34">
                  <c:v>3325</c:v>
                </c:pt>
                <c:pt idx="35">
                  <c:v>3325</c:v>
                </c:pt>
                <c:pt idx="36">
                  <c:v>3899</c:v>
                </c:pt>
                <c:pt idx="37">
                  <c:v>1178</c:v>
                </c:pt>
                <c:pt idx="38">
                  <c:v>4468</c:v>
                </c:pt>
                <c:pt idx="39">
                  <c:v>997</c:v>
                </c:pt>
                <c:pt idx="40">
                  <c:v>1263</c:v>
                </c:pt>
                <c:pt idx="41">
                  <c:v>2133</c:v>
                </c:pt>
                <c:pt idx="42">
                  <c:v>1901</c:v>
                </c:pt>
                <c:pt idx="43">
                  <c:v>2139</c:v>
                </c:pt>
                <c:pt idx="44">
                  <c:v>2511</c:v>
                </c:pt>
                <c:pt idx="45">
                  <c:v>3616</c:v>
                </c:pt>
                <c:pt idx="46">
                  <c:v>2301</c:v>
                </c:pt>
                <c:pt idx="47">
                  <c:v>4949</c:v>
                </c:pt>
                <c:pt idx="48">
                  <c:v>1587</c:v>
                </c:pt>
                <c:pt idx="49">
                  <c:v>2379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Set1MA!$F$2</c:f>
              <c:strCache>
                <c:ptCount val="1"/>
                <c:pt idx="0">
                  <c:v>8-Period MA Forecast</c:v>
                </c:pt>
              </c:strCache>
            </c:strRef>
          </c:tx>
          <c:xVal>
            <c:numRef>
              <c:f>Set1MA!$A$3:$A$52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Set1MA!$F$3:$F$52</c:f>
              <c:numCache>
                <c:formatCode>0.00</c:formatCode>
                <c:ptCount val="5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3344.875</c:v>
                </c:pt>
                <c:pt idx="9">
                  <c:v>3353.125</c:v>
                </c:pt>
                <c:pt idx="10">
                  <c:v>3528.25</c:v>
                </c:pt>
                <c:pt idx="11">
                  <c:v>3658.375</c:v>
                </c:pt>
                <c:pt idx="12">
                  <c:v>3195.75</c:v>
                </c:pt>
                <c:pt idx="13">
                  <c:v>3116.375</c:v>
                </c:pt>
                <c:pt idx="14">
                  <c:v>3195.375</c:v>
                </c:pt>
                <c:pt idx="15">
                  <c:v>3297.75</c:v>
                </c:pt>
                <c:pt idx="16">
                  <c:v>2908.375</c:v>
                </c:pt>
                <c:pt idx="17">
                  <c:v>2928.625</c:v>
                </c:pt>
                <c:pt idx="18">
                  <c:v>2986.875</c:v>
                </c:pt>
                <c:pt idx="19">
                  <c:v>2983.5</c:v>
                </c:pt>
                <c:pt idx="20">
                  <c:v>3236</c:v>
                </c:pt>
                <c:pt idx="21">
                  <c:v>3013.375</c:v>
                </c:pt>
                <c:pt idx="22">
                  <c:v>2835.875</c:v>
                </c:pt>
                <c:pt idx="23">
                  <c:v>2796.75</c:v>
                </c:pt>
                <c:pt idx="24">
                  <c:v>3037</c:v>
                </c:pt>
                <c:pt idx="25">
                  <c:v>2769.5</c:v>
                </c:pt>
                <c:pt idx="26">
                  <c:v>2964.375</c:v>
                </c:pt>
                <c:pt idx="27">
                  <c:v>2908.875</c:v>
                </c:pt>
                <c:pt idx="28">
                  <c:v>2697.875</c:v>
                </c:pt>
                <c:pt idx="29">
                  <c:v>3141.75</c:v>
                </c:pt>
                <c:pt idx="30">
                  <c:v>3589</c:v>
                </c:pt>
                <c:pt idx="31">
                  <c:v>3800.75</c:v>
                </c:pt>
                <c:pt idx="32">
                  <c:v>3545.25</c:v>
                </c:pt>
                <c:pt idx="33">
                  <c:v>3413.5</c:v>
                </c:pt>
                <c:pt idx="34">
                  <c:v>3071.75</c:v>
                </c:pt>
                <c:pt idx="35">
                  <c:v>3238.5</c:v>
                </c:pt>
                <c:pt idx="36">
                  <c:v>3412.25</c:v>
                </c:pt>
                <c:pt idx="37">
                  <c:v>3289.125</c:v>
                </c:pt>
                <c:pt idx="38">
                  <c:v>2713.75</c:v>
                </c:pt>
                <c:pt idx="39">
                  <c:v>2693.75</c:v>
                </c:pt>
                <c:pt idx="40">
                  <c:v>2593.375</c:v>
                </c:pt>
                <c:pt idx="41">
                  <c:v>2614.75</c:v>
                </c:pt>
                <c:pt idx="42">
                  <c:v>2573.5</c:v>
                </c:pt>
                <c:pt idx="43">
                  <c:v>2395.5</c:v>
                </c:pt>
                <c:pt idx="44">
                  <c:v>2247.25</c:v>
                </c:pt>
                <c:pt idx="45">
                  <c:v>2073.75</c:v>
                </c:pt>
                <c:pt idx="46">
                  <c:v>2378.5</c:v>
                </c:pt>
                <c:pt idx="47">
                  <c:v>2107.625</c:v>
                </c:pt>
                <c:pt idx="48">
                  <c:v>2601.625</c:v>
                </c:pt>
                <c:pt idx="49">
                  <c:v>2642.125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856496"/>
        <c:axId val="595860416"/>
      </c:scatterChart>
      <c:valAx>
        <c:axId val="595856496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595860416"/>
        <c:crosses val="autoZero"/>
        <c:crossBetween val="midCat"/>
      </c:valAx>
      <c:valAx>
        <c:axId val="595860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85649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Set2ES!$K$1</c:f>
          <c:strCache>
            <c:ptCount val="1"/>
            <c:pt idx="0">
              <c:v> F(next) ~ N ( 5377, 199)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Set2ES!$B$1</c:f>
              <c:strCache>
                <c:ptCount val="1"/>
                <c:pt idx="0">
                  <c:v>Office 2</c:v>
                </c:pt>
              </c:strCache>
            </c:strRef>
          </c:tx>
          <c:xVal>
            <c:numRef>
              <c:f>Set2ES!$A$2:$A$76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Set2ES!$B$2:$B$76</c:f>
              <c:numCache>
                <c:formatCode>0</c:formatCode>
                <c:ptCount val="75"/>
                <c:pt idx="0">
                  <c:v>997</c:v>
                </c:pt>
                <c:pt idx="1">
                  <c:v>1092</c:v>
                </c:pt>
                <c:pt idx="2">
                  <c:v>1178</c:v>
                </c:pt>
                <c:pt idx="3">
                  <c:v>1206</c:v>
                </c:pt>
                <c:pt idx="4">
                  <c:v>1263</c:v>
                </c:pt>
                <c:pt idx="5">
                  <c:v>1333</c:v>
                </c:pt>
                <c:pt idx="6">
                  <c:v>1368</c:v>
                </c:pt>
                <c:pt idx="7">
                  <c:v>1421</c:v>
                </c:pt>
                <c:pt idx="8">
                  <c:v>1568</c:v>
                </c:pt>
                <c:pt idx="9">
                  <c:v>1587</c:v>
                </c:pt>
                <c:pt idx="10">
                  <c:v>1603</c:v>
                </c:pt>
                <c:pt idx="11">
                  <c:v>1731</c:v>
                </c:pt>
                <c:pt idx="12">
                  <c:v>1771</c:v>
                </c:pt>
                <c:pt idx="13">
                  <c:v>1800</c:v>
                </c:pt>
                <c:pt idx="14">
                  <c:v>1901</c:v>
                </c:pt>
                <c:pt idx="15">
                  <c:v>1920</c:v>
                </c:pt>
                <c:pt idx="16">
                  <c:v>1922</c:v>
                </c:pt>
                <c:pt idx="17">
                  <c:v>1935</c:v>
                </c:pt>
                <c:pt idx="18">
                  <c:v>1991</c:v>
                </c:pt>
                <c:pt idx="19">
                  <c:v>2133</c:v>
                </c:pt>
                <c:pt idx="20">
                  <c:v>2139</c:v>
                </c:pt>
                <c:pt idx="21">
                  <c:v>2146</c:v>
                </c:pt>
                <c:pt idx="22">
                  <c:v>2190</c:v>
                </c:pt>
                <c:pt idx="23">
                  <c:v>2203</c:v>
                </c:pt>
                <c:pt idx="24">
                  <c:v>2301</c:v>
                </c:pt>
                <c:pt idx="25">
                  <c:v>2379</c:v>
                </c:pt>
                <c:pt idx="26">
                  <c:v>2428</c:v>
                </c:pt>
                <c:pt idx="27">
                  <c:v>2435</c:v>
                </c:pt>
                <c:pt idx="28">
                  <c:v>2462</c:v>
                </c:pt>
                <c:pt idx="29">
                  <c:v>2463</c:v>
                </c:pt>
                <c:pt idx="30">
                  <c:v>2493</c:v>
                </c:pt>
                <c:pt idx="31">
                  <c:v>2511</c:v>
                </c:pt>
                <c:pt idx="32">
                  <c:v>2636</c:v>
                </c:pt>
                <c:pt idx="33">
                  <c:v>2736</c:v>
                </c:pt>
                <c:pt idx="34">
                  <c:v>2906</c:v>
                </c:pt>
                <c:pt idx="35">
                  <c:v>2919</c:v>
                </c:pt>
                <c:pt idx="36">
                  <c:v>2934</c:v>
                </c:pt>
                <c:pt idx="37">
                  <c:v>2991</c:v>
                </c:pt>
                <c:pt idx="38">
                  <c:v>3073</c:v>
                </c:pt>
                <c:pt idx="39">
                  <c:v>3114</c:v>
                </c:pt>
                <c:pt idx="40">
                  <c:v>3146</c:v>
                </c:pt>
                <c:pt idx="41">
                  <c:v>3167</c:v>
                </c:pt>
                <c:pt idx="42">
                  <c:v>3172</c:v>
                </c:pt>
                <c:pt idx="43">
                  <c:v>3247</c:v>
                </c:pt>
                <c:pt idx="44">
                  <c:v>3325</c:v>
                </c:pt>
                <c:pt idx="45">
                  <c:v>3325</c:v>
                </c:pt>
                <c:pt idx="46">
                  <c:v>3431</c:v>
                </c:pt>
                <c:pt idx="47">
                  <c:v>3557</c:v>
                </c:pt>
                <c:pt idx="48">
                  <c:v>3616</c:v>
                </c:pt>
                <c:pt idx="49">
                  <c:v>3616</c:v>
                </c:pt>
                <c:pt idx="50">
                  <c:v>3623</c:v>
                </c:pt>
                <c:pt idx="51">
                  <c:v>3623</c:v>
                </c:pt>
                <c:pt idx="52">
                  <c:v>3623</c:v>
                </c:pt>
                <c:pt idx="53">
                  <c:v>3638</c:v>
                </c:pt>
                <c:pt idx="54">
                  <c:v>3683</c:v>
                </c:pt>
                <c:pt idx="55">
                  <c:v>3749</c:v>
                </c:pt>
                <c:pt idx="56">
                  <c:v>3844</c:v>
                </c:pt>
                <c:pt idx="57">
                  <c:v>3870</c:v>
                </c:pt>
                <c:pt idx="58">
                  <c:v>3899</c:v>
                </c:pt>
                <c:pt idx="59">
                  <c:v>4003</c:v>
                </c:pt>
                <c:pt idx="60">
                  <c:v>4058</c:v>
                </c:pt>
                <c:pt idx="61">
                  <c:v>4124</c:v>
                </c:pt>
                <c:pt idx="62">
                  <c:v>4286</c:v>
                </c:pt>
                <c:pt idx="63">
                  <c:v>4440</c:v>
                </c:pt>
                <c:pt idx="64">
                  <c:v>4468</c:v>
                </c:pt>
                <c:pt idx="65">
                  <c:v>4628</c:v>
                </c:pt>
                <c:pt idx="66">
                  <c:v>4731</c:v>
                </c:pt>
                <c:pt idx="67">
                  <c:v>4873</c:v>
                </c:pt>
                <c:pt idx="68">
                  <c:v>4884</c:v>
                </c:pt>
                <c:pt idx="69">
                  <c:v>4949</c:v>
                </c:pt>
                <c:pt idx="70">
                  <c:v>5037</c:v>
                </c:pt>
                <c:pt idx="71">
                  <c:v>5074</c:v>
                </c:pt>
                <c:pt idx="72">
                  <c:v>5197</c:v>
                </c:pt>
                <c:pt idx="73">
                  <c:v>5304</c:v>
                </c:pt>
                <c:pt idx="74">
                  <c:v>5781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Set2ES!$C$1</c:f>
              <c:strCache>
                <c:ptCount val="1"/>
                <c:pt idx="0">
                  <c:v>ExpoSmoo</c:v>
                </c:pt>
              </c:strCache>
            </c:strRef>
          </c:tx>
          <c:xVal>
            <c:numRef>
              <c:f>Set2ES!$A$2:$A$76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Set2ES!$C$2:$C$76</c:f>
              <c:numCache>
                <c:formatCode>0.0</c:formatCode>
                <c:ptCount val="75"/>
                <c:pt idx="0">
                  <c:v>997</c:v>
                </c:pt>
                <c:pt idx="1">
                  <c:v>997</c:v>
                </c:pt>
                <c:pt idx="2">
                  <c:v>1031.8984818339618</c:v>
                </c:pt>
                <c:pt idx="3">
                  <c:v>1085.5692310721906</c:v>
                </c:pt>
                <c:pt idx="4">
                  <c:v>1129.8097679319508</c:v>
                </c:pt>
                <c:pt idx="5">
                  <c:v>1178.7375247139294</c:v>
                </c:pt>
                <c:pt idx="6">
                  <c:v>1235.406221465855</c:v>
                </c:pt>
                <c:pt idx="7">
                  <c:v>1284.1148695865941</c:v>
                </c:pt>
                <c:pt idx="8">
                  <c:v>1334.3999562926124</c:v>
                </c:pt>
                <c:pt idx="9">
                  <c:v>1420.2135024161385</c:v>
                </c:pt>
                <c:pt idx="10">
                  <c:v>1481.4829293222492</c:v>
                </c:pt>
                <c:pt idx="11">
                  <c:v>1526.1225217808151</c:v>
                </c:pt>
                <c:pt idx="12">
                  <c:v>1601.3847633789219</c:v>
                </c:pt>
                <c:pt idx="13">
                  <c:v>1663.6933344734884</c:v>
                </c:pt>
                <c:pt idx="14">
                  <c:v>1713.7659206916451</c:v>
                </c:pt>
                <c:pt idx="15">
                  <c:v>1782.5468166436576</c:v>
                </c:pt>
                <c:pt idx="16">
                  <c:v>1833.0405789845158</c:v>
                </c:pt>
                <c:pt idx="17">
                  <c:v>1865.7200393873436</c:v>
                </c:pt>
                <c:pt idx="18">
                  <c:v>1891.1702019862739</c:v>
                </c:pt>
                <c:pt idx="19">
                  <c:v>1927.8429219070117</c:v>
                </c:pt>
                <c:pt idx="20">
                  <c:v>2003.2078752010839</c:v>
                </c:pt>
                <c:pt idx="21">
                  <c:v>2053.0914436272951</c:v>
                </c:pt>
                <c:pt idx="22">
                  <c:v>2087.2216285409004</c:v>
                </c:pt>
                <c:pt idx="23">
                  <c:v>2124.9775141123696</c:v>
                </c:pt>
                <c:pt idx="24">
                  <c:v>2153.6392647059488</c:v>
                </c:pt>
                <c:pt idx="25">
                  <c:v>2207.7725904290933</c:v>
                </c:pt>
                <c:pt idx="26">
                  <c:v>2270.673397191058</c:v>
                </c:pt>
                <c:pt idx="27">
                  <c:v>2328.4677086660768</c:v>
                </c:pt>
                <c:pt idx="28">
                  <c:v>2367.6026058644688</c:v>
                </c:pt>
                <c:pt idx="29">
                  <c:v>2402.2797189635444</c:v>
                </c:pt>
                <c:pt idx="30">
                  <c:v>2424.5854623814794</c:v>
                </c:pt>
                <c:pt idx="31">
                  <c:v>2449.7177097315725</c:v>
                </c:pt>
                <c:pt idx="32">
                  <c:v>2472.2299086123758</c:v>
                </c:pt>
                <c:pt idx="33">
                  <c:v>2532.3912513411892</c:v>
                </c:pt>
                <c:pt idx="34">
                  <c:v>2607.1874220391387</c:v>
                </c:pt>
                <c:pt idx="35">
                  <c:v>2716.956951762575</c:v>
                </c:pt>
                <c:pt idx="36">
                  <c:v>2791.1779585898598</c:v>
                </c:pt>
                <c:pt idx="37">
                  <c:v>2843.6439840387138</c:v>
                </c:pt>
                <c:pt idx="38">
                  <c:v>2897.77557610345</c:v>
                </c:pt>
                <c:pt idx="39">
                  <c:v>2962.1446958320839</c:v>
                </c:pt>
                <c:pt idx="40">
                  <c:v>3017.9291123993971</c:v>
                </c:pt>
                <c:pt idx="41">
                  <c:v>3064.9762654982287</c:v>
                </c:pt>
                <c:pt idx="42">
                  <c:v>3102.4549333418395</c:v>
                </c:pt>
                <c:pt idx="43">
                  <c:v>3128.0024832935396</c:v>
                </c:pt>
                <c:pt idx="44">
                  <c:v>3171.7165114521395</c:v>
                </c:pt>
                <c:pt idx="45">
                  <c:v>3228.025575036706</c:v>
                </c:pt>
                <c:pt idx="46">
                  <c:v>3263.6493666992365</c:v>
                </c:pt>
                <c:pt idx="47">
                  <c:v>3325.126030237644</c:v>
                </c:pt>
                <c:pt idx="48">
                  <c:v>3410.3054988852255</c:v>
                </c:pt>
                <c:pt idx="49">
                  <c:v>3485.8678758378551</c:v>
                </c:pt>
                <c:pt idx="50">
                  <c:v>3533.6722292177233</c:v>
                </c:pt>
                <c:pt idx="51">
                  <c:v>3566.4870038062872</c:v>
                </c:pt>
                <c:pt idx="52">
                  <c:v>3587.2471908699613</c:v>
                </c:pt>
                <c:pt idx="53">
                  <c:v>3600.3810725535168</c:v>
                </c:pt>
                <c:pt idx="54">
                  <c:v>3614.2004773546141</c:v>
                </c:pt>
                <c:pt idx="55">
                  <c:v>3639.4741498938274</c:v>
                </c:pt>
                <c:pt idx="56">
                  <c:v>3679.7087382125592</c:v>
                </c:pt>
                <c:pt idx="57">
                  <c:v>3740.0615341595876</c:v>
                </c:pt>
                <c:pt idx="58">
                  <c:v>3787.7947466823721</c:v>
                </c:pt>
                <c:pt idx="59">
                  <c:v>3828.646267869176</c:v>
                </c:pt>
                <c:pt idx="60">
                  <c:v>3892.6955368528706</c:v>
                </c:pt>
                <c:pt idx="61">
                  <c:v>3953.4205347919542</c:v>
                </c:pt>
                <c:pt idx="62">
                  <c:v>4016.0833176110059</c:v>
                </c:pt>
                <c:pt idx="63">
                  <c:v>4115.2378695798016</c:v>
                </c:pt>
                <c:pt idx="64">
                  <c:v>4234.5400307253603</c:v>
                </c:pt>
                <c:pt idx="65">
                  <c:v>4320.302120164185</c:v>
                </c:pt>
                <c:pt idx="66">
                  <c:v>4433.3356872146978</c:v>
                </c:pt>
                <c:pt idx="67">
                  <c:v>4542.6833989237148</c:v>
                </c:pt>
                <c:pt idx="68">
                  <c:v>4664.0260084196807</c:v>
                </c:pt>
                <c:pt idx="69">
                  <c:v>4744.8339910418899</c:v>
                </c:pt>
                <c:pt idx="70">
                  <c:v>4819.8348726707018</c:v>
                </c:pt>
                <c:pt idx="71">
                  <c:v>4899.6110121556658</c:v>
                </c:pt>
                <c:pt idx="72">
                  <c:v>4963.6732324117547</c:v>
                </c:pt>
                <c:pt idx="73">
                  <c:v>5049.3863898860227</c:v>
                </c:pt>
                <c:pt idx="74">
                  <c:v>5142.9193209096238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7160"/>
        <c:axId val="595923240"/>
      </c:scatterChart>
      <c:valAx>
        <c:axId val="59592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5923240"/>
        <c:crosses val="autoZero"/>
        <c:crossBetween val="midCat"/>
      </c:valAx>
      <c:valAx>
        <c:axId val="595923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9271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Setr2Reg!$M$1</c:f>
          <c:strCache>
            <c:ptCount val="1"/>
            <c:pt idx="0">
              <c:v>StdDev=94, Fnext=944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Setr2Reg!$B$1</c:f>
              <c:strCache>
                <c:ptCount val="1"/>
                <c:pt idx="0">
                  <c:v>Office2 Data</c:v>
                </c:pt>
              </c:strCache>
            </c:strRef>
          </c:tx>
          <c:xVal>
            <c:numRef>
              <c:f>Setr2Reg!$A$2:$A$76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Setr2Reg!$B$2:$B$76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Setr2Reg!$C$1</c:f>
              <c:strCache>
                <c:ptCount val="1"/>
                <c:pt idx="0">
                  <c:v>Reg</c:v>
                </c:pt>
              </c:strCache>
            </c:strRef>
          </c:tx>
          <c:xVal>
            <c:numRef>
              <c:f>Setr2Reg!$A$2:$A$76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Setr2Reg!$C$2:$C$76</c:f>
              <c:numCache>
                <c:formatCode>0</c:formatCode>
                <c:ptCount val="75"/>
                <c:pt idx="0">
                  <c:v>165.92350877192999</c:v>
                </c:pt>
                <c:pt idx="1">
                  <c:v>176.29494547178774</c:v>
                </c:pt>
                <c:pt idx="2">
                  <c:v>186.66638217164547</c:v>
                </c:pt>
                <c:pt idx="3">
                  <c:v>197.03781887150322</c:v>
                </c:pt>
                <c:pt idx="4">
                  <c:v>207.40925557136097</c:v>
                </c:pt>
                <c:pt idx="5">
                  <c:v>217.78069227121873</c:v>
                </c:pt>
                <c:pt idx="6">
                  <c:v>228.15212897107648</c:v>
                </c:pt>
                <c:pt idx="7">
                  <c:v>238.5235656709342</c:v>
                </c:pt>
                <c:pt idx="8">
                  <c:v>248.89500237079199</c:v>
                </c:pt>
                <c:pt idx="9">
                  <c:v>259.26643907064971</c:v>
                </c:pt>
                <c:pt idx="10">
                  <c:v>269.63787577050743</c:v>
                </c:pt>
                <c:pt idx="11">
                  <c:v>280.00931247036522</c:v>
                </c:pt>
                <c:pt idx="12">
                  <c:v>290.380749170223</c:v>
                </c:pt>
                <c:pt idx="13">
                  <c:v>300.75218587008067</c:v>
                </c:pt>
                <c:pt idx="14">
                  <c:v>311.12362256993845</c:v>
                </c:pt>
                <c:pt idx="15">
                  <c:v>321.49505926979623</c:v>
                </c:pt>
                <c:pt idx="16">
                  <c:v>331.86649596965395</c:v>
                </c:pt>
                <c:pt idx="17">
                  <c:v>342.23793266951168</c:v>
                </c:pt>
                <c:pt idx="18">
                  <c:v>352.60936936936946</c:v>
                </c:pt>
                <c:pt idx="19">
                  <c:v>362.98080606922719</c:v>
                </c:pt>
                <c:pt idx="20">
                  <c:v>373.35224276908491</c:v>
                </c:pt>
                <c:pt idx="21">
                  <c:v>383.72367946894269</c:v>
                </c:pt>
                <c:pt idx="22">
                  <c:v>394.09511616880047</c:v>
                </c:pt>
                <c:pt idx="23">
                  <c:v>404.4665528686582</c:v>
                </c:pt>
                <c:pt idx="24">
                  <c:v>414.83798956851592</c:v>
                </c:pt>
                <c:pt idx="25">
                  <c:v>425.2094262683737</c:v>
                </c:pt>
                <c:pt idx="26">
                  <c:v>435.58086296823143</c:v>
                </c:pt>
                <c:pt idx="27">
                  <c:v>445.95229966808915</c:v>
                </c:pt>
                <c:pt idx="28">
                  <c:v>456.32373636794694</c:v>
                </c:pt>
                <c:pt idx="29">
                  <c:v>466.69517306780466</c:v>
                </c:pt>
                <c:pt idx="30">
                  <c:v>477.06660976766244</c:v>
                </c:pt>
                <c:pt idx="31">
                  <c:v>487.43804646752017</c:v>
                </c:pt>
                <c:pt idx="32">
                  <c:v>497.80948316737789</c:v>
                </c:pt>
                <c:pt idx="33">
                  <c:v>508.18091986723567</c:v>
                </c:pt>
                <c:pt idx="34">
                  <c:v>518.5523565670934</c:v>
                </c:pt>
                <c:pt idx="35">
                  <c:v>528.92379326695118</c:v>
                </c:pt>
                <c:pt idx="36">
                  <c:v>539.29522996680885</c:v>
                </c:pt>
                <c:pt idx="37">
                  <c:v>549.66666666666663</c:v>
                </c:pt>
                <c:pt idx="38">
                  <c:v>560.03810336652441</c:v>
                </c:pt>
                <c:pt idx="39">
                  <c:v>570.40954006638208</c:v>
                </c:pt>
                <c:pt idx="40">
                  <c:v>580.78097676623997</c:v>
                </c:pt>
                <c:pt idx="41">
                  <c:v>591.15241346609764</c:v>
                </c:pt>
                <c:pt idx="42">
                  <c:v>601.52385016595531</c:v>
                </c:pt>
                <c:pt idx="43">
                  <c:v>611.8952868658132</c:v>
                </c:pt>
                <c:pt idx="44">
                  <c:v>622.26672356567087</c:v>
                </c:pt>
                <c:pt idx="45">
                  <c:v>632.63816026552865</c:v>
                </c:pt>
                <c:pt idx="46">
                  <c:v>643.00959696538644</c:v>
                </c:pt>
                <c:pt idx="47">
                  <c:v>653.3810336652441</c:v>
                </c:pt>
                <c:pt idx="48">
                  <c:v>663.75247036510189</c:v>
                </c:pt>
                <c:pt idx="49">
                  <c:v>674.12390706495967</c:v>
                </c:pt>
                <c:pt idx="50">
                  <c:v>684.49534376481733</c:v>
                </c:pt>
                <c:pt idx="51">
                  <c:v>694.86678046467523</c:v>
                </c:pt>
                <c:pt idx="52">
                  <c:v>705.2382171645329</c:v>
                </c:pt>
                <c:pt idx="53">
                  <c:v>715.60965386439057</c:v>
                </c:pt>
                <c:pt idx="54">
                  <c:v>725.98109056424846</c:v>
                </c:pt>
                <c:pt idx="55">
                  <c:v>736.35252726410613</c:v>
                </c:pt>
                <c:pt idx="56">
                  <c:v>746.7239639639638</c:v>
                </c:pt>
                <c:pt idx="57">
                  <c:v>757.09540066382169</c:v>
                </c:pt>
                <c:pt idx="58">
                  <c:v>767.46683736367936</c:v>
                </c:pt>
                <c:pt idx="59">
                  <c:v>777.83827406353703</c:v>
                </c:pt>
                <c:pt idx="60">
                  <c:v>788.20971076339492</c:v>
                </c:pt>
                <c:pt idx="61">
                  <c:v>798.58114746325259</c:v>
                </c:pt>
                <c:pt idx="62">
                  <c:v>808.95258416311026</c:v>
                </c:pt>
                <c:pt idx="63">
                  <c:v>819.32402086296815</c:v>
                </c:pt>
                <c:pt idx="64">
                  <c:v>829.69545756282582</c:v>
                </c:pt>
                <c:pt idx="65">
                  <c:v>840.06689426268349</c:v>
                </c:pt>
                <c:pt idx="66">
                  <c:v>850.43833096254139</c:v>
                </c:pt>
                <c:pt idx="67">
                  <c:v>860.80976766239905</c:v>
                </c:pt>
                <c:pt idx="68">
                  <c:v>871.18120436225695</c:v>
                </c:pt>
                <c:pt idx="69">
                  <c:v>881.55264106211462</c:v>
                </c:pt>
                <c:pt idx="70">
                  <c:v>891.92407776197228</c:v>
                </c:pt>
                <c:pt idx="71">
                  <c:v>902.29551446183018</c:v>
                </c:pt>
                <c:pt idx="72">
                  <c:v>912.66695116168785</c:v>
                </c:pt>
                <c:pt idx="73">
                  <c:v>923.03838786154552</c:v>
                </c:pt>
                <c:pt idx="74">
                  <c:v>933.40982456140341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2064"/>
        <c:axId val="595922848"/>
      </c:scatterChart>
      <c:valAx>
        <c:axId val="59592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5922848"/>
        <c:crosses val="autoZero"/>
        <c:crossBetween val="midCat"/>
      </c:valAx>
      <c:valAx>
        <c:axId val="595922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9220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'Set3'!$A$4:$A$76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'Set3'!$B$4:$B$76</c:f>
              <c:numCache>
                <c:formatCode>0</c:formatCode>
                <c:ptCount val="73"/>
                <c:pt idx="0">
                  <c:v>1333</c:v>
                </c:pt>
                <c:pt idx="1">
                  <c:v>1368</c:v>
                </c:pt>
                <c:pt idx="2">
                  <c:v>1587</c:v>
                </c:pt>
                <c:pt idx="3">
                  <c:v>1178</c:v>
                </c:pt>
                <c:pt idx="4">
                  <c:v>1263</c:v>
                </c:pt>
                <c:pt idx="5">
                  <c:v>1731</c:v>
                </c:pt>
                <c:pt idx="6">
                  <c:v>1603</c:v>
                </c:pt>
                <c:pt idx="7">
                  <c:v>1935</c:v>
                </c:pt>
                <c:pt idx="8">
                  <c:v>1206</c:v>
                </c:pt>
                <c:pt idx="9">
                  <c:v>1771</c:v>
                </c:pt>
                <c:pt idx="10">
                  <c:v>2190</c:v>
                </c:pt>
                <c:pt idx="11">
                  <c:v>1920</c:v>
                </c:pt>
                <c:pt idx="12">
                  <c:v>2301</c:v>
                </c:pt>
                <c:pt idx="13">
                  <c:v>1421</c:v>
                </c:pt>
                <c:pt idx="14">
                  <c:v>1568</c:v>
                </c:pt>
                <c:pt idx="15">
                  <c:v>2146</c:v>
                </c:pt>
                <c:pt idx="16">
                  <c:v>2379</c:v>
                </c:pt>
                <c:pt idx="17">
                  <c:v>2435</c:v>
                </c:pt>
                <c:pt idx="18">
                  <c:v>1800</c:v>
                </c:pt>
                <c:pt idx="19">
                  <c:v>2139</c:v>
                </c:pt>
                <c:pt idx="20">
                  <c:v>2493</c:v>
                </c:pt>
                <c:pt idx="21">
                  <c:v>2428</c:v>
                </c:pt>
                <c:pt idx="22">
                  <c:v>2906</c:v>
                </c:pt>
                <c:pt idx="23">
                  <c:v>1991</c:v>
                </c:pt>
                <c:pt idx="24">
                  <c:v>1901</c:v>
                </c:pt>
                <c:pt idx="25">
                  <c:v>2133</c:v>
                </c:pt>
                <c:pt idx="26">
                  <c:v>3172</c:v>
                </c:pt>
                <c:pt idx="27">
                  <c:v>3247</c:v>
                </c:pt>
                <c:pt idx="28">
                  <c:v>1922</c:v>
                </c:pt>
                <c:pt idx="29">
                  <c:v>2463</c:v>
                </c:pt>
                <c:pt idx="30">
                  <c:v>2736</c:v>
                </c:pt>
                <c:pt idx="31">
                  <c:v>2919</c:v>
                </c:pt>
                <c:pt idx="32">
                  <c:v>3623</c:v>
                </c:pt>
                <c:pt idx="33">
                  <c:v>2511</c:v>
                </c:pt>
                <c:pt idx="34">
                  <c:v>2462</c:v>
                </c:pt>
                <c:pt idx="35">
                  <c:v>2934</c:v>
                </c:pt>
                <c:pt idx="36">
                  <c:v>3638</c:v>
                </c:pt>
                <c:pt idx="37">
                  <c:v>3870</c:v>
                </c:pt>
                <c:pt idx="38">
                  <c:v>2203</c:v>
                </c:pt>
                <c:pt idx="39">
                  <c:v>3431</c:v>
                </c:pt>
                <c:pt idx="40">
                  <c:v>2991</c:v>
                </c:pt>
                <c:pt idx="41">
                  <c:v>4286</c:v>
                </c:pt>
                <c:pt idx="42">
                  <c:v>3325</c:v>
                </c:pt>
                <c:pt idx="43">
                  <c:v>3146</c:v>
                </c:pt>
                <c:pt idx="44">
                  <c:v>3325</c:v>
                </c:pt>
                <c:pt idx="45">
                  <c:v>3749</c:v>
                </c:pt>
                <c:pt idx="46">
                  <c:v>3616</c:v>
                </c:pt>
                <c:pt idx="47">
                  <c:v>3844</c:v>
                </c:pt>
                <c:pt idx="48">
                  <c:v>2636</c:v>
                </c:pt>
                <c:pt idx="49">
                  <c:v>3114</c:v>
                </c:pt>
                <c:pt idx="50">
                  <c:v>3616</c:v>
                </c:pt>
                <c:pt idx="51">
                  <c:v>4468</c:v>
                </c:pt>
                <c:pt idx="52">
                  <c:v>4058</c:v>
                </c:pt>
                <c:pt idx="53">
                  <c:v>3073</c:v>
                </c:pt>
                <c:pt idx="54">
                  <c:v>4124</c:v>
                </c:pt>
                <c:pt idx="55">
                  <c:v>3557</c:v>
                </c:pt>
                <c:pt idx="56">
                  <c:v>4873</c:v>
                </c:pt>
                <c:pt idx="57">
                  <c:v>5037</c:v>
                </c:pt>
                <c:pt idx="58">
                  <c:v>3623</c:v>
                </c:pt>
                <c:pt idx="59">
                  <c:v>3683</c:v>
                </c:pt>
                <c:pt idx="60">
                  <c:v>4440</c:v>
                </c:pt>
                <c:pt idx="61">
                  <c:v>4884</c:v>
                </c:pt>
                <c:pt idx="62">
                  <c:v>5074</c:v>
                </c:pt>
                <c:pt idx="63">
                  <c:v>3167</c:v>
                </c:pt>
                <c:pt idx="64">
                  <c:v>4003</c:v>
                </c:pt>
                <c:pt idx="65">
                  <c:v>4628</c:v>
                </c:pt>
                <c:pt idx="66">
                  <c:v>5304</c:v>
                </c:pt>
                <c:pt idx="67">
                  <c:v>5197</c:v>
                </c:pt>
                <c:pt idx="68">
                  <c:v>3899</c:v>
                </c:pt>
                <c:pt idx="69">
                  <c:v>3623</c:v>
                </c:pt>
                <c:pt idx="70">
                  <c:v>4731</c:v>
                </c:pt>
                <c:pt idx="71">
                  <c:v>4949</c:v>
                </c:pt>
                <c:pt idx="72">
                  <c:v>5781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1672"/>
        <c:axId val="595924416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'Set3'!$A$4:$A$76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'Set3'!$C$4:$C$76</c:f>
              <c:numCache>
                <c:formatCode>0</c:formatCode>
                <c:ptCount val="73"/>
                <c:pt idx="0">
                  <c:v>1275.4000000000001</c:v>
                </c:pt>
                <c:pt idx="1">
                  <c:v>1311.6</c:v>
                </c:pt>
                <c:pt idx="2">
                  <c:v>1345.8</c:v>
                </c:pt>
                <c:pt idx="3">
                  <c:v>1425.4</c:v>
                </c:pt>
                <c:pt idx="4">
                  <c:v>1472.4</c:v>
                </c:pt>
                <c:pt idx="5">
                  <c:v>1542</c:v>
                </c:pt>
                <c:pt idx="6">
                  <c:v>1547.6</c:v>
                </c:pt>
                <c:pt idx="7">
                  <c:v>1649.2</c:v>
                </c:pt>
                <c:pt idx="8">
                  <c:v>1741</c:v>
                </c:pt>
                <c:pt idx="9">
                  <c:v>1804.4</c:v>
                </c:pt>
                <c:pt idx="10">
                  <c:v>1877.6</c:v>
                </c:pt>
                <c:pt idx="11">
                  <c:v>1920.6</c:v>
                </c:pt>
                <c:pt idx="12">
                  <c:v>1880</c:v>
                </c:pt>
                <c:pt idx="13">
                  <c:v>1871.2</c:v>
                </c:pt>
                <c:pt idx="14">
                  <c:v>1963</c:v>
                </c:pt>
                <c:pt idx="15">
                  <c:v>1989.8</c:v>
                </c:pt>
                <c:pt idx="16">
                  <c:v>2065.6</c:v>
                </c:pt>
                <c:pt idx="17">
                  <c:v>2179.8000000000002</c:v>
                </c:pt>
                <c:pt idx="18">
                  <c:v>2249.1999999999998</c:v>
                </c:pt>
                <c:pt idx="19">
                  <c:v>2259</c:v>
                </c:pt>
                <c:pt idx="20">
                  <c:v>2353.1999999999998</c:v>
                </c:pt>
                <c:pt idx="21">
                  <c:v>2391.4</c:v>
                </c:pt>
                <c:pt idx="22">
                  <c:v>2343.8000000000002</c:v>
                </c:pt>
                <c:pt idx="23">
                  <c:v>2271.8000000000002</c:v>
                </c:pt>
                <c:pt idx="24">
                  <c:v>2420.6</c:v>
                </c:pt>
                <c:pt idx="25">
                  <c:v>2488.8000000000002</c:v>
                </c:pt>
                <c:pt idx="26">
                  <c:v>2475</c:v>
                </c:pt>
                <c:pt idx="27">
                  <c:v>2587.4</c:v>
                </c:pt>
                <c:pt idx="28">
                  <c:v>2708</c:v>
                </c:pt>
                <c:pt idx="29">
                  <c:v>2657.4</c:v>
                </c:pt>
                <c:pt idx="30">
                  <c:v>2732.6</c:v>
                </c:pt>
                <c:pt idx="31">
                  <c:v>2850.4</c:v>
                </c:pt>
                <c:pt idx="32">
                  <c:v>2850.2</c:v>
                </c:pt>
                <c:pt idx="33">
                  <c:v>2889.8</c:v>
                </c:pt>
                <c:pt idx="34">
                  <c:v>3033.6</c:v>
                </c:pt>
                <c:pt idx="35">
                  <c:v>3083</c:v>
                </c:pt>
                <c:pt idx="36">
                  <c:v>3021.4</c:v>
                </c:pt>
                <c:pt idx="37">
                  <c:v>3215.2</c:v>
                </c:pt>
                <c:pt idx="38">
                  <c:v>3226.6</c:v>
                </c:pt>
                <c:pt idx="39">
                  <c:v>3356.2</c:v>
                </c:pt>
                <c:pt idx="40">
                  <c:v>3247.2</c:v>
                </c:pt>
                <c:pt idx="41">
                  <c:v>3435.8</c:v>
                </c:pt>
                <c:pt idx="42">
                  <c:v>3414.6</c:v>
                </c:pt>
                <c:pt idx="43">
                  <c:v>3566.2</c:v>
                </c:pt>
                <c:pt idx="44">
                  <c:v>3432.2</c:v>
                </c:pt>
                <c:pt idx="45">
                  <c:v>3536</c:v>
                </c:pt>
                <c:pt idx="46">
                  <c:v>3434</c:v>
                </c:pt>
                <c:pt idx="47">
                  <c:v>3391.8</c:v>
                </c:pt>
                <c:pt idx="48">
                  <c:v>3365.2</c:v>
                </c:pt>
                <c:pt idx="49">
                  <c:v>3535.6</c:v>
                </c:pt>
                <c:pt idx="50">
                  <c:v>3578.4</c:v>
                </c:pt>
                <c:pt idx="51">
                  <c:v>3665.8</c:v>
                </c:pt>
                <c:pt idx="52">
                  <c:v>3867.8</c:v>
                </c:pt>
                <c:pt idx="53">
                  <c:v>3856</c:v>
                </c:pt>
                <c:pt idx="54">
                  <c:v>3937</c:v>
                </c:pt>
                <c:pt idx="55">
                  <c:v>4132.8</c:v>
                </c:pt>
                <c:pt idx="56">
                  <c:v>4242.8</c:v>
                </c:pt>
                <c:pt idx="57">
                  <c:v>4154.6000000000004</c:v>
                </c:pt>
                <c:pt idx="58">
                  <c:v>4331.2</c:v>
                </c:pt>
                <c:pt idx="59">
                  <c:v>4333.3999999999996</c:v>
                </c:pt>
                <c:pt idx="60">
                  <c:v>4340.8</c:v>
                </c:pt>
                <c:pt idx="61">
                  <c:v>4249.6000000000004</c:v>
                </c:pt>
                <c:pt idx="62">
                  <c:v>4313.6000000000004</c:v>
                </c:pt>
                <c:pt idx="63">
                  <c:v>4351.2</c:v>
                </c:pt>
                <c:pt idx="64">
                  <c:v>4435.2</c:v>
                </c:pt>
                <c:pt idx="65">
                  <c:v>4459.8</c:v>
                </c:pt>
                <c:pt idx="66">
                  <c:v>4606.2</c:v>
                </c:pt>
                <c:pt idx="67">
                  <c:v>4530.2</c:v>
                </c:pt>
                <c:pt idx="68">
                  <c:v>4550.8</c:v>
                </c:pt>
                <c:pt idx="69">
                  <c:v>4479.8</c:v>
                </c:pt>
                <c:pt idx="70">
                  <c:v>4596.6000000000004</c:v>
                </c:pt>
                <c:pt idx="71">
                  <c:v>4771</c:v>
                </c:pt>
                <c:pt idx="72">
                  <c:v>5153.666666666667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1672"/>
        <c:axId val="595924416"/>
      </c:scatterChart>
      <c:valAx>
        <c:axId val="59592167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95924416"/>
        <c:crosses val="autoZero"/>
        <c:crossBetween val="midCat"/>
      </c:valAx>
      <c:valAx>
        <c:axId val="595924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921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'Set3'!$A$4:$A$76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'Set3'!$B$4:$B$76</c:f>
              <c:numCache>
                <c:formatCode>0</c:formatCode>
                <c:ptCount val="73"/>
                <c:pt idx="0">
                  <c:v>1333</c:v>
                </c:pt>
                <c:pt idx="1">
                  <c:v>1368</c:v>
                </c:pt>
                <c:pt idx="2">
                  <c:v>1587</c:v>
                </c:pt>
                <c:pt idx="3">
                  <c:v>1178</c:v>
                </c:pt>
                <c:pt idx="4">
                  <c:v>1263</c:v>
                </c:pt>
                <c:pt idx="5">
                  <c:v>1731</c:v>
                </c:pt>
                <c:pt idx="6">
                  <c:v>1603</c:v>
                </c:pt>
                <c:pt idx="7">
                  <c:v>1935</c:v>
                </c:pt>
                <c:pt idx="8">
                  <c:v>1206</c:v>
                </c:pt>
                <c:pt idx="9">
                  <c:v>1771</c:v>
                </c:pt>
                <c:pt idx="10">
                  <c:v>2190</c:v>
                </c:pt>
                <c:pt idx="11">
                  <c:v>1920</c:v>
                </c:pt>
                <c:pt idx="12">
                  <c:v>2301</c:v>
                </c:pt>
                <c:pt idx="13">
                  <c:v>1421</c:v>
                </c:pt>
                <c:pt idx="14">
                  <c:v>1568</c:v>
                </c:pt>
                <c:pt idx="15">
                  <c:v>2146</c:v>
                </c:pt>
                <c:pt idx="16">
                  <c:v>2379</c:v>
                </c:pt>
                <c:pt idx="17">
                  <c:v>2435</c:v>
                </c:pt>
                <c:pt idx="18">
                  <c:v>1800</c:v>
                </c:pt>
                <c:pt idx="19">
                  <c:v>2139</c:v>
                </c:pt>
                <c:pt idx="20">
                  <c:v>2493</c:v>
                </c:pt>
                <c:pt idx="21">
                  <c:v>2428</c:v>
                </c:pt>
                <c:pt idx="22">
                  <c:v>2906</c:v>
                </c:pt>
                <c:pt idx="23">
                  <c:v>1991</c:v>
                </c:pt>
                <c:pt idx="24">
                  <c:v>1901</c:v>
                </c:pt>
                <c:pt idx="25">
                  <c:v>2133</c:v>
                </c:pt>
                <c:pt idx="26">
                  <c:v>3172</c:v>
                </c:pt>
                <c:pt idx="27">
                  <c:v>3247</c:v>
                </c:pt>
                <c:pt idx="28">
                  <c:v>1922</c:v>
                </c:pt>
                <c:pt idx="29">
                  <c:v>2463</c:v>
                </c:pt>
                <c:pt idx="30">
                  <c:v>2736</c:v>
                </c:pt>
                <c:pt idx="31">
                  <c:v>2919</c:v>
                </c:pt>
                <c:pt idx="32">
                  <c:v>3623</c:v>
                </c:pt>
                <c:pt idx="33">
                  <c:v>2511</c:v>
                </c:pt>
                <c:pt idx="34">
                  <c:v>2462</c:v>
                </c:pt>
                <c:pt idx="35">
                  <c:v>2934</c:v>
                </c:pt>
                <c:pt idx="36">
                  <c:v>3638</c:v>
                </c:pt>
                <c:pt idx="37">
                  <c:v>3870</c:v>
                </c:pt>
                <c:pt idx="38">
                  <c:v>2203</c:v>
                </c:pt>
                <c:pt idx="39">
                  <c:v>3431</c:v>
                </c:pt>
                <c:pt idx="40">
                  <c:v>2991</c:v>
                </c:pt>
                <c:pt idx="41">
                  <c:v>4286</c:v>
                </c:pt>
                <c:pt idx="42">
                  <c:v>3325</c:v>
                </c:pt>
                <c:pt idx="43">
                  <c:v>3146</c:v>
                </c:pt>
                <c:pt idx="44">
                  <c:v>3325</c:v>
                </c:pt>
                <c:pt idx="45">
                  <c:v>3749</c:v>
                </c:pt>
                <c:pt idx="46">
                  <c:v>3616</c:v>
                </c:pt>
                <c:pt idx="47">
                  <c:v>3844</c:v>
                </c:pt>
                <c:pt idx="48">
                  <c:v>2636</c:v>
                </c:pt>
                <c:pt idx="49">
                  <c:v>3114</c:v>
                </c:pt>
                <c:pt idx="50">
                  <c:v>3616</c:v>
                </c:pt>
                <c:pt idx="51">
                  <c:v>4468</c:v>
                </c:pt>
                <c:pt idx="52">
                  <c:v>4058</c:v>
                </c:pt>
                <c:pt idx="53">
                  <c:v>3073</c:v>
                </c:pt>
                <c:pt idx="54">
                  <c:v>4124</c:v>
                </c:pt>
                <c:pt idx="55">
                  <c:v>3557</c:v>
                </c:pt>
                <c:pt idx="56">
                  <c:v>4873</c:v>
                </c:pt>
                <c:pt idx="57">
                  <c:v>5037</c:v>
                </c:pt>
                <c:pt idx="58">
                  <c:v>3623</c:v>
                </c:pt>
                <c:pt idx="59">
                  <c:v>3683</c:v>
                </c:pt>
                <c:pt idx="60">
                  <c:v>4440</c:v>
                </c:pt>
                <c:pt idx="61">
                  <c:v>4884</c:v>
                </c:pt>
                <c:pt idx="62">
                  <c:v>5074</c:v>
                </c:pt>
                <c:pt idx="63">
                  <c:v>3167</c:v>
                </c:pt>
                <c:pt idx="64">
                  <c:v>4003</c:v>
                </c:pt>
                <c:pt idx="65">
                  <c:v>4628</c:v>
                </c:pt>
                <c:pt idx="66">
                  <c:v>5304</c:v>
                </c:pt>
                <c:pt idx="67">
                  <c:v>5197</c:v>
                </c:pt>
                <c:pt idx="68">
                  <c:v>3899</c:v>
                </c:pt>
                <c:pt idx="69">
                  <c:v>3623</c:v>
                </c:pt>
                <c:pt idx="70">
                  <c:v>4731</c:v>
                </c:pt>
                <c:pt idx="71">
                  <c:v>4949</c:v>
                </c:pt>
                <c:pt idx="72">
                  <c:v>5781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'Set3'!$A$4:$A$76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'Set3'!$G$4:$G$76</c:f>
              <c:numCache>
                <c:formatCode>General</c:formatCode>
                <c:ptCount val="73"/>
                <c:pt idx="0">
                  <c:v>1319.112863652294</c:v>
                </c:pt>
                <c:pt idx="1">
                  <c:v>1503.3706996811079</c:v>
                </c:pt>
                <c:pt idx="2">
                  <c:v>1627.4226937451872</c:v>
                </c:pt>
                <c:pt idx="3">
                  <c:v>1141.4567332435583</c:v>
                </c:pt>
                <c:pt idx="4">
                  <c:v>1343.6902819603895</c:v>
                </c:pt>
                <c:pt idx="5">
                  <c:v>1569.535646317252</c:v>
                </c:pt>
                <c:pt idx="6">
                  <c:v>1778.3334394883168</c:v>
                </c:pt>
                <c:pt idx="7">
                  <c:v>1914.5705094893926</c:v>
                </c:pt>
                <c:pt idx="8">
                  <c:v>1335.9941512137443</c:v>
                </c:pt>
                <c:pt idx="9">
                  <c:v>1565.1456889232811</c:v>
                </c:pt>
                <c:pt idx="10">
                  <c:v>1819.9584289822103</c:v>
                </c:pt>
                <c:pt idx="11">
                  <c:v>2053.2961792955257</c:v>
                </c:pt>
                <c:pt idx="12">
                  <c:v>2201.7183252335985</c:v>
                </c:pt>
                <c:pt idx="13">
                  <c:v>1530.5315691839298</c:v>
                </c:pt>
                <c:pt idx="14">
                  <c:v>1786.6010958861732</c:v>
                </c:pt>
                <c:pt idx="15">
                  <c:v>2070.3812116471686</c:v>
                </c:pt>
                <c:pt idx="16">
                  <c:v>2328.2589191027341</c:v>
                </c:pt>
                <c:pt idx="17">
                  <c:v>2488.8661409778042</c:v>
                </c:pt>
                <c:pt idx="18">
                  <c:v>1725.0689871541158</c:v>
                </c:pt>
                <c:pt idx="19">
                  <c:v>2008.0565028490651</c:v>
                </c:pt>
                <c:pt idx="20">
                  <c:v>2320.8039943121266</c:v>
                </c:pt>
                <c:pt idx="21">
                  <c:v>2603.221658909943</c:v>
                </c:pt>
                <c:pt idx="22">
                  <c:v>2776.0139567220099</c:v>
                </c:pt>
                <c:pt idx="23">
                  <c:v>1919.6064051243013</c:v>
                </c:pt>
                <c:pt idx="24">
                  <c:v>2229.5119098119567</c:v>
                </c:pt>
                <c:pt idx="25">
                  <c:v>2571.2267769770847</c:v>
                </c:pt>
                <c:pt idx="26">
                  <c:v>2878.1843987171519</c:v>
                </c:pt>
                <c:pt idx="27">
                  <c:v>3063.161772466216</c:v>
                </c:pt>
                <c:pt idx="28">
                  <c:v>2114.1438230944868</c:v>
                </c:pt>
                <c:pt idx="29">
                  <c:v>2450.9673167748488</c:v>
                </c:pt>
                <c:pt idx="30">
                  <c:v>2821.6495596420432</c:v>
                </c:pt>
                <c:pt idx="31">
                  <c:v>3153.1471385243613</c:v>
                </c:pt>
                <c:pt idx="32">
                  <c:v>3350.3095882104212</c:v>
                </c:pt>
                <c:pt idx="33">
                  <c:v>2308.6812410646726</c:v>
                </c:pt>
                <c:pt idx="34">
                  <c:v>2672.4227237377409</c:v>
                </c:pt>
                <c:pt idx="35">
                  <c:v>3072.0723423070017</c:v>
                </c:pt>
                <c:pt idx="36">
                  <c:v>3428.1098783315697</c:v>
                </c:pt>
                <c:pt idx="37">
                  <c:v>3637.4574039546269</c:v>
                </c:pt>
                <c:pt idx="38">
                  <c:v>2503.2186590348583</c:v>
                </c:pt>
                <c:pt idx="39">
                  <c:v>2893.8781307006329</c:v>
                </c:pt>
                <c:pt idx="40">
                  <c:v>3322.4951249719597</c:v>
                </c:pt>
                <c:pt idx="41">
                  <c:v>3703.0726181387786</c:v>
                </c:pt>
                <c:pt idx="42">
                  <c:v>3924.6052196988326</c:v>
                </c:pt>
                <c:pt idx="43">
                  <c:v>2697.7560770050445</c:v>
                </c:pt>
                <c:pt idx="44">
                  <c:v>3115.333537663525</c:v>
                </c:pt>
                <c:pt idx="45">
                  <c:v>3572.9179076369178</c:v>
                </c:pt>
                <c:pt idx="46">
                  <c:v>3978.035357945987</c:v>
                </c:pt>
                <c:pt idx="47">
                  <c:v>4211.7530354430382</c:v>
                </c:pt>
                <c:pt idx="48">
                  <c:v>2892.2934949752298</c:v>
                </c:pt>
                <c:pt idx="49">
                  <c:v>3336.7889446264167</c:v>
                </c:pt>
                <c:pt idx="50">
                  <c:v>3823.3406903018758</c:v>
                </c:pt>
                <c:pt idx="51">
                  <c:v>4252.9980977531959</c:v>
                </c:pt>
                <c:pt idx="52">
                  <c:v>4498.9008511872444</c:v>
                </c:pt>
                <c:pt idx="53">
                  <c:v>3086.8309129454155</c:v>
                </c:pt>
                <c:pt idx="54">
                  <c:v>3558.2443515893083</c:v>
                </c:pt>
                <c:pt idx="55">
                  <c:v>4073.7634729668343</c:v>
                </c:pt>
                <c:pt idx="56">
                  <c:v>4527.9608375604057</c:v>
                </c:pt>
                <c:pt idx="57">
                  <c:v>4786.0486669314496</c:v>
                </c:pt>
                <c:pt idx="58">
                  <c:v>3281.3683309156013</c:v>
                </c:pt>
                <c:pt idx="59">
                  <c:v>3779.6997585521999</c:v>
                </c:pt>
                <c:pt idx="60">
                  <c:v>4324.1862556317928</c:v>
                </c:pt>
                <c:pt idx="61">
                  <c:v>4802.9235773676146</c:v>
                </c:pt>
                <c:pt idx="62">
                  <c:v>5073.1964826756557</c:v>
                </c:pt>
                <c:pt idx="63">
                  <c:v>3475.9057488857866</c:v>
                </c:pt>
                <c:pt idx="64">
                  <c:v>4001.155165515092</c:v>
                </c:pt>
                <c:pt idx="65">
                  <c:v>4574.6090382967514</c:v>
                </c:pt>
                <c:pt idx="66">
                  <c:v>5077.8863171748226</c:v>
                </c:pt>
                <c:pt idx="67">
                  <c:v>5360.3442984198609</c:v>
                </c:pt>
                <c:pt idx="68">
                  <c:v>3670.4431668559723</c:v>
                </c:pt>
                <c:pt idx="69">
                  <c:v>4222.6105724779845</c:v>
                </c:pt>
                <c:pt idx="70">
                  <c:v>4825.0318209617089</c:v>
                </c:pt>
                <c:pt idx="71">
                  <c:v>5352.8490569820315</c:v>
                </c:pt>
                <c:pt idx="72">
                  <c:v>5647.4921141640662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5592"/>
        <c:axId val="595925200"/>
      </c:scatterChart>
      <c:valAx>
        <c:axId val="59592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5925200"/>
        <c:crosses val="autoZero"/>
        <c:crossBetween val="midCat"/>
      </c:valAx>
      <c:valAx>
        <c:axId val="595925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95925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'Set3'!$B$1</c:f>
              <c:strCache>
                <c:ptCount val="1"/>
                <c:pt idx="0">
                  <c:v>Office 3</c:v>
                </c:pt>
              </c:strCache>
            </c:strRef>
          </c:tx>
          <c:xVal>
            <c:numRef>
              <c:f>'Set3'!$A$2:$A$76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'Set3'!$B$2:$B$76</c:f>
              <c:numCache>
                <c:formatCode>0</c:formatCode>
                <c:ptCount val="75"/>
                <c:pt idx="0">
                  <c:v>997</c:v>
                </c:pt>
                <c:pt idx="1">
                  <c:v>1092</c:v>
                </c:pt>
                <c:pt idx="2">
                  <c:v>1333</c:v>
                </c:pt>
                <c:pt idx="3">
                  <c:v>1368</c:v>
                </c:pt>
                <c:pt idx="4">
                  <c:v>1587</c:v>
                </c:pt>
                <c:pt idx="5">
                  <c:v>1178</c:v>
                </c:pt>
                <c:pt idx="6">
                  <c:v>1263</c:v>
                </c:pt>
                <c:pt idx="7">
                  <c:v>1731</c:v>
                </c:pt>
                <c:pt idx="8">
                  <c:v>1603</c:v>
                </c:pt>
                <c:pt idx="9">
                  <c:v>1935</c:v>
                </c:pt>
                <c:pt idx="10">
                  <c:v>1206</c:v>
                </c:pt>
                <c:pt idx="11">
                  <c:v>1771</c:v>
                </c:pt>
                <c:pt idx="12">
                  <c:v>2190</c:v>
                </c:pt>
                <c:pt idx="13">
                  <c:v>1920</c:v>
                </c:pt>
                <c:pt idx="14">
                  <c:v>2301</c:v>
                </c:pt>
                <c:pt idx="15">
                  <c:v>1421</c:v>
                </c:pt>
                <c:pt idx="16">
                  <c:v>1568</c:v>
                </c:pt>
                <c:pt idx="17">
                  <c:v>2146</c:v>
                </c:pt>
                <c:pt idx="18">
                  <c:v>2379</c:v>
                </c:pt>
                <c:pt idx="19">
                  <c:v>2435</c:v>
                </c:pt>
                <c:pt idx="20">
                  <c:v>1800</c:v>
                </c:pt>
                <c:pt idx="21">
                  <c:v>2139</c:v>
                </c:pt>
                <c:pt idx="22">
                  <c:v>2493</c:v>
                </c:pt>
                <c:pt idx="23">
                  <c:v>2428</c:v>
                </c:pt>
                <c:pt idx="24">
                  <c:v>2906</c:v>
                </c:pt>
                <c:pt idx="25">
                  <c:v>1991</c:v>
                </c:pt>
                <c:pt idx="26">
                  <c:v>1901</c:v>
                </c:pt>
                <c:pt idx="27">
                  <c:v>2133</c:v>
                </c:pt>
                <c:pt idx="28">
                  <c:v>3172</c:v>
                </c:pt>
                <c:pt idx="29">
                  <c:v>3247</c:v>
                </c:pt>
                <c:pt idx="30">
                  <c:v>1922</c:v>
                </c:pt>
                <c:pt idx="31">
                  <c:v>2463</c:v>
                </c:pt>
                <c:pt idx="32">
                  <c:v>2736</c:v>
                </c:pt>
                <c:pt idx="33">
                  <c:v>2919</c:v>
                </c:pt>
                <c:pt idx="34">
                  <c:v>3623</c:v>
                </c:pt>
                <c:pt idx="35">
                  <c:v>2511</c:v>
                </c:pt>
                <c:pt idx="36">
                  <c:v>2462</c:v>
                </c:pt>
                <c:pt idx="37">
                  <c:v>2934</c:v>
                </c:pt>
                <c:pt idx="38">
                  <c:v>3638</c:v>
                </c:pt>
                <c:pt idx="39">
                  <c:v>3870</c:v>
                </c:pt>
                <c:pt idx="40">
                  <c:v>2203</c:v>
                </c:pt>
                <c:pt idx="41">
                  <c:v>3431</c:v>
                </c:pt>
                <c:pt idx="42">
                  <c:v>2991</c:v>
                </c:pt>
                <c:pt idx="43">
                  <c:v>4286</c:v>
                </c:pt>
                <c:pt idx="44">
                  <c:v>3325</c:v>
                </c:pt>
                <c:pt idx="45">
                  <c:v>3146</c:v>
                </c:pt>
                <c:pt idx="46">
                  <c:v>3325</c:v>
                </c:pt>
                <c:pt idx="47">
                  <c:v>3749</c:v>
                </c:pt>
                <c:pt idx="48">
                  <c:v>3616</c:v>
                </c:pt>
                <c:pt idx="49">
                  <c:v>3844</c:v>
                </c:pt>
                <c:pt idx="50">
                  <c:v>2636</c:v>
                </c:pt>
                <c:pt idx="51">
                  <c:v>3114</c:v>
                </c:pt>
                <c:pt idx="52">
                  <c:v>3616</c:v>
                </c:pt>
                <c:pt idx="53">
                  <c:v>4468</c:v>
                </c:pt>
                <c:pt idx="54">
                  <c:v>4058</c:v>
                </c:pt>
                <c:pt idx="55">
                  <c:v>3073</c:v>
                </c:pt>
                <c:pt idx="56">
                  <c:v>4124</c:v>
                </c:pt>
                <c:pt idx="57">
                  <c:v>3557</c:v>
                </c:pt>
                <c:pt idx="58">
                  <c:v>4873</c:v>
                </c:pt>
                <c:pt idx="59">
                  <c:v>5037</c:v>
                </c:pt>
                <c:pt idx="60">
                  <c:v>3623</c:v>
                </c:pt>
                <c:pt idx="61">
                  <c:v>3683</c:v>
                </c:pt>
                <c:pt idx="62">
                  <c:v>4440</c:v>
                </c:pt>
                <c:pt idx="63">
                  <c:v>4884</c:v>
                </c:pt>
                <c:pt idx="64">
                  <c:v>5074</c:v>
                </c:pt>
                <c:pt idx="65">
                  <c:v>3167</c:v>
                </c:pt>
                <c:pt idx="66">
                  <c:v>4003</c:v>
                </c:pt>
                <c:pt idx="67">
                  <c:v>4628</c:v>
                </c:pt>
                <c:pt idx="68">
                  <c:v>5304</c:v>
                </c:pt>
                <c:pt idx="69">
                  <c:v>5197</c:v>
                </c:pt>
                <c:pt idx="70">
                  <c:v>3899</c:v>
                </c:pt>
                <c:pt idx="71">
                  <c:v>3623</c:v>
                </c:pt>
                <c:pt idx="72">
                  <c:v>4731</c:v>
                </c:pt>
                <c:pt idx="73">
                  <c:v>4949</c:v>
                </c:pt>
                <c:pt idx="74">
                  <c:v>5781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4024"/>
        <c:axId val="595926768"/>
      </c:scatterChart>
      <c:valAx>
        <c:axId val="59592402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95926768"/>
        <c:crosses val="autoZero"/>
        <c:crossBetween val="midCat"/>
      </c:valAx>
      <c:valAx>
        <c:axId val="5959267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595924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'Set3'!$B$1</c:f>
              <c:strCache>
                <c:ptCount val="1"/>
                <c:pt idx="0">
                  <c:v>Office 3</c:v>
                </c:pt>
              </c:strCache>
            </c:strRef>
          </c:tx>
          <c:marker>
            <c:symbol val="none"/>
          </c:marker>
          <c:xVal>
            <c:numRef>
              <c:f>'Set3'!$A$2:$A$76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'Set3'!$C$2:$C$76</c:f>
              <c:numCache>
                <c:formatCode>General</c:formatCode>
                <c:ptCount val="75"/>
                <c:pt idx="2" formatCode="0">
                  <c:v>1275.4000000000001</c:v>
                </c:pt>
                <c:pt idx="3" formatCode="0">
                  <c:v>1311.6</c:v>
                </c:pt>
                <c:pt idx="4" formatCode="0">
                  <c:v>1345.8</c:v>
                </c:pt>
                <c:pt idx="5" formatCode="0">
                  <c:v>1425.4</c:v>
                </c:pt>
                <c:pt idx="6" formatCode="0">
                  <c:v>1472.4</c:v>
                </c:pt>
                <c:pt idx="7" formatCode="0">
                  <c:v>1542</c:v>
                </c:pt>
                <c:pt idx="8" formatCode="0">
                  <c:v>1547.6</c:v>
                </c:pt>
                <c:pt idx="9" formatCode="0">
                  <c:v>1649.2</c:v>
                </c:pt>
                <c:pt idx="10" formatCode="0">
                  <c:v>1741</c:v>
                </c:pt>
                <c:pt idx="11" formatCode="0">
                  <c:v>1804.4</c:v>
                </c:pt>
                <c:pt idx="12" formatCode="0">
                  <c:v>1877.6</c:v>
                </c:pt>
                <c:pt idx="13" formatCode="0">
                  <c:v>1920.6</c:v>
                </c:pt>
                <c:pt idx="14" formatCode="0">
                  <c:v>1880</c:v>
                </c:pt>
                <c:pt idx="15" formatCode="0">
                  <c:v>1871.2</c:v>
                </c:pt>
                <c:pt idx="16" formatCode="0">
                  <c:v>1963</c:v>
                </c:pt>
                <c:pt idx="17" formatCode="0">
                  <c:v>1989.8</c:v>
                </c:pt>
                <c:pt idx="18" formatCode="0">
                  <c:v>2065.6</c:v>
                </c:pt>
                <c:pt idx="19" formatCode="0">
                  <c:v>2179.8000000000002</c:v>
                </c:pt>
                <c:pt idx="20" formatCode="0">
                  <c:v>2249.1999999999998</c:v>
                </c:pt>
                <c:pt idx="21" formatCode="0">
                  <c:v>2259</c:v>
                </c:pt>
                <c:pt idx="22" formatCode="0">
                  <c:v>2353.1999999999998</c:v>
                </c:pt>
                <c:pt idx="23" formatCode="0">
                  <c:v>2391.4</c:v>
                </c:pt>
                <c:pt idx="24" formatCode="0">
                  <c:v>2343.8000000000002</c:v>
                </c:pt>
                <c:pt idx="25" formatCode="0">
                  <c:v>2271.8000000000002</c:v>
                </c:pt>
                <c:pt idx="26" formatCode="0">
                  <c:v>2420.6</c:v>
                </c:pt>
                <c:pt idx="27" formatCode="0">
                  <c:v>2488.8000000000002</c:v>
                </c:pt>
                <c:pt idx="28" formatCode="0">
                  <c:v>2475</c:v>
                </c:pt>
                <c:pt idx="29" formatCode="0">
                  <c:v>2587.4</c:v>
                </c:pt>
                <c:pt idx="30" formatCode="0">
                  <c:v>2708</c:v>
                </c:pt>
                <c:pt idx="31" formatCode="0">
                  <c:v>2657.4</c:v>
                </c:pt>
                <c:pt idx="32" formatCode="0">
                  <c:v>2732.6</c:v>
                </c:pt>
                <c:pt idx="33" formatCode="0">
                  <c:v>2850.4</c:v>
                </c:pt>
                <c:pt idx="34" formatCode="0">
                  <c:v>2850.2</c:v>
                </c:pt>
                <c:pt idx="35" formatCode="0">
                  <c:v>2889.8</c:v>
                </c:pt>
                <c:pt idx="36" formatCode="0">
                  <c:v>3033.6</c:v>
                </c:pt>
                <c:pt idx="37" formatCode="0">
                  <c:v>3083</c:v>
                </c:pt>
                <c:pt idx="38" formatCode="0">
                  <c:v>3021.4</c:v>
                </c:pt>
                <c:pt idx="39" formatCode="0">
                  <c:v>3215.2</c:v>
                </c:pt>
                <c:pt idx="40" formatCode="0">
                  <c:v>3226.6</c:v>
                </c:pt>
                <c:pt idx="41" formatCode="0">
                  <c:v>3356.2</c:v>
                </c:pt>
                <c:pt idx="42" formatCode="0">
                  <c:v>3247.2</c:v>
                </c:pt>
                <c:pt idx="43" formatCode="0">
                  <c:v>3435.8</c:v>
                </c:pt>
                <c:pt idx="44" formatCode="0">
                  <c:v>3414.6</c:v>
                </c:pt>
                <c:pt idx="45" formatCode="0">
                  <c:v>3566.2</c:v>
                </c:pt>
                <c:pt idx="46" formatCode="0">
                  <c:v>3432.2</c:v>
                </c:pt>
                <c:pt idx="47" formatCode="0">
                  <c:v>3536</c:v>
                </c:pt>
                <c:pt idx="48" formatCode="0">
                  <c:v>3434</c:v>
                </c:pt>
                <c:pt idx="49" formatCode="0">
                  <c:v>3391.8</c:v>
                </c:pt>
                <c:pt idx="50" formatCode="0">
                  <c:v>3365.2</c:v>
                </c:pt>
                <c:pt idx="51" formatCode="0">
                  <c:v>3535.6</c:v>
                </c:pt>
                <c:pt idx="52" formatCode="0">
                  <c:v>3578.4</c:v>
                </c:pt>
                <c:pt idx="53" formatCode="0">
                  <c:v>3665.8</c:v>
                </c:pt>
                <c:pt idx="54" formatCode="0">
                  <c:v>3867.8</c:v>
                </c:pt>
                <c:pt idx="55" formatCode="0">
                  <c:v>3856</c:v>
                </c:pt>
                <c:pt idx="56" formatCode="0">
                  <c:v>3937</c:v>
                </c:pt>
                <c:pt idx="57" formatCode="0">
                  <c:v>4132.8</c:v>
                </c:pt>
                <c:pt idx="58" formatCode="0">
                  <c:v>4242.8</c:v>
                </c:pt>
                <c:pt idx="59" formatCode="0">
                  <c:v>4154.6000000000004</c:v>
                </c:pt>
                <c:pt idx="60" formatCode="0">
                  <c:v>4331.2</c:v>
                </c:pt>
                <c:pt idx="61" formatCode="0">
                  <c:v>4333.3999999999996</c:v>
                </c:pt>
                <c:pt idx="62" formatCode="0">
                  <c:v>4340.8</c:v>
                </c:pt>
                <c:pt idx="63" formatCode="0">
                  <c:v>4249.6000000000004</c:v>
                </c:pt>
                <c:pt idx="64" formatCode="0">
                  <c:v>4313.6000000000004</c:v>
                </c:pt>
                <c:pt idx="65" formatCode="0">
                  <c:v>4351.2</c:v>
                </c:pt>
                <c:pt idx="66" formatCode="0">
                  <c:v>4435.2</c:v>
                </c:pt>
                <c:pt idx="67" formatCode="0">
                  <c:v>4459.8</c:v>
                </c:pt>
                <c:pt idx="68" formatCode="0">
                  <c:v>4606.2</c:v>
                </c:pt>
                <c:pt idx="69" formatCode="0">
                  <c:v>4530.2</c:v>
                </c:pt>
                <c:pt idx="70" formatCode="0">
                  <c:v>4550.8</c:v>
                </c:pt>
                <c:pt idx="71" formatCode="0">
                  <c:v>4479.8</c:v>
                </c:pt>
                <c:pt idx="72" formatCode="0">
                  <c:v>4596.6000000000004</c:v>
                </c:pt>
                <c:pt idx="73" formatCode="0">
                  <c:v>4771</c:v>
                </c:pt>
                <c:pt idx="74" formatCode="0">
                  <c:v>5153.666666666667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27944"/>
        <c:axId val="595927552"/>
      </c:scatterChart>
      <c:valAx>
        <c:axId val="59592794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95927552"/>
        <c:crosses val="autoZero"/>
        <c:crossBetween val="midCat"/>
      </c:valAx>
      <c:valAx>
        <c:axId val="59592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959279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12</xdr:row>
      <xdr:rowOff>114299</xdr:rowOff>
    </xdr:from>
    <xdr:to>
      <xdr:col>26</xdr:col>
      <xdr:colOff>457200</xdr:colOff>
      <xdr:row>33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5</xdr:row>
      <xdr:rowOff>4762</xdr:rowOff>
    </xdr:from>
    <xdr:to>
      <xdr:col>18</xdr:col>
      <xdr:colOff>400050</xdr:colOff>
      <xdr:row>19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4</xdr:row>
      <xdr:rowOff>123825</xdr:rowOff>
    </xdr:from>
    <xdr:to>
      <xdr:col>21</xdr:col>
      <xdr:colOff>257175</xdr:colOff>
      <xdr:row>27</xdr:row>
      <xdr:rowOff>100013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</xdr:row>
      <xdr:rowOff>147636</xdr:rowOff>
    </xdr:from>
    <xdr:to>
      <xdr:col>21</xdr:col>
      <xdr:colOff>485775</xdr:colOff>
      <xdr:row>26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16</xdr:row>
      <xdr:rowOff>138112</xdr:rowOff>
    </xdr:from>
    <xdr:to>
      <xdr:col>16</xdr:col>
      <xdr:colOff>123825</xdr:colOff>
      <xdr:row>33</xdr:row>
      <xdr:rowOff>128587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17</xdr:row>
      <xdr:rowOff>14287</xdr:rowOff>
    </xdr:from>
    <xdr:to>
      <xdr:col>24</xdr:col>
      <xdr:colOff>9525</xdr:colOff>
      <xdr:row>34</xdr:row>
      <xdr:rowOff>4762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0</xdr:row>
      <xdr:rowOff>123825</xdr:rowOff>
    </xdr:from>
    <xdr:to>
      <xdr:col>17</xdr:col>
      <xdr:colOff>400050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0</xdr:row>
      <xdr:rowOff>114300</xdr:rowOff>
    </xdr:from>
    <xdr:to>
      <xdr:col>24</xdr:col>
      <xdr:colOff>123825</xdr:colOff>
      <xdr:row>16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G14" sqref="G14"/>
    </sheetView>
  </sheetViews>
  <sheetFormatPr defaultRowHeight="15" x14ac:dyDescent="0.25"/>
  <cols>
    <col min="1" max="1" width="4.5703125" style="60" bestFit="1" customWidth="1"/>
    <col min="2" max="2" width="10.28515625" style="60" bestFit="1" customWidth="1"/>
    <col min="3" max="3" width="6.140625" style="60" bestFit="1" customWidth="1"/>
    <col min="4" max="4" width="8.5703125" style="60" bestFit="1" customWidth="1"/>
    <col min="5" max="6" width="9.140625" style="60"/>
    <col min="7" max="7" width="6.28515625" style="60" customWidth="1"/>
    <col min="8" max="8" width="6" style="60" customWidth="1"/>
    <col min="9" max="9" width="9.140625" style="60"/>
    <col min="10" max="10" width="5.85546875" style="60" customWidth="1"/>
    <col min="11" max="11" width="3" style="60" bestFit="1" customWidth="1"/>
    <col min="12" max="13" width="5" style="60" bestFit="1" customWidth="1"/>
    <col min="14" max="14" width="9.140625" style="60"/>
    <col min="15" max="15" width="13.42578125" style="60" customWidth="1"/>
    <col min="16" max="16" width="7.28515625" style="60" bestFit="1" customWidth="1"/>
    <col min="17" max="18" width="6.28515625" style="60" customWidth="1"/>
    <col min="19" max="19" width="4.42578125" style="60" bestFit="1" customWidth="1"/>
    <col min="20" max="20" width="6.42578125" style="60" bestFit="1" customWidth="1"/>
    <col min="21" max="26" width="9.140625" style="60" customWidth="1"/>
    <col min="27" max="16384" width="9.140625" style="60"/>
  </cols>
  <sheetData>
    <row r="1" spans="1:35" ht="15.75" thickBot="1" x14ac:dyDescent="0.3">
      <c r="A1" s="113" t="s">
        <v>64</v>
      </c>
      <c r="B1" s="114"/>
      <c r="C1" s="115"/>
      <c r="D1" s="114"/>
      <c r="E1" s="115"/>
      <c r="F1" s="70"/>
      <c r="G1" s="70"/>
      <c r="H1" s="70"/>
      <c r="O1" s="62"/>
      <c r="P1" s="62"/>
      <c r="Q1" s="62"/>
      <c r="R1" s="62"/>
      <c r="S1" s="62"/>
      <c r="T1" s="62"/>
      <c r="AC1" s="63" t="s">
        <v>42</v>
      </c>
      <c r="AD1" s="63"/>
      <c r="AG1" s="64">
        <f ca="1">RANDBETWEEN(100,150)</f>
        <v>116</v>
      </c>
      <c r="AH1" s="65">
        <f ca="1">RANDBETWEEN(5,15)</f>
        <v>5</v>
      </c>
      <c r="AI1" s="64">
        <v>0.1</v>
      </c>
    </row>
    <row r="2" spans="1:35" ht="15.75" thickBot="1" x14ac:dyDescent="0.3">
      <c r="A2" s="104" t="s">
        <v>60</v>
      </c>
      <c r="B2" s="66" t="s">
        <v>43</v>
      </c>
      <c r="C2" s="67" t="s">
        <v>44</v>
      </c>
      <c r="D2" s="108" t="s">
        <v>63</v>
      </c>
      <c r="G2" s="68">
        <v>0</v>
      </c>
      <c r="H2" s="68">
        <f>G2+700</f>
        <v>700</v>
      </c>
      <c r="I2" s="69" t="str">
        <f>G2&amp;"-"&amp;H2</f>
        <v>0-700</v>
      </c>
      <c r="J2" s="60">
        <f ca="1">COUNTIF($B$3:$B$52,"&lt;"&amp;H2)</f>
        <v>0</v>
      </c>
      <c r="K2" s="70">
        <f ca="1">J2</f>
        <v>0</v>
      </c>
      <c r="L2" s="60">
        <f t="shared" ref="L2:M9" ca="1" si="0">J2/$J$9</f>
        <v>0</v>
      </c>
      <c r="M2" s="70">
        <f t="shared" ca="1" si="0"/>
        <v>0</v>
      </c>
      <c r="O2" s="71" t="s">
        <v>3</v>
      </c>
      <c r="P2" s="72">
        <f ca="1">AVERAGE(B$3:B$77)</f>
        <v>3015.6</v>
      </c>
      <c r="Q2" s="73">
        <f ca="1">AVERAGE(C$3:C$77)</f>
        <v>3015.6</v>
      </c>
      <c r="R2" s="109">
        <f t="shared" ref="Q2:R2" ca="1" si="1">AVERAGE(D$3:D$77)</f>
        <v>3015.6</v>
      </c>
      <c r="AC2" s="64"/>
      <c r="AD2" s="65" t="s">
        <v>44</v>
      </c>
      <c r="AE2" s="62" t="s">
        <v>52</v>
      </c>
      <c r="AF2" s="62" t="s">
        <v>51</v>
      </c>
      <c r="AH2" s="74"/>
    </row>
    <row r="3" spans="1:35" x14ac:dyDescent="0.25">
      <c r="A3" s="61">
        <v>1</v>
      </c>
      <c r="B3" s="105">
        <f t="shared" ref="B3:B34" ca="1" si="2">INDEX($AF$3:$AF$77,RANK(AB3,$AB$3:$AB$77))</f>
        <v>4058</v>
      </c>
      <c r="C3" s="106">
        <f ca="1">SMALL($AF$3:$AF$77,AC3)</f>
        <v>997</v>
      </c>
      <c r="D3" s="107">
        <f ca="1">AF3</f>
        <v>997</v>
      </c>
      <c r="E3" s="62"/>
      <c r="G3" s="68">
        <f>H2</f>
        <v>700</v>
      </c>
      <c r="H3" s="68">
        <f t="shared" ref="H3:H9" si="3">G3+700</f>
        <v>1400</v>
      </c>
      <c r="I3" s="69" t="str">
        <f t="shared" ref="I3:I9" si="4">G3&amp;"-"&amp;H3</f>
        <v>700-1400</v>
      </c>
      <c r="J3" s="60">
        <f t="shared" ref="J3:J9" ca="1" si="5">COUNTIF($B$3:$B$52,"&lt;"&amp;H3)</f>
        <v>5</v>
      </c>
      <c r="K3" s="70">
        <f ca="1">J3-J2</f>
        <v>5</v>
      </c>
      <c r="L3" s="60">
        <f t="shared" ca="1" si="0"/>
        <v>0.10204081632653061</v>
      </c>
      <c r="M3" s="70">
        <f t="shared" ca="1" si="0"/>
        <v>0.10204081632653061</v>
      </c>
      <c r="O3" s="75" t="s">
        <v>5</v>
      </c>
      <c r="P3" s="72">
        <f ca="1">_xlfn.STDEV.P(B$3:B$77)</f>
        <v>1190.508787591815</v>
      </c>
      <c r="Q3" s="73">
        <f t="shared" ref="Q3:R3" ca="1" si="6">_xlfn.STDEV.P(C$3:C$77)</f>
        <v>1190.508787591815</v>
      </c>
      <c r="R3" s="109">
        <f t="shared" ca="1" si="6"/>
        <v>1190.508787591815</v>
      </c>
      <c r="AB3" s="60">
        <f t="shared" ref="AB3:AB66" ca="1" si="7">RAND()</f>
        <v>0.20437665280529282</v>
      </c>
      <c r="AC3" s="64">
        <v>1</v>
      </c>
      <c r="AD3" s="64">
        <f t="shared" ref="AD3:AD34" ca="1" si="8">INT($AG$1+$AH$1*AC3)</f>
        <v>121</v>
      </c>
      <c r="AE3" s="76">
        <f ca="1">(((IF(MOD(AC3,5)&lt;&gt;0,MOD(AC3,5),5))+7)+_xlfn.NORM.S.INV(RAND()))</f>
        <v>8.2396885443222594</v>
      </c>
      <c r="AF3" s="60">
        <f t="shared" ref="AF3:AF34" ca="1" si="9">ROUND(AD3*AE3,0)</f>
        <v>997</v>
      </c>
      <c r="AH3" s="74"/>
    </row>
    <row r="4" spans="1:35" x14ac:dyDescent="0.25">
      <c r="A4" s="61">
        <v>2</v>
      </c>
      <c r="B4" s="105">
        <f t="shared" ca="1" si="2"/>
        <v>1771</v>
      </c>
      <c r="C4" s="106">
        <f t="shared" ref="C4:C67" ca="1" si="10">SMALL($AF$3:$AF$77,AC4)</f>
        <v>1092</v>
      </c>
      <c r="D4" s="107">
        <f t="shared" ref="D4:D34" ca="1" si="11">AF4</f>
        <v>1092</v>
      </c>
      <c r="E4" s="62"/>
      <c r="G4" s="68">
        <f t="shared" ref="G4:G9" si="12">H3</f>
        <v>1400</v>
      </c>
      <c r="H4" s="68">
        <f t="shared" si="3"/>
        <v>2100</v>
      </c>
      <c r="I4" s="69" t="str">
        <f t="shared" si="4"/>
        <v>1400-2100</v>
      </c>
      <c r="J4" s="60">
        <f t="shared" ca="1" si="5"/>
        <v>14</v>
      </c>
      <c r="K4" s="70">
        <f t="shared" ref="K4:K9" ca="1" si="13">J4-J3</f>
        <v>9</v>
      </c>
      <c r="L4" s="60">
        <f t="shared" ca="1" si="0"/>
        <v>0.2857142857142857</v>
      </c>
      <c r="M4" s="70">
        <f t="shared" ca="1" si="0"/>
        <v>0.18367346938775511</v>
      </c>
      <c r="O4" s="75" t="s">
        <v>6</v>
      </c>
      <c r="P4" s="77">
        <f ca="1">P3/P2</f>
        <v>0.39478338890828196</v>
      </c>
      <c r="Q4" s="78">
        <f ca="1">Q3/Q2</f>
        <v>0.39478338890828196</v>
      </c>
      <c r="R4" s="110">
        <f ca="1">R3/R2</f>
        <v>0.39478338890828196</v>
      </c>
      <c r="AB4" s="60">
        <f t="shared" ca="1" si="7"/>
        <v>0.87160116719865566</v>
      </c>
      <c r="AC4" s="64">
        <v>2</v>
      </c>
      <c r="AD4" s="64">
        <f t="shared" ca="1" si="8"/>
        <v>126</v>
      </c>
      <c r="AE4" s="76">
        <f t="shared" ref="AE4:AE67" ca="1" si="14">(((IF(MOD(AC4,5)&lt;&gt;0,MOD(AC4,5),5))+7)+_xlfn.NORM.S.INV(RAND()))</f>
        <v>8.6689831886675996</v>
      </c>
      <c r="AF4" s="60">
        <f t="shared" ca="1" si="9"/>
        <v>1092</v>
      </c>
      <c r="AH4" s="74"/>
    </row>
    <row r="5" spans="1:35" x14ac:dyDescent="0.25">
      <c r="A5" s="61">
        <v>3</v>
      </c>
      <c r="B5" s="105">
        <f t="shared" ca="1" si="2"/>
        <v>1421</v>
      </c>
      <c r="C5" s="106">
        <f t="shared" ca="1" si="10"/>
        <v>1178</v>
      </c>
      <c r="D5" s="107">
        <f t="shared" ca="1" si="11"/>
        <v>1333</v>
      </c>
      <c r="E5" s="62"/>
      <c r="G5" s="68">
        <f t="shared" si="12"/>
        <v>2100</v>
      </c>
      <c r="H5" s="68">
        <f t="shared" si="3"/>
        <v>2800</v>
      </c>
      <c r="I5" s="69" t="str">
        <f t="shared" si="4"/>
        <v>2100-2800</v>
      </c>
      <c r="J5" s="60">
        <f t="shared" ca="1" si="5"/>
        <v>25</v>
      </c>
      <c r="K5" s="70">
        <f t="shared" ca="1" si="13"/>
        <v>11</v>
      </c>
      <c r="L5" s="60">
        <f t="shared" ca="1" si="0"/>
        <v>0.51020408163265307</v>
      </c>
      <c r="M5" s="70">
        <f t="shared" ca="1" si="0"/>
        <v>0.22448979591836735</v>
      </c>
      <c r="O5" s="75" t="s">
        <v>7</v>
      </c>
      <c r="P5" s="79">
        <f ca="1">MAX(B$3:B$77)</f>
        <v>5781</v>
      </c>
      <c r="Q5" s="80">
        <f t="shared" ref="Q5:R5" ca="1" si="15">MAX(C$3:C$77)</f>
        <v>5781</v>
      </c>
      <c r="R5" s="111">
        <f t="shared" ca="1" si="15"/>
        <v>5781</v>
      </c>
      <c r="AB5" s="60">
        <f t="shared" ca="1" si="7"/>
        <v>0.80784199291428249</v>
      </c>
      <c r="AC5" s="64">
        <v>3</v>
      </c>
      <c r="AD5" s="64">
        <f t="shared" ca="1" si="8"/>
        <v>131</v>
      </c>
      <c r="AE5" s="76">
        <f t="shared" ca="1" si="14"/>
        <v>10.177841823228869</v>
      </c>
      <c r="AF5" s="60">
        <f t="shared" ca="1" si="9"/>
        <v>1333</v>
      </c>
      <c r="AH5" s="74"/>
    </row>
    <row r="6" spans="1:35" x14ac:dyDescent="0.25">
      <c r="A6" s="61">
        <v>4</v>
      </c>
      <c r="B6" s="105">
        <f t="shared" ca="1" si="2"/>
        <v>5304</v>
      </c>
      <c r="C6" s="106">
        <f t="shared" ca="1" si="10"/>
        <v>1206</v>
      </c>
      <c r="D6" s="107">
        <f t="shared" ca="1" si="11"/>
        <v>1368</v>
      </c>
      <c r="G6" s="68">
        <f t="shared" si="12"/>
        <v>2800</v>
      </c>
      <c r="H6" s="68">
        <f t="shared" si="3"/>
        <v>3500</v>
      </c>
      <c r="I6" s="69" t="str">
        <f t="shared" si="4"/>
        <v>2800-3500</v>
      </c>
      <c r="J6" s="60">
        <f t="shared" ca="1" si="5"/>
        <v>32</v>
      </c>
      <c r="K6" s="70">
        <f t="shared" ca="1" si="13"/>
        <v>7</v>
      </c>
      <c r="L6" s="60">
        <f t="shared" ca="1" si="0"/>
        <v>0.65306122448979587</v>
      </c>
      <c r="M6" s="70">
        <f t="shared" ca="1" si="0"/>
        <v>0.14285714285714285</v>
      </c>
      <c r="O6" s="75" t="s">
        <v>4</v>
      </c>
      <c r="P6" s="79">
        <f ca="1">MIN(B$3:B$77)</f>
        <v>997</v>
      </c>
      <c r="Q6" s="80">
        <f t="shared" ref="Q6:R6" ca="1" si="16">MIN(C$3:C$77)</f>
        <v>997</v>
      </c>
      <c r="R6" s="111">
        <f t="shared" ca="1" si="16"/>
        <v>997</v>
      </c>
      <c r="AB6" s="60">
        <f t="shared" ca="1" si="7"/>
        <v>6.2401699691378321E-2</v>
      </c>
      <c r="AC6" s="64">
        <v>4</v>
      </c>
      <c r="AD6" s="64">
        <f t="shared" ca="1" si="8"/>
        <v>136</v>
      </c>
      <c r="AE6" s="76">
        <f t="shared" ca="1" si="14"/>
        <v>10.05636020305117</v>
      </c>
      <c r="AF6" s="60">
        <f t="shared" ca="1" si="9"/>
        <v>1368</v>
      </c>
      <c r="AH6" s="74"/>
    </row>
    <row r="7" spans="1:35" x14ac:dyDescent="0.25">
      <c r="A7" s="61">
        <v>5</v>
      </c>
      <c r="B7" s="105">
        <f t="shared" ca="1" si="2"/>
        <v>3749</v>
      </c>
      <c r="C7" s="106">
        <f t="shared" ca="1" si="10"/>
        <v>1263</v>
      </c>
      <c r="D7" s="107">
        <f t="shared" ca="1" si="11"/>
        <v>1587</v>
      </c>
      <c r="G7" s="68">
        <f t="shared" si="12"/>
        <v>3500</v>
      </c>
      <c r="H7" s="68">
        <f t="shared" si="3"/>
        <v>4200</v>
      </c>
      <c r="I7" s="69" t="str">
        <f t="shared" si="4"/>
        <v>3500-4200</v>
      </c>
      <c r="J7" s="60">
        <f t="shared" ca="1" si="5"/>
        <v>41</v>
      </c>
      <c r="K7" s="70">
        <f t="shared" ca="1" si="13"/>
        <v>9</v>
      </c>
      <c r="L7" s="60">
        <f t="shared" ca="1" si="0"/>
        <v>0.83673469387755106</v>
      </c>
      <c r="M7" s="70">
        <f t="shared" ca="1" si="0"/>
        <v>0.18367346938775511</v>
      </c>
      <c r="O7" s="75" t="s">
        <v>9</v>
      </c>
      <c r="P7" s="79">
        <f ca="1">P5-P6</f>
        <v>4784</v>
      </c>
      <c r="Q7" s="80">
        <f ca="1">Q5-Q6</f>
        <v>4784</v>
      </c>
      <c r="R7" s="111">
        <f ca="1">R5-R6</f>
        <v>4784</v>
      </c>
      <c r="AB7" s="60">
        <f t="shared" ca="1" si="7"/>
        <v>0.32000317309303927</v>
      </c>
      <c r="AC7" s="64">
        <v>5</v>
      </c>
      <c r="AD7" s="64">
        <f t="shared" ca="1" si="8"/>
        <v>141</v>
      </c>
      <c r="AE7" s="76">
        <f t="shared" ca="1" si="14"/>
        <v>11.258006083279467</v>
      </c>
      <c r="AF7" s="60">
        <f t="shared" ca="1" si="9"/>
        <v>1587</v>
      </c>
      <c r="AH7" s="74"/>
    </row>
    <row r="8" spans="1:35" ht="15.75" thickBot="1" x14ac:dyDescent="0.3">
      <c r="A8" s="61">
        <v>6</v>
      </c>
      <c r="B8" s="105">
        <f t="shared" ca="1" si="2"/>
        <v>2991</v>
      </c>
      <c r="C8" s="106">
        <f t="shared" ca="1" si="10"/>
        <v>1333</v>
      </c>
      <c r="D8" s="107">
        <f t="shared" ca="1" si="11"/>
        <v>1178</v>
      </c>
      <c r="G8" s="68">
        <f t="shared" si="12"/>
        <v>4200</v>
      </c>
      <c r="H8" s="68">
        <f t="shared" si="3"/>
        <v>4900</v>
      </c>
      <c r="I8" s="69" t="str">
        <f t="shared" si="4"/>
        <v>4200-4900</v>
      </c>
      <c r="J8" s="60">
        <f t="shared" ca="1" si="5"/>
        <v>45</v>
      </c>
      <c r="K8" s="70">
        <f t="shared" ca="1" si="13"/>
        <v>4</v>
      </c>
      <c r="L8" s="60">
        <f t="shared" ca="1" si="0"/>
        <v>0.91836734693877553</v>
      </c>
      <c r="M8" s="70">
        <f t="shared" ca="1" si="0"/>
        <v>8.1632653061224483E-2</v>
      </c>
      <c r="O8" s="81" t="s">
        <v>49</v>
      </c>
      <c r="P8" s="82">
        <f ca="1">(P7/5)/P2</f>
        <v>0.31728345934474067</v>
      </c>
      <c r="Q8" s="83">
        <f ca="1">(Q7/5)/Q2</f>
        <v>0.31728345934474067</v>
      </c>
      <c r="R8" s="112">
        <f ca="1">(R7/5)/R2</f>
        <v>0.31728345934474067</v>
      </c>
      <c r="AB8" s="60">
        <f t="shared" ca="1" si="7"/>
        <v>0.42311125336626365</v>
      </c>
      <c r="AC8" s="64">
        <v>6</v>
      </c>
      <c r="AD8" s="64">
        <f t="shared" ca="1" si="8"/>
        <v>146</v>
      </c>
      <c r="AE8" s="76">
        <f t="shared" ca="1" si="14"/>
        <v>8.0691846678056667</v>
      </c>
      <c r="AF8" s="60">
        <f t="shared" ca="1" si="9"/>
        <v>1178</v>
      </c>
      <c r="AH8" s="74"/>
    </row>
    <row r="9" spans="1:35" x14ac:dyDescent="0.25">
      <c r="A9" s="61">
        <v>7</v>
      </c>
      <c r="B9" s="105">
        <f t="shared" ca="1" si="2"/>
        <v>2428</v>
      </c>
      <c r="C9" s="106">
        <f t="shared" ca="1" si="10"/>
        <v>1368</v>
      </c>
      <c r="D9" s="107">
        <f t="shared" ca="1" si="11"/>
        <v>1263</v>
      </c>
      <c r="G9" s="68">
        <f t="shared" si="12"/>
        <v>4900</v>
      </c>
      <c r="H9" s="68">
        <f t="shared" si="3"/>
        <v>5600</v>
      </c>
      <c r="I9" s="69" t="str">
        <f t="shared" si="4"/>
        <v>4900-5600</v>
      </c>
      <c r="J9" s="60">
        <f t="shared" ca="1" si="5"/>
        <v>49</v>
      </c>
      <c r="K9" s="70">
        <f t="shared" ca="1" si="13"/>
        <v>4</v>
      </c>
      <c r="L9" s="60">
        <f t="shared" ca="1" si="0"/>
        <v>1</v>
      </c>
      <c r="M9" s="70">
        <f t="shared" ca="1" si="0"/>
        <v>8.1632653061224483E-2</v>
      </c>
      <c r="AB9" s="60">
        <f t="shared" ca="1" si="7"/>
        <v>0.7308002622338664</v>
      </c>
      <c r="AC9" s="64">
        <v>7</v>
      </c>
      <c r="AD9" s="64">
        <f t="shared" ca="1" si="8"/>
        <v>151</v>
      </c>
      <c r="AE9" s="76">
        <f t="shared" ca="1" si="14"/>
        <v>8.3609364185395023</v>
      </c>
      <c r="AF9" s="60">
        <f t="shared" ca="1" si="9"/>
        <v>1263</v>
      </c>
      <c r="AH9" s="74"/>
    </row>
    <row r="10" spans="1:35" x14ac:dyDescent="0.25">
      <c r="A10" s="61">
        <v>8</v>
      </c>
      <c r="B10" s="105">
        <f t="shared" ca="1" si="2"/>
        <v>5037</v>
      </c>
      <c r="C10" s="106">
        <f t="shared" ca="1" si="10"/>
        <v>1421</v>
      </c>
      <c r="D10" s="107">
        <f t="shared" ca="1" si="11"/>
        <v>1731</v>
      </c>
      <c r="AB10" s="60">
        <f t="shared" ca="1" si="7"/>
        <v>0.12369471362582152</v>
      </c>
      <c r="AC10" s="64">
        <v>8</v>
      </c>
      <c r="AD10" s="64">
        <f t="shared" ca="1" si="8"/>
        <v>156</v>
      </c>
      <c r="AE10" s="76">
        <f t="shared" ca="1" si="14"/>
        <v>11.098493860215983</v>
      </c>
      <c r="AF10" s="60">
        <f t="shared" ca="1" si="9"/>
        <v>1731</v>
      </c>
      <c r="AH10" s="74"/>
    </row>
    <row r="11" spans="1:35" x14ac:dyDescent="0.25">
      <c r="A11" s="61">
        <v>9</v>
      </c>
      <c r="B11" s="105">
        <f t="shared" ca="1" si="2"/>
        <v>4124</v>
      </c>
      <c r="C11" s="106">
        <f t="shared" ca="1" si="10"/>
        <v>1568</v>
      </c>
      <c r="D11" s="107">
        <f t="shared" ca="1" si="11"/>
        <v>1603</v>
      </c>
      <c r="AB11" s="60">
        <f t="shared" ca="1" si="7"/>
        <v>0.17573879914163115</v>
      </c>
      <c r="AC11" s="64">
        <v>9</v>
      </c>
      <c r="AD11" s="64">
        <f t="shared" ca="1" si="8"/>
        <v>161</v>
      </c>
      <c r="AE11" s="76">
        <f t="shared" ca="1" si="14"/>
        <v>9.9541994024975047</v>
      </c>
      <c r="AF11" s="60">
        <f t="shared" ca="1" si="9"/>
        <v>1603</v>
      </c>
      <c r="AH11" s="74"/>
    </row>
    <row r="12" spans="1:35" x14ac:dyDescent="0.25">
      <c r="A12" s="61">
        <v>10</v>
      </c>
      <c r="B12" s="105">
        <f t="shared" ca="1" si="2"/>
        <v>3172</v>
      </c>
      <c r="C12" s="106">
        <f t="shared" ca="1" si="10"/>
        <v>1587</v>
      </c>
      <c r="D12" s="107">
        <f t="shared" ca="1" si="11"/>
        <v>1935</v>
      </c>
      <c r="AB12" s="60">
        <f t="shared" ca="1" si="7"/>
        <v>0.6371595283592294</v>
      </c>
      <c r="AC12" s="64">
        <v>10</v>
      </c>
      <c r="AD12" s="64">
        <f t="shared" ca="1" si="8"/>
        <v>166</v>
      </c>
      <c r="AE12" s="76">
        <f t="shared" ca="1" si="14"/>
        <v>11.658274572190292</v>
      </c>
      <c r="AF12" s="60">
        <f t="shared" ca="1" si="9"/>
        <v>1935</v>
      </c>
      <c r="AH12" s="74"/>
    </row>
    <row r="13" spans="1:35" x14ac:dyDescent="0.25">
      <c r="A13" s="61">
        <v>11</v>
      </c>
      <c r="B13" s="105">
        <f t="shared" ca="1" si="2"/>
        <v>2462</v>
      </c>
      <c r="C13" s="106">
        <f t="shared" ca="1" si="10"/>
        <v>1603</v>
      </c>
      <c r="D13" s="107">
        <f t="shared" ca="1" si="11"/>
        <v>1206</v>
      </c>
      <c r="AB13" s="60">
        <f t="shared" ca="1" si="7"/>
        <v>0.51692058108775396</v>
      </c>
      <c r="AC13" s="64">
        <v>11</v>
      </c>
      <c r="AD13" s="64">
        <f t="shared" ca="1" si="8"/>
        <v>171</v>
      </c>
      <c r="AE13" s="76">
        <f t="shared" ca="1" si="14"/>
        <v>7.0523095609449831</v>
      </c>
      <c r="AF13" s="60">
        <f t="shared" ca="1" si="9"/>
        <v>1206</v>
      </c>
      <c r="AH13" s="74"/>
    </row>
    <row r="14" spans="1:35" x14ac:dyDescent="0.25">
      <c r="A14" s="61">
        <v>12</v>
      </c>
      <c r="B14" s="105">
        <f t="shared" ca="1" si="2"/>
        <v>1603</v>
      </c>
      <c r="C14" s="106">
        <f t="shared" ca="1" si="10"/>
        <v>1731</v>
      </c>
      <c r="D14" s="107">
        <f t="shared" ca="1" si="11"/>
        <v>1771</v>
      </c>
      <c r="AB14" s="60">
        <f t="shared" ca="1" si="7"/>
        <v>0.91931497689697939</v>
      </c>
      <c r="AC14" s="64">
        <v>12</v>
      </c>
      <c r="AD14" s="64">
        <f t="shared" ca="1" si="8"/>
        <v>176</v>
      </c>
      <c r="AE14" s="76">
        <f t="shared" ca="1" si="14"/>
        <v>10.060732557206126</v>
      </c>
      <c r="AF14" s="60">
        <f t="shared" ca="1" si="9"/>
        <v>1771</v>
      </c>
      <c r="AH14" s="74"/>
    </row>
    <row r="15" spans="1:35" x14ac:dyDescent="0.25">
      <c r="A15" s="61">
        <v>13</v>
      </c>
      <c r="B15" s="105">
        <f t="shared" ca="1" si="2"/>
        <v>3114</v>
      </c>
      <c r="C15" s="106">
        <f t="shared" ca="1" si="10"/>
        <v>1771</v>
      </c>
      <c r="D15" s="107">
        <f t="shared" ca="1" si="11"/>
        <v>2190</v>
      </c>
      <c r="AB15" s="60">
        <f t="shared" ca="1" si="7"/>
        <v>0.24821107280723076</v>
      </c>
      <c r="AC15" s="64">
        <v>13</v>
      </c>
      <c r="AD15" s="64">
        <f t="shared" ca="1" si="8"/>
        <v>181</v>
      </c>
      <c r="AE15" s="76">
        <f t="shared" ca="1" si="14"/>
        <v>12.097436333174088</v>
      </c>
      <c r="AF15" s="60">
        <f t="shared" ca="1" si="9"/>
        <v>2190</v>
      </c>
      <c r="AH15" s="74"/>
    </row>
    <row r="16" spans="1:35" x14ac:dyDescent="0.25">
      <c r="A16" s="61">
        <v>14</v>
      </c>
      <c r="B16" s="105">
        <f t="shared" ca="1" si="2"/>
        <v>3623</v>
      </c>
      <c r="C16" s="106">
        <f t="shared" ca="1" si="10"/>
        <v>1800</v>
      </c>
      <c r="D16" s="107">
        <f t="shared" ca="1" si="11"/>
        <v>1920</v>
      </c>
      <c r="AB16" s="60">
        <f t="shared" ca="1" si="7"/>
        <v>0.11979190993304767</v>
      </c>
      <c r="AC16" s="64">
        <v>14</v>
      </c>
      <c r="AD16" s="64">
        <f t="shared" ca="1" si="8"/>
        <v>186</v>
      </c>
      <c r="AE16" s="76">
        <f t="shared" ca="1" si="14"/>
        <v>10.320936716325148</v>
      </c>
      <c r="AF16" s="60">
        <f t="shared" ca="1" si="9"/>
        <v>1920</v>
      </c>
      <c r="AH16" s="74"/>
    </row>
    <row r="17" spans="1:34" x14ac:dyDescent="0.25">
      <c r="A17" s="61">
        <v>15</v>
      </c>
      <c r="B17" s="105">
        <f t="shared" ca="1" si="2"/>
        <v>3247</v>
      </c>
      <c r="C17" s="106">
        <f t="shared" ca="1" si="10"/>
        <v>1901</v>
      </c>
      <c r="D17" s="107">
        <f t="shared" ca="1" si="11"/>
        <v>2301</v>
      </c>
      <c r="AB17" s="60">
        <f t="shared" ca="1" si="7"/>
        <v>0.5831477017842559</v>
      </c>
      <c r="AC17" s="64">
        <v>15</v>
      </c>
      <c r="AD17" s="64">
        <f t="shared" ca="1" si="8"/>
        <v>191</v>
      </c>
      <c r="AE17" s="76">
        <f t="shared" ca="1" si="14"/>
        <v>12.044984737323043</v>
      </c>
      <c r="AF17" s="60">
        <f t="shared" ca="1" si="9"/>
        <v>2301</v>
      </c>
      <c r="AH17" s="74"/>
    </row>
    <row r="18" spans="1:34" x14ac:dyDescent="0.25">
      <c r="A18" s="61">
        <v>16</v>
      </c>
      <c r="B18" s="105">
        <f t="shared" ca="1" si="2"/>
        <v>1922</v>
      </c>
      <c r="C18" s="106">
        <f t="shared" ca="1" si="10"/>
        <v>1920</v>
      </c>
      <c r="D18" s="107">
        <f t="shared" ca="1" si="11"/>
        <v>1421</v>
      </c>
      <c r="AB18" s="60">
        <f t="shared" ca="1" si="7"/>
        <v>0.53987248427977752</v>
      </c>
      <c r="AC18" s="64">
        <v>16</v>
      </c>
      <c r="AD18" s="64">
        <f t="shared" ca="1" si="8"/>
        <v>196</v>
      </c>
      <c r="AE18" s="76">
        <f t="shared" ca="1" si="14"/>
        <v>7.2516911254825116</v>
      </c>
      <c r="AF18" s="60">
        <f t="shared" ca="1" si="9"/>
        <v>1421</v>
      </c>
      <c r="AH18" s="74"/>
    </row>
    <row r="19" spans="1:34" x14ac:dyDescent="0.25">
      <c r="A19" s="61">
        <v>17</v>
      </c>
      <c r="B19" s="105">
        <f t="shared" ca="1" si="2"/>
        <v>4286</v>
      </c>
      <c r="C19" s="106">
        <f t="shared" ca="1" si="10"/>
        <v>1922</v>
      </c>
      <c r="D19" s="107">
        <f t="shared" ca="1" si="11"/>
        <v>1568</v>
      </c>
      <c r="AB19" s="60">
        <f t="shared" ca="1" si="7"/>
        <v>0.40079678721332346</v>
      </c>
      <c r="AC19" s="64">
        <v>17</v>
      </c>
      <c r="AD19" s="64">
        <f t="shared" ca="1" si="8"/>
        <v>201</v>
      </c>
      <c r="AE19" s="76">
        <f t="shared" ca="1" si="14"/>
        <v>7.80335773893104</v>
      </c>
      <c r="AF19" s="60">
        <f t="shared" ca="1" si="9"/>
        <v>1568</v>
      </c>
      <c r="AH19" s="74"/>
    </row>
    <row r="20" spans="1:34" x14ac:dyDescent="0.25">
      <c r="A20" s="61">
        <v>18</v>
      </c>
      <c r="B20" s="105">
        <f t="shared" ca="1" si="2"/>
        <v>3638</v>
      </c>
      <c r="C20" s="106">
        <f t="shared" ca="1" si="10"/>
        <v>1935</v>
      </c>
      <c r="D20" s="107">
        <f t="shared" ca="1" si="11"/>
        <v>2146</v>
      </c>
      <c r="AB20" s="60">
        <f t="shared" ca="1" si="7"/>
        <v>0.50009828438914361</v>
      </c>
      <c r="AC20" s="64">
        <v>18</v>
      </c>
      <c r="AD20" s="64">
        <f t="shared" ca="1" si="8"/>
        <v>206</v>
      </c>
      <c r="AE20" s="76">
        <f t="shared" ca="1" si="14"/>
        <v>10.415809115746484</v>
      </c>
      <c r="AF20" s="60">
        <f t="shared" ca="1" si="9"/>
        <v>2146</v>
      </c>
      <c r="AH20" s="74"/>
    </row>
    <row r="21" spans="1:34" x14ac:dyDescent="0.25">
      <c r="A21" s="61">
        <v>19</v>
      </c>
      <c r="B21" s="105">
        <f t="shared" ca="1" si="2"/>
        <v>2435</v>
      </c>
      <c r="C21" s="106">
        <f t="shared" ca="1" si="10"/>
        <v>1991</v>
      </c>
      <c r="D21" s="107">
        <f t="shared" ca="1" si="11"/>
        <v>2379</v>
      </c>
      <c r="AB21" s="60">
        <f t="shared" ca="1" si="7"/>
        <v>0.76172563337608279</v>
      </c>
      <c r="AC21" s="64">
        <v>19</v>
      </c>
      <c r="AD21" s="64">
        <f t="shared" ca="1" si="8"/>
        <v>211</v>
      </c>
      <c r="AE21" s="76">
        <f t="shared" ca="1" si="14"/>
        <v>11.277194253153864</v>
      </c>
      <c r="AF21" s="60">
        <f t="shared" ca="1" si="9"/>
        <v>2379</v>
      </c>
      <c r="AH21" s="74"/>
    </row>
    <row r="22" spans="1:34" x14ac:dyDescent="0.25">
      <c r="A22" s="61">
        <v>20</v>
      </c>
      <c r="B22" s="105">
        <f t="shared" ca="1" si="2"/>
        <v>3623</v>
      </c>
      <c r="C22" s="106">
        <f t="shared" ca="1" si="10"/>
        <v>2133</v>
      </c>
      <c r="D22" s="107">
        <f t="shared" ca="1" si="11"/>
        <v>2435</v>
      </c>
      <c r="AB22" s="60">
        <f t="shared" ca="1" si="7"/>
        <v>0.52831220419963321</v>
      </c>
      <c r="AC22" s="64">
        <v>20</v>
      </c>
      <c r="AD22" s="64">
        <f t="shared" ca="1" si="8"/>
        <v>216</v>
      </c>
      <c r="AE22" s="76">
        <f t="shared" ca="1" si="14"/>
        <v>11.271854991394559</v>
      </c>
      <c r="AF22" s="60">
        <f t="shared" ca="1" si="9"/>
        <v>2435</v>
      </c>
      <c r="AH22" s="74"/>
    </row>
    <row r="23" spans="1:34" x14ac:dyDescent="0.25">
      <c r="A23" s="61">
        <v>21</v>
      </c>
      <c r="B23" s="105">
        <f t="shared" ca="1" si="2"/>
        <v>1333</v>
      </c>
      <c r="C23" s="106">
        <f t="shared" ca="1" si="10"/>
        <v>2139</v>
      </c>
      <c r="D23" s="107">
        <f t="shared" ca="1" si="11"/>
        <v>1800</v>
      </c>
      <c r="AB23" s="60">
        <f t="shared" ca="1" si="7"/>
        <v>0.98172607519741395</v>
      </c>
      <c r="AC23" s="64">
        <v>21</v>
      </c>
      <c r="AD23" s="64">
        <f t="shared" ca="1" si="8"/>
        <v>221</v>
      </c>
      <c r="AE23" s="76">
        <f t="shared" ca="1" si="14"/>
        <v>8.1430380128447659</v>
      </c>
      <c r="AF23" s="60">
        <f t="shared" ca="1" si="9"/>
        <v>1800</v>
      </c>
      <c r="AH23" s="74"/>
    </row>
    <row r="24" spans="1:34" x14ac:dyDescent="0.25">
      <c r="A24" s="61">
        <v>22</v>
      </c>
      <c r="B24" s="105">
        <f t="shared" ca="1" si="2"/>
        <v>2203</v>
      </c>
      <c r="C24" s="106">
        <f t="shared" ca="1" si="10"/>
        <v>2146</v>
      </c>
      <c r="D24" s="107">
        <f t="shared" ca="1" si="11"/>
        <v>2139</v>
      </c>
      <c r="AB24" s="60">
        <f t="shared" ca="1" si="7"/>
        <v>0.47218730664168929</v>
      </c>
      <c r="AC24" s="64">
        <v>22</v>
      </c>
      <c r="AD24" s="64">
        <f t="shared" ca="1" si="8"/>
        <v>226</v>
      </c>
      <c r="AE24" s="76">
        <f t="shared" ca="1" si="14"/>
        <v>9.4642356071062057</v>
      </c>
      <c r="AF24" s="60">
        <f t="shared" ca="1" si="9"/>
        <v>2139</v>
      </c>
      <c r="AH24" s="74"/>
    </row>
    <row r="25" spans="1:34" x14ac:dyDescent="0.25">
      <c r="A25" s="61">
        <v>23</v>
      </c>
      <c r="B25" s="105">
        <f t="shared" ca="1" si="2"/>
        <v>2934</v>
      </c>
      <c r="C25" s="106">
        <f t="shared" ca="1" si="10"/>
        <v>2190</v>
      </c>
      <c r="D25" s="107">
        <f t="shared" ca="1" si="11"/>
        <v>2493</v>
      </c>
      <c r="AB25" s="60">
        <f t="shared" ca="1" si="7"/>
        <v>0.50635787474994109</v>
      </c>
      <c r="AC25" s="64">
        <v>23</v>
      </c>
      <c r="AD25" s="64">
        <f t="shared" ca="1" si="8"/>
        <v>231</v>
      </c>
      <c r="AE25" s="76">
        <f t="shared" ca="1" si="14"/>
        <v>10.790430942209515</v>
      </c>
      <c r="AF25" s="60">
        <f t="shared" ca="1" si="9"/>
        <v>2493</v>
      </c>
      <c r="AH25" s="74"/>
    </row>
    <row r="26" spans="1:34" x14ac:dyDescent="0.25">
      <c r="A26" s="61">
        <v>24</v>
      </c>
      <c r="B26" s="105">
        <f t="shared" ca="1" si="2"/>
        <v>3844</v>
      </c>
      <c r="C26" s="106">
        <f t="shared" ca="1" si="10"/>
        <v>2203</v>
      </c>
      <c r="D26" s="107">
        <f t="shared" ca="1" si="11"/>
        <v>2428</v>
      </c>
      <c r="AB26" s="60">
        <f t="shared" ca="1" si="7"/>
        <v>0.30725042971414129</v>
      </c>
      <c r="AC26" s="64">
        <v>24</v>
      </c>
      <c r="AD26" s="64">
        <f t="shared" ca="1" si="8"/>
        <v>236</v>
      </c>
      <c r="AE26" s="76">
        <f t="shared" ca="1" si="14"/>
        <v>10.287219463174964</v>
      </c>
      <c r="AF26" s="60">
        <f t="shared" ca="1" si="9"/>
        <v>2428</v>
      </c>
      <c r="AH26" s="74"/>
    </row>
    <row r="27" spans="1:34" x14ac:dyDescent="0.25">
      <c r="A27" s="61">
        <v>25</v>
      </c>
      <c r="B27" s="105">
        <f t="shared" ca="1" si="2"/>
        <v>2146</v>
      </c>
      <c r="C27" s="106">
        <f t="shared" ca="1" si="10"/>
        <v>2301</v>
      </c>
      <c r="D27" s="107">
        <f t="shared" ca="1" si="11"/>
        <v>2906</v>
      </c>
      <c r="AB27" s="60">
        <f t="shared" ca="1" si="7"/>
        <v>0.79263216437591855</v>
      </c>
      <c r="AC27" s="64">
        <v>25</v>
      </c>
      <c r="AD27" s="64">
        <f t="shared" ca="1" si="8"/>
        <v>241</v>
      </c>
      <c r="AE27" s="76">
        <f t="shared" ca="1" si="14"/>
        <v>12.059709718843237</v>
      </c>
      <c r="AF27" s="60">
        <f t="shared" ca="1" si="9"/>
        <v>2906</v>
      </c>
      <c r="AH27" s="74"/>
    </row>
    <row r="28" spans="1:34" x14ac:dyDescent="0.25">
      <c r="A28" s="61">
        <v>26</v>
      </c>
      <c r="B28" s="105">
        <f t="shared" ca="1" si="2"/>
        <v>5197</v>
      </c>
      <c r="C28" s="106">
        <f t="shared" ca="1" si="10"/>
        <v>2379</v>
      </c>
      <c r="D28" s="107">
        <f t="shared" ca="1" si="11"/>
        <v>1991</v>
      </c>
      <c r="AB28" s="60">
        <f t="shared" ca="1" si="7"/>
        <v>5.9863440118244515E-2</v>
      </c>
      <c r="AC28" s="64">
        <v>26</v>
      </c>
      <c r="AD28" s="64">
        <f t="shared" ca="1" si="8"/>
        <v>246</v>
      </c>
      <c r="AE28" s="76">
        <f t="shared" ca="1" si="14"/>
        <v>8.0929862477963805</v>
      </c>
      <c r="AF28" s="60">
        <f t="shared" ca="1" si="9"/>
        <v>1991</v>
      </c>
      <c r="AH28" s="74"/>
    </row>
    <row r="29" spans="1:34" x14ac:dyDescent="0.25">
      <c r="A29" s="61">
        <v>27</v>
      </c>
      <c r="B29" s="105">
        <f t="shared" ca="1" si="2"/>
        <v>1991</v>
      </c>
      <c r="C29" s="106">
        <f t="shared" ca="1" si="10"/>
        <v>2428</v>
      </c>
      <c r="D29" s="107">
        <f t="shared" ca="1" si="11"/>
        <v>1901</v>
      </c>
      <c r="AB29" s="60">
        <f t="shared" ca="1" si="7"/>
        <v>0.7025305223083933</v>
      </c>
      <c r="AC29" s="64">
        <v>27</v>
      </c>
      <c r="AD29" s="64">
        <f t="shared" ca="1" si="8"/>
        <v>251</v>
      </c>
      <c r="AE29" s="76">
        <f t="shared" ca="1" si="14"/>
        <v>7.5754014366153726</v>
      </c>
      <c r="AF29" s="60">
        <f t="shared" ca="1" si="9"/>
        <v>1901</v>
      </c>
      <c r="AH29" s="74"/>
    </row>
    <row r="30" spans="1:34" x14ac:dyDescent="0.25">
      <c r="A30" s="61">
        <v>28</v>
      </c>
      <c r="B30" s="105">
        <f t="shared" ca="1" si="2"/>
        <v>1935</v>
      </c>
      <c r="C30" s="106">
        <f t="shared" ca="1" si="10"/>
        <v>2435</v>
      </c>
      <c r="D30" s="107">
        <f t="shared" ca="1" si="11"/>
        <v>2133</v>
      </c>
      <c r="AB30" s="60">
        <f t="shared" ca="1" si="7"/>
        <v>0.89277411431612208</v>
      </c>
      <c r="AC30" s="64">
        <v>28</v>
      </c>
      <c r="AD30" s="64">
        <f t="shared" ca="1" si="8"/>
        <v>256</v>
      </c>
      <c r="AE30" s="76">
        <f t="shared" ca="1" si="14"/>
        <v>8.333364559286661</v>
      </c>
      <c r="AF30" s="60">
        <f t="shared" ca="1" si="9"/>
        <v>2133</v>
      </c>
      <c r="AH30" s="74"/>
    </row>
    <row r="31" spans="1:34" x14ac:dyDescent="0.25">
      <c r="A31" s="61">
        <v>29</v>
      </c>
      <c r="B31" s="105">
        <f t="shared" ca="1" si="2"/>
        <v>4884</v>
      </c>
      <c r="C31" s="106">
        <f t="shared" ca="1" si="10"/>
        <v>2462</v>
      </c>
      <c r="D31" s="107">
        <f t="shared" ca="1" si="11"/>
        <v>3172</v>
      </c>
      <c r="AB31" s="60">
        <f t="shared" ca="1" si="7"/>
        <v>9.9322049125314171E-2</v>
      </c>
      <c r="AC31" s="64">
        <v>29</v>
      </c>
      <c r="AD31" s="64">
        <f t="shared" ca="1" si="8"/>
        <v>261</v>
      </c>
      <c r="AE31" s="76">
        <f t="shared" ca="1" si="14"/>
        <v>12.153626337700759</v>
      </c>
      <c r="AF31" s="60">
        <f t="shared" ca="1" si="9"/>
        <v>3172</v>
      </c>
      <c r="AH31" s="74"/>
    </row>
    <row r="32" spans="1:34" x14ac:dyDescent="0.25">
      <c r="A32" s="61">
        <v>30</v>
      </c>
      <c r="B32" s="105">
        <f t="shared" ca="1" si="2"/>
        <v>5781</v>
      </c>
      <c r="C32" s="106">
        <f t="shared" ca="1" si="10"/>
        <v>2463</v>
      </c>
      <c r="D32" s="107">
        <f t="shared" ca="1" si="11"/>
        <v>3247</v>
      </c>
      <c r="AB32" s="60">
        <f t="shared" ca="1" si="7"/>
        <v>4.4735823423371901E-3</v>
      </c>
      <c r="AC32" s="64">
        <v>30</v>
      </c>
      <c r="AD32" s="64">
        <f t="shared" ca="1" si="8"/>
        <v>266</v>
      </c>
      <c r="AE32" s="76">
        <f t="shared" ca="1" si="14"/>
        <v>12.20599869334721</v>
      </c>
      <c r="AF32" s="60">
        <f t="shared" ca="1" si="9"/>
        <v>3247</v>
      </c>
      <c r="AH32" s="74"/>
    </row>
    <row r="33" spans="1:34" x14ac:dyDescent="0.25">
      <c r="A33" s="61">
        <v>31</v>
      </c>
      <c r="B33" s="105">
        <f t="shared" ca="1" si="2"/>
        <v>4628</v>
      </c>
      <c r="C33" s="106">
        <f t="shared" ca="1" si="10"/>
        <v>2493</v>
      </c>
      <c r="D33" s="107">
        <f t="shared" ca="1" si="11"/>
        <v>1922</v>
      </c>
      <c r="AB33" s="60">
        <f t="shared" ca="1" si="7"/>
        <v>6.6894376637990471E-2</v>
      </c>
      <c r="AC33" s="64">
        <v>31</v>
      </c>
      <c r="AD33" s="64">
        <f t="shared" ca="1" si="8"/>
        <v>271</v>
      </c>
      <c r="AE33" s="76">
        <f t="shared" ca="1" si="14"/>
        <v>7.0915468768163574</v>
      </c>
      <c r="AF33" s="60">
        <f t="shared" ca="1" si="9"/>
        <v>1922</v>
      </c>
      <c r="AH33" s="74"/>
    </row>
    <row r="34" spans="1:34" x14ac:dyDescent="0.25">
      <c r="A34" s="61">
        <v>32</v>
      </c>
      <c r="B34" s="105">
        <f t="shared" ca="1" si="2"/>
        <v>1800</v>
      </c>
      <c r="C34" s="106">
        <f t="shared" ca="1" si="10"/>
        <v>2511</v>
      </c>
      <c r="D34" s="107">
        <f t="shared" ca="1" si="11"/>
        <v>2463</v>
      </c>
      <c r="AB34" s="60">
        <f t="shared" ca="1" si="7"/>
        <v>0.74787007286372842</v>
      </c>
      <c r="AC34" s="64">
        <v>32</v>
      </c>
      <c r="AD34" s="64">
        <f t="shared" ca="1" si="8"/>
        <v>276</v>
      </c>
      <c r="AE34" s="76">
        <f t="shared" ca="1" si="14"/>
        <v>8.9252516912358715</v>
      </c>
      <c r="AF34" s="60">
        <f t="shared" ca="1" si="9"/>
        <v>2463</v>
      </c>
      <c r="AH34" s="74"/>
    </row>
    <row r="35" spans="1:34" x14ac:dyDescent="0.25">
      <c r="A35" s="61">
        <v>33</v>
      </c>
      <c r="B35" s="105">
        <f t="shared" ref="B35:B66" ca="1" si="17">INDEX($AF$3:$AF$77,RANK(AB35,$AB$3:$AB$77))</f>
        <v>1092</v>
      </c>
      <c r="C35" s="106">
        <f t="shared" ca="1" si="10"/>
        <v>2636</v>
      </c>
      <c r="D35" s="107">
        <f t="shared" ref="D35:D66" ca="1" si="18">AF35</f>
        <v>2736</v>
      </c>
      <c r="AB35" s="60">
        <f t="shared" ca="1" si="7"/>
        <v>0.98234866327846493</v>
      </c>
      <c r="AC35" s="64">
        <v>33</v>
      </c>
      <c r="AD35" s="64">
        <f t="shared" ref="AD35:AD66" ca="1" si="19">INT($AG$1+$AH$1*AC35)</f>
        <v>281</v>
      </c>
      <c r="AE35" s="76">
        <f t="shared" ca="1" si="14"/>
        <v>9.7364606257345798</v>
      </c>
      <c r="AF35" s="60">
        <f t="shared" ref="AF35:AF52" ca="1" si="20">ROUND(AD35*AE35,0)</f>
        <v>2736</v>
      </c>
      <c r="AH35" s="74"/>
    </row>
    <row r="36" spans="1:34" x14ac:dyDescent="0.25">
      <c r="A36" s="61">
        <v>34</v>
      </c>
      <c r="B36" s="105">
        <f t="shared" ca="1" si="17"/>
        <v>2463</v>
      </c>
      <c r="C36" s="106">
        <f t="shared" ca="1" si="10"/>
        <v>2736</v>
      </c>
      <c r="D36" s="107">
        <f t="shared" ca="1" si="18"/>
        <v>2919</v>
      </c>
      <c r="AB36" s="60">
        <f t="shared" ca="1" si="7"/>
        <v>0.53508340143740829</v>
      </c>
      <c r="AC36" s="64">
        <v>34</v>
      </c>
      <c r="AD36" s="64">
        <f t="shared" ca="1" si="19"/>
        <v>286</v>
      </c>
      <c r="AE36" s="76">
        <f t="shared" ca="1" si="14"/>
        <v>10.206879579125866</v>
      </c>
      <c r="AF36" s="60">
        <f t="shared" ca="1" si="20"/>
        <v>2919</v>
      </c>
      <c r="AH36" s="74"/>
    </row>
    <row r="37" spans="1:34" x14ac:dyDescent="0.25">
      <c r="A37" s="61">
        <v>35</v>
      </c>
      <c r="B37" s="105">
        <f t="shared" ca="1" si="17"/>
        <v>3325</v>
      </c>
      <c r="C37" s="106">
        <f t="shared" ca="1" si="10"/>
        <v>2906</v>
      </c>
      <c r="D37" s="107">
        <f t="shared" ca="1" si="18"/>
        <v>3623</v>
      </c>
      <c r="AB37" s="60">
        <f t="shared" ca="1" si="7"/>
        <v>0.34327877080408564</v>
      </c>
      <c r="AC37" s="64">
        <v>35</v>
      </c>
      <c r="AD37" s="64">
        <f t="shared" ca="1" si="19"/>
        <v>291</v>
      </c>
      <c r="AE37" s="76">
        <f t="shared" ca="1" si="14"/>
        <v>12.450629862723922</v>
      </c>
      <c r="AF37" s="60">
        <f t="shared" ca="1" si="20"/>
        <v>3623</v>
      </c>
      <c r="AH37" s="74"/>
    </row>
    <row r="38" spans="1:34" x14ac:dyDescent="0.25">
      <c r="A38" s="61">
        <v>36</v>
      </c>
      <c r="B38" s="105">
        <f t="shared" ca="1" si="17"/>
        <v>3325</v>
      </c>
      <c r="C38" s="106">
        <f t="shared" ca="1" si="10"/>
        <v>2919</v>
      </c>
      <c r="D38" s="107">
        <f t="shared" ca="1" si="18"/>
        <v>2511</v>
      </c>
      <c r="AB38" s="60">
        <f t="shared" ca="1" si="7"/>
        <v>0.32151497766781056</v>
      </c>
      <c r="AC38" s="64">
        <v>36</v>
      </c>
      <c r="AD38" s="64">
        <f t="shared" ca="1" si="19"/>
        <v>296</v>
      </c>
      <c r="AE38" s="76">
        <f t="shared" ca="1" si="14"/>
        <v>8.4843681003541302</v>
      </c>
      <c r="AF38" s="60">
        <f t="shared" ca="1" si="20"/>
        <v>2511</v>
      </c>
      <c r="AH38" s="74"/>
    </row>
    <row r="39" spans="1:34" x14ac:dyDescent="0.25">
      <c r="A39" s="61">
        <v>37</v>
      </c>
      <c r="B39" s="105">
        <f t="shared" ca="1" si="17"/>
        <v>3899</v>
      </c>
      <c r="C39" s="106">
        <f t="shared" ca="1" si="10"/>
        <v>2934</v>
      </c>
      <c r="D39" s="107">
        <f t="shared" ca="1" si="18"/>
        <v>2462</v>
      </c>
      <c r="AB39" s="60">
        <f t="shared" ca="1" si="7"/>
        <v>3.9560910321811971E-2</v>
      </c>
      <c r="AC39" s="64">
        <v>37</v>
      </c>
      <c r="AD39" s="64">
        <f t="shared" ca="1" si="19"/>
        <v>301</v>
      </c>
      <c r="AE39" s="76">
        <f t="shared" ca="1" si="14"/>
        <v>8.1799832567352411</v>
      </c>
      <c r="AF39" s="60">
        <f t="shared" ca="1" si="20"/>
        <v>2462</v>
      </c>
      <c r="AH39" s="74"/>
    </row>
    <row r="40" spans="1:34" x14ac:dyDescent="0.25">
      <c r="A40" s="61">
        <v>38</v>
      </c>
      <c r="B40" s="105">
        <f t="shared" ca="1" si="17"/>
        <v>1178</v>
      </c>
      <c r="C40" s="106">
        <f t="shared" ca="1" si="10"/>
        <v>2991</v>
      </c>
      <c r="D40" s="107">
        <f t="shared" ca="1" si="18"/>
        <v>2934</v>
      </c>
      <c r="AB40" s="60">
        <f t="shared" ca="1" si="7"/>
        <v>0.94355081037437427</v>
      </c>
      <c r="AC40" s="64">
        <v>38</v>
      </c>
      <c r="AD40" s="64">
        <f t="shared" ca="1" si="19"/>
        <v>306</v>
      </c>
      <c r="AE40" s="76">
        <f t="shared" ca="1" si="14"/>
        <v>9.5877961180738875</v>
      </c>
      <c r="AF40" s="60">
        <f t="shared" ca="1" si="20"/>
        <v>2934</v>
      </c>
      <c r="AH40" s="74"/>
    </row>
    <row r="41" spans="1:34" x14ac:dyDescent="0.25">
      <c r="A41" s="61">
        <v>39</v>
      </c>
      <c r="B41" s="105">
        <f t="shared" ca="1" si="17"/>
        <v>4468</v>
      </c>
      <c r="C41" s="106">
        <f t="shared" ca="1" si="10"/>
        <v>3073</v>
      </c>
      <c r="D41" s="107">
        <f t="shared" ca="1" si="18"/>
        <v>3638</v>
      </c>
      <c r="AB41" s="60">
        <f t="shared" ca="1" si="7"/>
        <v>0.21105770539992386</v>
      </c>
      <c r="AC41" s="64">
        <v>39</v>
      </c>
      <c r="AD41" s="64">
        <f t="shared" ca="1" si="19"/>
        <v>311</v>
      </c>
      <c r="AE41" s="76">
        <f t="shared" ca="1" si="14"/>
        <v>11.698732019520296</v>
      </c>
      <c r="AF41" s="60">
        <f t="shared" ca="1" si="20"/>
        <v>3638</v>
      </c>
      <c r="AH41" s="74"/>
    </row>
    <row r="42" spans="1:34" x14ac:dyDescent="0.25">
      <c r="A42" s="61">
        <v>40</v>
      </c>
      <c r="B42" s="105">
        <f t="shared" ca="1" si="17"/>
        <v>997</v>
      </c>
      <c r="C42" s="106">
        <f t="shared" ca="1" si="10"/>
        <v>3114</v>
      </c>
      <c r="D42" s="107">
        <f t="shared" ca="1" si="18"/>
        <v>3870</v>
      </c>
      <c r="AB42" s="60">
        <f t="shared" ca="1" si="7"/>
        <v>0.99749248031555438</v>
      </c>
      <c r="AC42" s="64">
        <v>40</v>
      </c>
      <c r="AD42" s="64">
        <f t="shared" ca="1" si="19"/>
        <v>316</v>
      </c>
      <c r="AE42" s="76">
        <f t="shared" ca="1" si="14"/>
        <v>12.246806410820069</v>
      </c>
      <c r="AF42" s="60">
        <f t="shared" ca="1" si="20"/>
        <v>3870</v>
      </c>
      <c r="AH42" s="74"/>
    </row>
    <row r="43" spans="1:34" x14ac:dyDescent="0.25">
      <c r="A43" s="61">
        <v>41</v>
      </c>
      <c r="B43" s="105">
        <f t="shared" ca="1" si="17"/>
        <v>1263</v>
      </c>
      <c r="C43" s="106">
        <f t="shared" ca="1" si="10"/>
        <v>3146</v>
      </c>
      <c r="D43" s="107">
        <f t="shared" ca="1" si="18"/>
        <v>2203</v>
      </c>
      <c r="AB43" s="60">
        <f t="shared" ca="1" si="7"/>
        <v>0.9368392018598416</v>
      </c>
      <c r="AC43" s="64">
        <v>41</v>
      </c>
      <c r="AD43" s="64">
        <f t="shared" ca="1" si="19"/>
        <v>321</v>
      </c>
      <c r="AE43" s="76">
        <f t="shared" ca="1" si="14"/>
        <v>6.8616846919899084</v>
      </c>
      <c r="AF43" s="60">
        <f t="shared" ca="1" si="20"/>
        <v>2203</v>
      </c>
      <c r="AH43" s="74"/>
    </row>
    <row r="44" spans="1:34" x14ac:dyDescent="0.25">
      <c r="A44" s="61">
        <v>42</v>
      </c>
      <c r="B44" s="105">
        <f t="shared" ca="1" si="17"/>
        <v>2133</v>
      </c>
      <c r="C44" s="106">
        <f t="shared" ca="1" si="10"/>
        <v>3167</v>
      </c>
      <c r="D44" s="107">
        <f t="shared" ca="1" si="18"/>
        <v>3431</v>
      </c>
      <c r="AB44" s="60">
        <f t="shared" ca="1" si="7"/>
        <v>0.65732637822417084</v>
      </c>
      <c r="AC44" s="64">
        <v>42</v>
      </c>
      <c r="AD44" s="64">
        <f t="shared" ca="1" si="19"/>
        <v>326</v>
      </c>
      <c r="AE44" s="76">
        <f t="shared" ca="1" si="14"/>
        <v>10.525212567430563</v>
      </c>
      <c r="AF44" s="60">
        <f t="shared" ca="1" si="20"/>
        <v>3431</v>
      </c>
      <c r="AH44" s="74"/>
    </row>
    <row r="45" spans="1:34" x14ac:dyDescent="0.25">
      <c r="A45" s="61">
        <v>43</v>
      </c>
      <c r="B45" s="105">
        <f t="shared" ca="1" si="17"/>
        <v>1901</v>
      </c>
      <c r="C45" s="106">
        <f t="shared" ca="1" si="10"/>
        <v>3172</v>
      </c>
      <c r="D45" s="107">
        <f t="shared" ca="1" si="18"/>
        <v>2991</v>
      </c>
      <c r="AB45" s="60">
        <f t="shared" ca="1" si="7"/>
        <v>0.68450095295806568</v>
      </c>
      <c r="AC45" s="64">
        <v>43</v>
      </c>
      <c r="AD45" s="64">
        <f t="shared" ca="1" si="19"/>
        <v>331</v>
      </c>
      <c r="AE45" s="76">
        <f t="shared" ca="1" si="14"/>
        <v>9.0377353018360402</v>
      </c>
      <c r="AF45" s="60">
        <f t="shared" ca="1" si="20"/>
        <v>2991</v>
      </c>
      <c r="AH45" s="74"/>
    </row>
    <row r="46" spans="1:34" x14ac:dyDescent="0.25">
      <c r="A46" s="61">
        <v>44</v>
      </c>
      <c r="B46" s="105">
        <f t="shared" ca="1" si="17"/>
        <v>2139</v>
      </c>
      <c r="C46" s="106">
        <f t="shared" ca="1" si="10"/>
        <v>3247</v>
      </c>
      <c r="D46" s="107">
        <f t="shared" ca="1" si="18"/>
        <v>4286</v>
      </c>
      <c r="AB46" s="60">
        <f t="shared" ca="1" si="7"/>
        <v>0.74393016500980513</v>
      </c>
      <c r="AC46" s="64">
        <v>44</v>
      </c>
      <c r="AD46" s="64">
        <f t="shared" ca="1" si="19"/>
        <v>336</v>
      </c>
      <c r="AE46" s="76">
        <f t="shared" ca="1" si="14"/>
        <v>12.755214490025068</v>
      </c>
      <c r="AF46" s="60">
        <f t="shared" ca="1" si="20"/>
        <v>4286</v>
      </c>
      <c r="AH46" s="74"/>
    </row>
    <row r="47" spans="1:34" x14ac:dyDescent="0.25">
      <c r="A47" s="61">
        <v>45</v>
      </c>
      <c r="B47" s="105">
        <f t="shared" ca="1" si="17"/>
        <v>2511</v>
      </c>
      <c r="C47" s="106">
        <f t="shared" ca="1" si="10"/>
        <v>3325</v>
      </c>
      <c r="D47" s="107">
        <f t="shared" ca="1" si="18"/>
        <v>3325</v>
      </c>
      <c r="AB47" s="60">
        <f t="shared" ca="1" si="7"/>
        <v>0.52137161686980182</v>
      </c>
      <c r="AC47" s="64">
        <v>45</v>
      </c>
      <c r="AD47" s="64">
        <f t="shared" ca="1" si="19"/>
        <v>341</v>
      </c>
      <c r="AE47" s="76">
        <f t="shared" ca="1" si="14"/>
        <v>9.7508880799647706</v>
      </c>
      <c r="AF47" s="60">
        <f t="shared" ca="1" si="20"/>
        <v>3325</v>
      </c>
      <c r="AH47" s="74"/>
    </row>
    <row r="48" spans="1:34" x14ac:dyDescent="0.25">
      <c r="A48" s="61">
        <v>46</v>
      </c>
      <c r="B48" s="105">
        <f t="shared" ca="1" si="17"/>
        <v>3616</v>
      </c>
      <c r="C48" s="106">
        <f t="shared" ca="1" si="10"/>
        <v>3325</v>
      </c>
      <c r="D48" s="107">
        <f t="shared" ca="1" si="18"/>
        <v>3146</v>
      </c>
      <c r="AB48" s="60">
        <f t="shared" ca="1" si="7"/>
        <v>0.22052762219670585</v>
      </c>
      <c r="AC48" s="64">
        <v>46</v>
      </c>
      <c r="AD48" s="64">
        <f t="shared" ca="1" si="19"/>
        <v>346</v>
      </c>
      <c r="AE48" s="76">
        <f t="shared" ca="1" si="14"/>
        <v>9.0923987647417714</v>
      </c>
      <c r="AF48" s="60">
        <f t="shared" ca="1" si="20"/>
        <v>3146</v>
      </c>
      <c r="AH48" s="74"/>
    </row>
    <row r="49" spans="1:34" x14ac:dyDescent="0.25">
      <c r="A49" s="61">
        <v>47</v>
      </c>
      <c r="B49" s="105">
        <f t="shared" ca="1" si="17"/>
        <v>2301</v>
      </c>
      <c r="C49" s="106">
        <f t="shared" ca="1" si="10"/>
        <v>3431</v>
      </c>
      <c r="D49" s="107">
        <f t="shared" ca="1" si="18"/>
        <v>3325</v>
      </c>
      <c r="AB49" s="60">
        <f t="shared" ca="1" si="7"/>
        <v>0.82304121093765059</v>
      </c>
      <c r="AC49" s="64">
        <v>47</v>
      </c>
      <c r="AD49" s="64">
        <f t="shared" ca="1" si="19"/>
        <v>351</v>
      </c>
      <c r="AE49" s="76">
        <f t="shared" ca="1" si="14"/>
        <v>9.4738422359216834</v>
      </c>
      <c r="AF49" s="60">
        <f t="shared" ca="1" si="20"/>
        <v>3325</v>
      </c>
      <c r="AH49" s="74"/>
    </row>
    <row r="50" spans="1:34" x14ac:dyDescent="0.25">
      <c r="A50" s="61">
        <v>48</v>
      </c>
      <c r="B50" s="105">
        <f t="shared" ca="1" si="17"/>
        <v>4949</v>
      </c>
      <c r="C50" s="106">
        <f t="shared" ca="1" si="10"/>
        <v>3557</v>
      </c>
      <c r="D50" s="107">
        <f t="shared" ca="1" si="18"/>
        <v>3749</v>
      </c>
      <c r="AB50" s="60">
        <f t="shared" ca="1" si="7"/>
        <v>1.9630356312934638E-2</v>
      </c>
      <c r="AC50" s="64">
        <v>48</v>
      </c>
      <c r="AD50" s="64">
        <f t="shared" ca="1" si="19"/>
        <v>356</v>
      </c>
      <c r="AE50" s="76">
        <f t="shared" ca="1" si="14"/>
        <v>10.532047164942771</v>
      </c>
      <c r="AF50" s="60">
        <f t="shared" ca="1" si="20"/>
        <v>3749</v>
      </c>
      <c r="AH50" s="74"/>
    </row>
    <row r="51" spans="1:34" x14ac:dyDescent="0.25">
      <c r="A51" s="61">
        <v>49</v>
      </c>
      <c r="B51" s="105">
        <f t="shared" ca="1" si="17"/>
        <v>1587</v>
      </c>
      <c r="C51" s="106">
        <f t="shared" ca="1" si="10"/>
        <v>3616</v>
      </c>
      <c r="D51" s="107">
        <f t="shared" ca="1" si="18"/>
        <v>3616</v>
      </c>
      <c r="AB51" s="60">
        <f t="shared" ca="1" si="7"/>
        <v>0.97412737416071493</v>
      </c>
      <c r="AC51" s="64">
        <v>49</v>
      </c>
      <c r="AD51" s="64">
        <f t="shared" ca="1" si="19"/>
        <v>361</v>
      </c>
      <c r="AE51" s="76">
        <f t="shared" ca="1" si="14"/>
        <v>10.017841158378058</v>
      </c>
      <c r="AF51" s="60">
        <f t="shared" ca="1" si="20"/>
        <v>3616</v>
      </c>
      <c r="AH51" s="74"/>
    </row>
    <row r="52" spans="1:34" x14ac:dyDescent="0.25">
      <c r="A52" s="61">
        <v>50</v>
      </c>
      <c r="B52" s="105">
        <f t="shared" ca="1" si="17"/>
        <v>2379</v>
      </c>
      <c r="C52" s="106">
        <f t="shared" ca="1" si="10"/>
        <v>3616</v>
      </c>
      <c r="D52" s="107">
        <f t="shared" ca="1" si="18"/>
        <v>3844</v>
      </c>
      <c r="AB52" s="60">
        <f t="shared" ca="1" si="7"/>
        <v>0.77473909263332208</v>
      </c>
      <c r="AC52" s="64">
        <v>50</v>
      </c>
      <c r="AD52" s="64">
        <f t="shared" ca="1" si="19"/>
        <v>366</v>
      </c>
      <c r="AE52" s="76">
        <f t="shared" ca="1" si="14"/>
        <v>10.501909569420564</v>
      </c>
      <c r="AF52" s="60">
        <f t="shared" ca="1" si="20"/>
        <v>3844</v>
      </c>
      <c r="AH52" s="74"/>
    </row>
    <row r="53" spans="1:34" x14ac:dyDescent="0.25">
      <c r="A53" s="61">
        <v>51</v>
      </c>
      <c r="B53" s="105">
        <f t="shared" ca="1" si="17"/>
        <v>3431</v>
      </c>
      <c r="C53" s="106">
        <f t="shared" ca="1" si="10"/>
        <v>3623</v>
      </c>
      <c r="D53" s="107">
        <f t="shared" ca="1" si="18"/>
        <v>2636</v>
      </c>
      <c r="AB53" s="60">
        <f t="shared" ca="1" si="7"/>
        <v>0.45338908219564433</v>
      </c>
      <c r="AC53" s="64">
        <v>51</v>
      </c>
      <c r="AD53" s="64">
        <f t="shared" ca="1" si="19"/>
        <v>371</v>
      </c>
      <c r="AE53" s="76">
        <f t="shared" ca="1" si="14"/>
        <v>7.1064159658404336</v>
      </c>
      <c r="AF53" s="60">
        <f t="shared" ref="AF53:AF77" ca="1" si="21">ROUND(AD53*AE53,0)</f>
        <v>2636</v>
      </c>
      <c r="AG53" s="74"/>
      <c r="AH53" s="74"/>
    </row>
    <row r="54" spans="1:34" x14ac:dyDescent="0.25">
      <c r="A54" s="61">
        <v>52</v>
      </c>
      <c r="B54" s="105">
        <f t="shared" ca="1" si="17"/>
        <v>3167</v>
      </c>
      <c r="C54" s="106">
        <f t="shared" ca="1" si="10"/>
        <v>3623</v>
      </c>
      <c r="D54" s="107">
        <f t="shared" ca="1" si="18"/>
        <v>3114</v>
      </c>
      <c r="AB54" s="60">
        <f t="shared" ca="1" si="7"/>
        <v>7.5429003718307075E-2</v>
      </c>
      <c r="AC54" s="64">
        <v>52</v>
      </c>
      <c r="AD54" s="64">
        <f t="shared" ca="1" si="19"/>
        <v>376</v>
      </c>
      <c r="AE54" s="76">
        <f t="shared" ca="1" si="14"/>
        <v>8.2814321082487687</v>
      </c>
      <c r="AF54" s="60">
        <f t="shared" ca="1" si="21"/>
        <v>3114</v>
      </c>
      <c r="AG54" s="74"/>
      <c r="AH54" s="74"/>
    </row>
    <row r="55" spans="1:34" x14ac:dyDescent="0.25">
      <c r="A55" s="61">
        <v>53</v>
      </c>
      <c r="B55" s="105">
        <f t="shared" ca="1" si="17"/>
        <v>1368</v>
      </c>
      <c r="C55" s="106">
        <f t="shared" ca="1" si="10"/>
        <v>3623</v>
      </c>
      <c r="D55" s="107">
        <f t="shared" ca="1" si="18"/>
        <v>3616</v>
      </c>
      <c r="AB55" s="60">
        <f t="shared" ca="1" si="7"/>
        <v>0.98066102582550463</v>
      </c>
      <c r="AC55" s="64">
        <v>53</v>
      </c>
      <c r="AD55" s="64">
        <f t="shared" ca="1" si="19"/>
        <v>381</v>
      </c>
      <c r="AE55" s="76">
        <f t="shared" ca="1" si="14"/>
        <v>9.4914803143472692</v>
      </c>
      <c r="AF55" s="60">
        <f t="shared" ca="1" si="21"/>
        <v>3616</v>
      </c>
    </row>
    <row r="56" spans="1:34" x14ac:dyDescent="0.25">
      <c r="A56" s="61">
        <v>54</v>
      </c>
      <c r="B56" s="105">
        <f t="shared" ca="1" si="17"/>
        <v>1731</v>
      </c>
      <c r="C56" s="106">
        <f t="shared" ca="1" si="10"/>
        <v>3638</v>
      </c>
      <c r="D56" s="107">
        <f t="shared" ca="1" si="18"/>
        <v>4468</v>
      </c>
      <c r="AB56" s="60">
        <f t="shared" ca="1" si="7"/>
        <v>0.9208688222156991</v>
      </c>
      <c r="AC56" s="64">
        <v>54</v>
      </c>
      <c r="AD56" s="64">
        <f t="shared" ca="1" si="19"/>
        <v>386</v>
      </c>
      <c r="AE56" s="76">
        <f t="shared" ca="1" si="14"/>
        <v>11.575880907849594</v>
      </c>
      <c r="AF56" s="60">
        <f t="shared" ca="1" si="21"/>
        <v>4468</v>
      </c>
    </row>
    <row r="57" spans="1:34" x14ac:dyDescent="0.25">
      <c r="A57" s="61">
        <v>55</v>
      </c>
      <c r="B57" s="105">
        <f t="shared" ca="1" si="17"/>
        <v>2906</v>
      </c>
      <c r="C57" s="106">
        <f t="shared" ca="1" si="10"/>
        <v>3683</v>
      </c>
      <c r="D57" s="107">
        <f t="shared" ca="1" si="18"/>
        <v>4058</v>
      </c>
      <c r="AB57" s="60">
        <f t="shared" ca="1" si="7"/>
        <v>0.72407496235666968</v>
      </c>
      <c r="AC57" s="64">
        <v>55</v>
      </c>
      <c r="AD57" s="64">
        <f t="shared" ca="1" si="19"/>
        <v>391</v>
      </c>
      <c r="AE57" s="76">
        <f t="shared" ca="1" si="14"/>
        <v>10.377291730262797</v>
      </c>
      <c r="AF57" s="60">
        <f t="shared" ca="1" si="21"/>
        <v>4058</v>
      </c>
    </row>
    <row r="58" spans="1:34" x14ac:dyDescent="0.25">
      <c r="A58" s="61">
        <v>56</v>
      </c>
      <c r="B58" s="105">
        <f t="shared" ca="1" si="17"/>
        <v>3557</v>
      </c>
      <c r="C58" s="106">
        <f t="shared" ca="1" si="10"/>
        <v>3749</v>
      </c>
      <c r="D58" s="107">
        <f t="shared" ca="1" si="18"/>
        <v>3073</v>
      </c>
      <c r="AB58" s="60">
        <f t="shared" ca="1" si="7"/>
        <v>0.16926711911271985</v>
      </c>
      <c r="AC58" s="64">
        <v>56</v>
      </c>
      <c r="AD58" s="64">
        <f t="shared" ca="1" si="19"/>
        <v>396</v>
      </c>
      <c r="AE58" s="76">
        <f t="shared" ca="1" si="14"/>
        <v>7.7613128425053546</v>
      </c>
      <c r="AF58" s="60">
        <f t="shared" ca="1" si="21"/>
        <v>3073</v>
      </c>
    </row>
    <row r="59" spans="1:34" x14ac:dyDescent="0.25">
      <c r="A59" s="61">
        <v>57</v>
      </c>
      <c r="B59" s="105">
        <f t="shared" ca="1" si="17"/>
        <v>3073</v>
      </c>
      <c r="C59" s="106">
        <f t="shared" ca="1" si="10"/>
        <v>3844</v>
      </c>
      <c r="D59" s="107">
        <f t="shared" ca="1" si="18"/>
        <v>4124</v>
      </c>
      <c r="AB59" s="60">
        <f t="shared" ca="1" si="7"/>
        <v>0.19807413258425277</v>
      </c>
      <c r="AC59" s="64">
        <v>57</v>
      </c>
      <c r="AD59" s="64">
        <f t="shared" ca="1" si="19"/>
        <v>401</v>
      </c>
      <c r="AE59" s="76">
        <f t="shared" ca="1" si="14"/>
        <v>10.283368757556229</v>
      </c>
      <c r="AF59" s="60">
        <f t="shared" ca="1" si="21"/>
        <v>4124</v>
      </c>
    </row>
    <row r="60" spans="1:34" x14ac:dyDescent="0.25">
      <c r="A60" s="61">
        <v>58</v>
      </c>
      <c r="B60" s="105">
        <f t="shared" ca="1" si="17"/>
        <v>1206</v>
      </c>
      <c r="C60" s="106">
        <f t="shared" ca="1" si="10"/>
        <v>3870</v>
      </c>
      <c r="D60" s="107">
        <f t="shared" ca="1" si="18"/>
        <v>3557</v>
      </c>
      <c r="AB60" s="60">
        <f t="shared" ca="1" si="7"/>
        <v>0.88534597608504717</v>
      </c>
      <c r="AC60" s="64">
        <v>58</v>
      </c>
      <c r="AD60" s="64">
        <f t="shared" ca="1" si="19"/>
        <v>406</v>
      </c>
      <c r="AE60" s="76">
        <f t="shared" ca="1" si="14"/>
        <v>8.7615868491978848</v>
      </c>
      <c r="AF60" s="60">
        <f t="shared" ca="1" si="21"/>
        <v>3557</v>
      </c>
    </row>
    <row r="61" spans="1:34" x14ac:dyDescent="0.25">
      <c r="A61" s="61">
        <v>59</v>
      </c>
      <c r="B61" s="105">
        <f t="shared" ca="1" si="17"/>
        <v>4003</v>
      </c>
      <c r="C61" s="106">
        <f t="shared" ca="1" si="10"/>
        <v>3899</v>
      </c>
      <c r="D61" s="107">
        <f t="shared" ca="1" si="18"/>
        <v>4873</v>
      </c>
      <c r="AB61" s="60">
        <f t="shared" ca="1" si="7"/>
        <v>7.1266855981548805E-2</v>
      </c>
      <c r="AC61" s="64">
        <v>59</v>
      </c>
      <c r="AD61" s="64">
        <f t="shared" ca="1" si="19"/>
        <v>411</v>
      </c>
      <c r="AE61" s="76">
        <f t="shared" ca="1" si="14"/>
        <v>11.857340183700563</v>
      </c>
      <c r="AF61" s="60">
        <f t="shared" ca="1" si="21"/>
        <v>4873</v>
      </c>
    </row>
    <row r="62" spans="1:34" x14ac:dyDescent="0.25">
      <c r="A62" s="61">
        <v>60</v>
      </c>
      <c r="B62" s="105">
        <f t="shared" ca="1" si="17"/>
        <v>3870</v>
      </c>
      <c r="C62" s="106">
        <f t="shared" ca="1" si="10"/>
        <v>4003</v>
      </c>
      <c r="D62" s="107">
        <f t="shared" ca="1" si="18"/>
        <v>5037</v>
      </c>
      <c r="AB62" s="60">
        <f t="shared" ca="1" si="7"/>
        <v>0.49648444632562572</v>
      </c>
      <c r="AC62" s="64">
        <v>60</v>
      </c>
      <c r="AD62" s="64">
        <f t="shared" ca="1" si="19"/>
        <v>416</v>
      </c>
      <c r="AE62" s="76">
        <f t="shared" ca="1" si="14"/>
        <v>12.107236815956076</v>
      </c>
      <c r="AF62" s="60">
        <f t="shared" ca="1" si="21"/>
        <v>5037</v>
      </c>
    </row>
    <row r="63" spans="1:34" x14ac:dyDescent="0.25">
      <c r="A63" s="61">
        <v>61</v>
      </c>
      <c r="B63" s="105">
        <f t="shared" ca="1" si="17"/>
        <v>3146</v>
      </c>
      <c r="C63" s="106">
        <f t="shared" ca="1" si="10"/>
        <v>4058</v>
      </c>
      <c r="D63" s="107">
        <f t="shared" ca="1" si="18"/>
        <v>3623</v>
      </c>
      <c r="AB63" s="60">
        <f t="shared" ca="1" si="7"/>
        <v>0.32587647833539468</v>
      </c>
      <c r="AC63" s="64">
        <v>61</v>
      </c>
      <c r="AD63" s="64">
        <f t="shared" ca="1" si="19"/>
        <v>421</v>
      </c>
      <c r="AE63" s="76">
        <f t="shared" ca="1" si="14"/>
        <v>8.6061795653758182</v>
      </c>
      <c r="AF63" s="60">
        <f t="shared" ca="1" si="21"/>
        <v>3623</v>
      </c>
    </row>
    <row r="64" spans="1:34" x14ac:dyDescent="0.25">
      <c r="A64" s="61">
        <v>62</v>
      </c>
      <c r="B64" s="105">
        <f t="shared" ca="1" si="17"/>
        <v>2190</v>
      </c>
      <c r="C64" s="106">
        <f t="shared" ca="1" si="10"/>
        <v>4124</v>
      </c>
      <c r="D64" s="107">
        <f t="shared" ca="1" si="18"/>
        <v>3683</v>
      </c>
      <c r="AB64" s="60">
        <f t="shared" ca="1" si="7"/>
        <v>0.86859459773060466</v>
      </c>
      <c r="AC64" s="64">
        <v>62</v>
      </c>
      <c r="AD64" s="64">
        <f t="shared" ca="1" si="19"/>
        <v>426</v>
      </c>
      <c r="AE64" s="76">
        <f t="shared" ca="1" si="14"/>
        <v>8.6447117976342902</v>
      </c>
      <c r="AF64" s="60">
        <f t="shared" ca="1" si="21"/>
        <v>3683</v>
      </c>
    </row>
    <row r="65" spans="1:32" x14ac:dyDescent="0.25">
      <c r="A65" s="61">
        <v>63</v>
      </c>
      <c r="B65" s="105">
        <f t="shared" ca="1" si="17"/>
        <v>3623</v>
      </c>
      <c r="C65" s="106">
        <f t="shared" ca="1" si="10"/>
        <v>4286</v>
      </c>
      <c r="D65" s="107">
        <f t="shared" ca="1" si="18"/>
        <v>4440</v>
      </c>
      <c r="AB65" s="60">
        <f t="shared" ca="1" si="7"/>
        <v>2.9934691389485457E-2</v>
      </c>
      <c r="AC65" s="64">
        <v>63</v>
      </c>
      <c r="AD65" s="64">
        <f t="shared" ca="1" si="19"/>
        <v>431</v>
      </c>
      <c r="AE65" s="76">
        <f t="shared" ca="1" si="14"/>
        <v>10.300912483986021</v>
      </c>
      <c r="AF65" s="60">
        <f t="shared" ca="1" si="21"/>
        <v>4440</v>
      </c>
    </row>
    <row r="66" spans="1:32" x14ac:dyDescent="0.25">
      <c r="A66" s="61">
        <v>64</v>
      </c>
      <c r="B66" s="105">
        <f t="shared" ca="1" si="17"/>
        <v>2493</v>
      </c>
      <c r="C66" s="106">
        <f t="shared" ca="1" si="10"/>
        <v>4440</v>
      </c>
      <c r="D66" s="107">
        <f t="shared" ca="1" si="18"/>
        <v>4884</v>
      </c>
      <c r="AB66" s="60">
        <f t="shared" ca="1" si="7"/>
        <v>0.73623356466091305</v>
      </c>
      <c r="AC66" s="64">
        <v>64</v>
      </c>
      <c r="AD66" s="64">
        <f t="shared" ca="1" si="19"/>
        <v>436</v>
      </c>
      <c r="AE66" s="76">
        <f t="shared" ca="1" si="14"/>
        <v>11.201301426657258</v>
      </c>
      <c r="AF66" s="60">
        <f t="shared" ca="1" si="21"/>
        <v>4884</v>
      </c>
    </row>
    <row r="67" spans="1:32" x14ac:dyDescent="0.25">
      <c r="A67" s="61">
        <v>65</v>
      </c>
      <c r="B67" s="105">
        <f t="shared" ref="B67:B77" ca="1" si="22">INDEX($AF$3:$AF$77,RANK(AB67,$AB$3:$AB$77))</f>
        <v>4731</v>
      </c>
      <c r="C67" s="106">
        <f t="shared" ca="1" si="10"/>
        <v>4468</v>
      </c>
      <c r="D67" s="107">
        <f t="shared" ref="D67:D77" ca="1" si="23">AF67</f>
        <v>5074</v>
      </c>
      <c r="AB67" s="60">
        <f t="shared" ref="AB67:AB77" ca="1" si="24">RAND()</f>
        <v>2.2519860701142536E-2</v>
      </c>
      <c r="AC67" s="64">
        <v>65</v>
      </c>
      <c r="AD67" s="64">
        <f t="shared" ref="AD67:AD77" ca="1" si="25">INT($AG$1+$AH$1*AC67)</f>
        <v>441</v>
      </c>
      <c r="AE67" s="76">
        <f t="shared" ca="1" si="14"/>
        <v>11.505031504001234</v>
      </c>
      <c r="AF67" s="60">
        <f t="shared" ca="1" si="21"/>
        <v>5074</v>
      </c>
    </row>
    <row r="68" spans="1:32" x14ac:dyDescent="0.25">
      <c r="A68" s="61">
        <v>66</v>
      </c>
      <c r="B68" s="105">
        <f t="shared" ca="1" si="22"/>
        <v>4873</v>
      </c>
      <c r="C68" s="106">
        <f t="shared" ref="C68:C77" ca="1" si="26">SMALL($AF$3:$AF$77,AC68)</f>
        <v>4628</v>
      </c>
      <c r="D68" s="107">
        <f t="shared" ca="1" si="23"/>
        <v>3167</v>
      </c>
      <c r="AB68" s="60">
        <f t="shared" ca="1" si="24"/>
        <v>0.16571070393827325</v>
      </c>
      <c r="AC68" s="64">
        <v>66</v>
      </c>
      <c r="AD68" s="64">
        <f t="shared" ca="1" si="25"/>
        <v>446</v>
      </c>
      <c r="AE68" s="76">
        <f t="shared" ref="AE68:AE77" ca="1" si="27">(((IF(MOD(AC68,5)&lt;&gt;0,MOD(AC68,5),5))+7)+_xlfn.NORM.S.INV(RAND()))</f>
        <v>7.1017408147056447</v>
      </c>
      <c r="AF68" s="60">
        <f t="shared" ca="1" si="21"/>
        <v>3167</v>
      </c>
    </row>
    <row r="69" spans="1:32" x14ac:dyDescent="0.25">
      <c r="A69" s="61">
        <v>67</v>
      </c>
      <c r="B69" s="105">
        <f t="shared" ca="1" si="22"/>
        <v>2636</v>
      </c>
      <c r="C69" s="106">
        <f t="shared" ca="1" si="26"/>
        <v>4731</v>
      </c>
      <c r="D69" s="107">
        <f t="shared" ca="1" si="23"/>
        <v>4003</v>
      </c>
      <c r="AB69" s="60">
        <f t="shared" ca="1" si="24"/>
        <v>0.29053014253172982</v>
      </c>
      <c r="AC69" s="64">
        <v>67</v>
      </c>
      <c r="AD69" s="64">
        <f t="shared" ca="1" si="25"/>
        <v>451</v>
      </c>
      <c r="AE69" s="76">
        <f t="shared" ca="1" si="27"/>
        <v>8.8766660460476636</v>
      </c>
      <c r="AF69" s="60">
        <f t="shared" ca="1" si="21"/>
        <v>4003</v>
      </c>
    </row>
    <row r="70" spans="1:32" x14ac:dyDescent="0.25">
      <c r="A70" s="61">
        <v>68</v>
      </c>
      <c r="B70" s="105">
        <f t="shared" ca="1" si="22"/>
        <v>1568</v>
      </c>
      <c r="C70" s="106">
        <f t="shared" ca="1" si="26"/>
        <v>4873</v>
      </c>
      <c r="D70" s="107">
        <f t="shared" ca="1" si="23"/>
        <v>4628</v>
      </c>
      <c r="AB70" s="60">
        <f t="shared" ca="1" si="24"/>
        <v>0.8018381419648527</v>
      </c>
      <c r="AC70" s="64">
        <v>68</v>
      </c>
      <c r="AD70" s="64">
        <f t="shared" ca="1" si="25"/>
        <v>456</v>
      </c>
      <c r="AE70" s="76">
        <f t="shared" ca="1" si="27"/>
        <v>10.148646039357324</v>
      </c>
      <c r="AF70" s="60">
        <f t="shared" ca="1" si="21"/>
        <v>4628</v>
      </c>
    </row>
    <row r="71" spans="1:32" x14ac:dyDescent="0.25">
      <c r="A71" s="61">
        <v>69</v>
      </c>
      <c r="B71" s="105">
        <f t="shared" ca="1" si="22"/>
        <v>2736</v>
      </c>
      <c r="C71" s="106">
        <f t="shared" ca="1" si="26"/>
        <v>4884</v>
      </c>
      <c r="D71" s="107">
        <f t="shared" ca="1" si="23"/>
        <v>5304</v>
      </c>
      <c r="AB71" s="60">
        <f t="shared" ca="1" si="24"/>
        <v>0.5327377901522562</v>
      </c>
      <c r="AC71" s="64">
        <v>69</v>
      </c>
      <c r="AD71" s="64">
        <f t="shared" ca="1" si="25"/>
        <v>461</v>
      </c>
      <c r="AE71" s="76">
        <f t="shared" ca="1" si="27"/>
        <v>11.505485588656217</v>
      </c>
      <c r="AF71" s="60">
        <f t="shared" ca="1" si="21"/>
        <v>5304</v>
      </c>
    </row>
    <row r="72" spans="1:32" x14ac:dyDescent="0.25">
      <c r="A72" s="61">
        <v>70</v>
      </c>
      <c r="B72" s="105">
        <f t="shared" ca="1" si="22"/>
        <v>3616</v>
      </c>
      <c r="C72" s="106">
        <f t="shared" ca="1" si="26"/>
        <v>4949</v>
      </c>
      <c r="D72" s="107">
        <f t="shared" ca="1" si="23"/>
        <v>5197</v>
      </c>
      <c r="AB72" s="60">
        <f t="shared" ca="1" si="24"/>
        <v>0.31219925693989381</v>
      </c>
      <c r="AC72" s="64">
        <v>70</v>
      </c>
      <c r="AD72" s="64">
        <f t="shared" ca="1" si="25"/>
        <v>466</v>
      </c>
      <c r="AE72" s="76">
        <f t="shared" ca="1" si="27"/>
        <v>11.152294443383754</v>
      </c>
      <c r="AF72" s="60">
        <f t="shared" ca="1" si="21"/>
        <v>5197</v>
      </c>
    </row>
    <row r="73" spans="1:32" x14ac:dyDescent="0.25">
      <c r="A73" s="61">
        <v>71</v>
      </c>
      <c r="B73" s="105">
        <f t="shared" ca="1" si="22"/>
        <v>5074</v>
      </c>
      <c r="C73" s="106">
        <f t="shared" ca="1" si="26"/>
        <v>5037</v>
      </c>
      <c r="D73" s="107">
        <f t="shared" ca="1" si="23"/>
        <v>3899</v>
      </c>
      <c r="AB73" s="60">
        <f t="shared" ca="1" si="24"/>
        <v>8.1416104448006954E-2</v>
      </c>
      <c r="AC73" s="64">
        <v>71</v>
      </c>
      <c r="AD73" s="64">
        <f t="shared" ca="1" si="25"/>
        <v>471</v>
      </c>
      <c r="AE73" s="76">
        <f t="shared" ca="1" si="27"/>
        <v>8.2787686637886004</v>
      </c>
      <c r="AF73" s="60">
        <f t="shared" ca="1" si="21"/>
        <v>3899</v>
      </c>
    </row>
    <row r="74" spans="1:32" x14ac:dyDescent="0.25">
      <c r="A74" s="61">
        <v>72</v>
      </c>
      <c r="B74" s="105">
        <f t="shared" ca="1" si="22"/>
        <v>3683</v>
      </c>
      <c r="C74" s="106">
        <f t="shared" ca="1" si="26"/>
        <v>5074</v>
      </c>
      <c r="D74" s="107">
        <f t="shared" ca="1" si="23"/>
        <v>3623</v>
      </c>
      <c r="AB74" s="60">
        <f t="shared" ca="1" si="24"/>
        <v>0.10674902236531703</v>
      </c>
      <c r="AC74" s="64">
        <v>72</v>
      </c>
      <c r="AD74" s="64">
        <f t="shared" ca="1" si="25"/>
        <v>476</v>
      </c>
      <c r="AE74" s="76">
        <f t="shared" ca="1" si="27"/>
        <v>7.6111867020338604</v>
      </c>
      <c r="AF74" s="60">
        <f t="shared" ca="1" si="21"/>
        <v>3623</v>
      </c>
    </row>
    <row r="75" spans="1:32" x14ac:dyDescent="0.25">
      <c r="A75" s="61">
        <v>73</v>
      </c>
      <c r="B75" s="105">
        <f t="shared" ca="1" si="22"/>
        <v>2919</v>
      </c>
      <c r="C75" s="106">
        <f t="shared" ca="1" si="26"/>
        <v>5197</v>
      </c>
      <c r="D75" s="107">
        <f t="shared" ca="1" si="23"/>
        <v>4731</v>
      </c>
      <c r="AB75" s="60">
        <f t="shared" ca="1" si="24"/>
        <v>0.53072848781874693</v>
      </c>
      <c r="AC75" s="64">
        <v>73</v>
      </c>
      <c r="AD75" s="64">
        <f t="shared" ca="1" si="25"/>
        <v>481</v>
      </c>
      <c r="AE75" s="76">
        <f t="shared" ca="1" si="27"/>
        <v>9.8363714142530672</v>
      </c>
      <c r="AF75" s="60">
        <f t="shared" ca="1" si="21"/>
        <v>4731</v>
      </c>
    </row>
    <row r="76" spans="1:32" x14ac:dyDescent="0.25">
      <c r="A76" s="61">
        <v>74</v>
      </c>
      <c r="B76" s="105">
        <f t="shared" ca="1" si="22"/>
        <v>1920</v>
      </c>
      <c r="C76" s="106">
        <f t="shared" ca="1" si="26"/>
        <v>5304</v>
      </c>
      <c r="D76" s="107">
        <f t="shared" ca="1" si="23"/>
        <v>4949</v>
      </c>
      <c r="AB76" s="60">
        <f t="shared" ca="1" si="24"/>
        <v>0.8492974240401201</v>
      </c>
      <c r="AC76" s="64">
        <v>74</v>
      </c>
      <c r="AD76" s="64">
        <f t="shared" ca="1" si="25"/>
        <v>486</v>
      </c>
      <c r="AE76" s="76">
        <f t="shared" ca="1" si="27"/>
        <v>10.183372067875386</v>
      </c>
      <c r="AF76" s="60">
        <f t="shared" ca="1" si="21"/>
        <v>4949</v>
      </c>
    </row>
    <row r="77" spans="1:32" x14ac:dyDescent="0.25">
      <c r="A77" s="61">
        <v>75</v>
      </c>
      <c r="B77" s="105">
        <f t="shared" ca="1" si="22"/>
        <v>4440</v>
      </c>
      <c r="C77" s="106">
        <f t="shared" ca="1" si="26"/>
        <v>5781</v>
      </c>
      <c r="D77" s="107">
        <f t="shared" ca="1" si="23"/>
        <v>5781</v>
      </c>
      <c r="AB77" s="60">
        <f t="shared" ca="1" si="24"/>
        <v>0.10585798481729058</v>
      </c>
      <c r="AC77" s="64">
        <v>75</v>
      </c>
      <c r="AD77" s="64">
        <f t="shared" ca="1" si="25"/>
        <v>491</v>
      </c>
      <c r="AE77" s="76">
        <f t="shared" ca="1" si="27"/>
        <v>11.774431408820952</v>
      </c>
      <c r="AF77" s="60">
        <f t="shared" ca="1" si="21"/>
        <v>5781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18" workbookViewId="0">
      <selection activeCell="I11" sqref="I11"/>
    </sheetView>
  </sheetViews>
  <sheetFormatPr defaultRowHeight="12.75" x14ac:dyDescent="0.2"/>
  <cols>
    <col min="1" max="1" width="4.42578125" bestFit="1" customWidth="1"/>
    <col min="6" max="6" width="10.7109375" bestFit="1" customWidth="1"/>
    <col min="7" max="8" width="5" bestFit="1" customWidth="1"/>
    <col min="9" max="9" width="9.7109375" bestFit="1" customWidth="1"/>
    <col min="10" max="10" width="5.85546875" bestFit="1" customWidth="1"/>
    <col min="11" max="11" width="4.7109375" bestFit="1" customWidth="1"/>
    <col min="12" max="12" width="8.5703125" bestFit="1" customWidth="1"/>
  </cols>
  <sheetData>
    <row r="1" spans="1:17" ht="13.5" thickBot="1" x14ac:dyDescent="0.25">
      <c r="A1" s="59" t="s">
        <v>60</v>
      </c>
      <c r="B1" t="s">
        <v>0</v>
      </c>
      <c r="C1" t="s">
        <v>1</v>
      </c>
      <c r="D1" t="s">
        <v>2</v>
      </c>
      <c r="F1" s="29" t="s">
        <v>9</v>
      </c>
      <c r="G1" s="29" t="s">
        <v>54</v>
      </c>
      <c r="H1" s="29" t="s">
        <v>55</v>
      </c>
      <c r="I1" s="29" t="s">
        <v>56</v>
      </c>
      <c r="J1" s="29" t="s">
        <v>57</v>
      </c>
      <c r="K1" s="29" t="s">
        <v>59</v>
      </c>
      <c r="L1" s="29" t="s">
        <v>58</v>
      </c>
    </row>
    <row r="2" spans="1:17" ht="13.5" thickBot="1" x14ac:dyDescent="0.25">
      <c r="F2" s="30" t="str">
        <f>G2&amp;" - "&amp;H2</f>
        <v>100 - 200</v>
      </c>
      <c r="G2" s="31">
        <v>100</v>
      </c>
      <c r="H2" s="32">
        <f>G2+100</f>
        <v>200</v>
      </c>
      <c r="I2" s="43">
        <f t="shared" ref="I2:I14" si="0">COUNTIF($C$3:$C$77, "&lt;"&amp;H2)</f>
        <v>1</v>
      </c>
      <c r="J2" s="32">
        <f>I2</f>
        <v>1</v>
      </c>
      <c r="K2" s="33">
        <f>J2/$J$15</f>
        <v>1.3333333333333334E-2</v>
      </c>
      <c r="L2" s="34">
        <f>I2/$J$15</f>
        <v>1.3333333333333334E-2</v>
      </c>
      <c r="N2" s="11" t="s">
        <v>3</v>
      </c>
      <c r="O2" s="12">
        <f>AVERAGE(B$3:B$77)</f>
        <v>549.66666666666663</v>
      </c>
      <c r="P2" s="12">
        <f>AVERAGE(C$3:C$77)</f>
        <v>549.66666666666663</v>
      </c>
      <c r="Q2" s="13">
        <f>AVERAGE(D$3:D$77)</f>
        <v>549.66666666666663</v>
      </c>
    </row>
    <row r="3" spans="1:17" ht="13.5" thickBot="1" x14ac:dyDescent="0.25">
      <c r="A3" s="51">
        <v>1</v>
      </c>
      <c r="B3" s="2">
        <v>495</v>
      </c>
      <c r="C3" s="3">
        <v>176</v>
      </c>
      <c r="D3" s="4">
        <v>346</v>
      </c>
      <c r="F3" s="35" t="str">
        <f t="shared" ref="F3:F14" si="1">G3&amp;" - "&amp;H3</f>
        <v>200 - 300</v>
      </c>
      <c r="G3" s="36">
        <f>H2</f>
        <v>200</v>
      </c>
      <c r="H3" s="36">
        <f t="shared" ref="H3:H14" si="2">G3+100</f>
        <v>300</v>
      </c>
      <c r="I3" s="43">
        <f t="shared" si="0"/>
        <v>11</v>
      </c>
      <c r="J3" s="36">
        <f>I3-I2</f>
        <v>10</v>
      </c>
      <c r="K3" s="37">
        <f t="shared" ref="K3:K14" si="3">J3/$J$15</f>
        <v>0.13333333333333333</v>
      </c>
      <c r="L3" s="38">
        <f t="shared" ref="L3:L14" si="4">I3/$J$15</f>
        <v>0.14666666666666667</v>
      </c>
      <c r="N3" s="14" t="s">
        <v>7</v>
      </c>
      <c r="O3" s="15">
        <f>MAX(B$3:B$77)</f>
        <v>1330</v>
      </c>
      <c r="P3" s="15">
        <f>MAX(C$3:C$77)</f>
        <v>1330</v>
      </c>
      <c r="Q3" s="16">
        <f>MAX(D$3:D$77)</f>
        <v>1330</v>
      </c>
    </row>
    <row r="4" spans="1:17" ht="13.5" thickBot="1" x14ac:dyDescent="0.25">
      <c r="A4" s="51">
        <v>2</v>
      </c>
      <c r="B4" s="5">
        <v>204</v>
      </c>
      <c r="C4" s="6">
        <v>204</v>
      </c>
      <c r="D4" s="7">
        <v>775</v>
      </c>
      <c r="F4" s="35" t="str">
        <f t="shared" si="1"/>
        <v>300 - 400</v>
      </c>
      <c r="G4" s="36">
        <f t="shared" ref="G4:G13" si="5">H3</f>
        <v>300</v>
      </c>
      <c r="H4" s="36">
        <f t="shared" si="2"/>
        <v>400</v>
      </c>
      <c r="I4" s="43">
        <f t="shared" si="0"/>
        <v>24</v>
      </c>
      <c r="J4" s="36">
        <f t="shared" ref="J4:J14" si="6">I4-I3</f>
        <v>13</v>
      </c>
      <c r="K4" s="37">
        <f t="shared" si="3"/>
        <v>0.17333333333333334</v>
      </c>
      <c r="L4" s="38">
        <f t="shared" si="4"/>
        <v>0.32</v>
      </c>
      <c r="N4" s="14" t="s">
        <v>4</v>
      </c>
      <c r="O4" s="15">
        <f>MIN(B$3:B$77)</f>
        <v>176</v>
      </c>
      <c r="P4" s="15">
        <f>MIN(C$3:C$77)</f>
        <v>176</v>
      </c>
      <c r="Q4" s="16">
        <f>MIN(D$3:D$77)</f>
        <v>176</v>
      </c>
    </row>
    <row r="5" spans="1:17" ht="13.5" thickBot="1" x14ac:dyDescent="0.25">
      <c r="A5" s="51">
        <v>3</v>
      </c>
      <c r="B5" s="5">
        <v>318</v>
      </c>
      <c r="C5" s="6">
        <v>218</v>
      </c>
      <c r="D5" s="7">
        <v>572</v>
      </c>
      <c r="F5" s="35" t="str">
        <f t="shared" si="1"/>
        <v>400 - 500</v>
      </c>
      <c r="G5" s="36">
        <f t="shared" si="5"/>
        <v>400</v>
      </c>
      <c r="H5" s="36">
        <f t="shared" si="2"/>
        <v>500</v>
      </c>
      <c r="I5" s="43">
        <f t="shared" si="0"/>
        <v>33</v>
      </c>
      <c r="J5" s="36">
        <f t="shared" si="6"/>
        <v>9</v>
      </c>
      <c r="K5" s="37">
        <f t="shared" si="3"/>
        <v>0.12</v>
      </c>
      <c r="L5" s="38">
        <f t="shared" si="4"/>
        <v>0.44</v>
      </c>
      <c r="N5" s="14" t="s">
        <v>9</v>
      </c>
      <c r="O5" s="15">
        <f>O3-O4</f>
        <v>1154</v>
      </c>
      <c r="P5" s="15">
        <f>P3-P4</f>
        <v>1154</v>
      </c>
      <c r="Q5" s="16">
        <f>Q3-Q4</f>
        <v>1154</v>
      </c>
    </row>
    <row r="6" spans="1:17" ht="13.5" thickBot="1" x14ac:dyDescent="0.25">
      <c r="A6" s="51">
        <v>4</v>
      </c>
      <c r="B6" s="5">
        <v>802</v>
      </c>
      <c r="C6" s="6">
        <v>439</v>
      </c>
      <c r="D6" s="7">
        <v>455</v>
      </c>
      <c r="F6" s="35" t="str">
        <f t="shared" si="1"/>
        <v>500 - 600</v>
      </c>
      <c r="G6" s="36">
        <f t="shared" si="5"/>
        <v>500</v>
      </c>
      <c r="H6" s="36">
        <f t="shared" si="2"/>
        <v>600</v>
      </c>
      <c r="I6" s="43">
        <f t="shared" si="0"/>
        <v>49</v>
      </c>
      <c r="J6" s="36">
        <f t="shared" si="6"/>
        <v>16</v>
      </c>
      <c r="K6" s="37">
        <f t="shared" si="3"/>
        <v>0.21333333333333335</v>
      </c>
      <c r="L6" s="38">
        <f t="shared" si="4"/>
        <v>0.65333333333333332</v>
      </c>
      <c r="N6" s="14" t="s">
        <v>5</v>
      </c>
      <c r="O6" s="15">
        <f>_xlfn.STDEV.S(B$3:B$77)</f>
        <v>244.87626954727034</v>
      </c>
      <c r="P6" s="15">
        <f>_xlfn.STDEV.S(C$3:C$77)</f>
        <v>244.87626954727034</v>
      </c>
      <c r="Q6" s="16">
        <f>_xlfn.STDEV.S(D$3:D$77)</f>
        <v>244.87626954727034</v>
      </c>
    </row>
    <row r="7" spans="1:17" ht="13.5" thickBot="1" x14ac:dyDescent="0.25">
      <c r="A7" s="51">
        <v>5</v>
      </c>
      <c r="B7" s="5">
        <v>446</v>
      </c>
      <c r="C7" s="6">
        <v>229</v>
      </c>
      <c r="D7" s="7">
        <v>176</v>
      </c>
      <c r="F7" s="35" t="str">
        <f t="shared" si="1"/>
        <v>600 - 700</v>
      </c>
      <c r="G7" s="36">
        <f t="shared" si="5"/>
        <v>600</v>
      </c>
      <c r="H7" s="36">
        <f t="shared" si="2"/>
        <v>700</v>
      </c>
      <c r="I7" s="43">
        <f t="shared" si="0"/>
        <v>54</v>
      </c>
      <c r="J7" s="36">
        <f t="shared" si="6"/>
        <v>5</v>
      </c>
      <c r="K7" s="37">
        <f t="shared" si="3"/>
        <v>6.6666666666666666E-2</v>
      </c>
      <c r="L7" s="38">
        <f t="shared" si="4"/>
        <v>0.72</v>
      </c>
      <c r="N7" s="14" t="s">
        <v>6</v>
      </c>
      <c r="O7" s="15">
        <f>O6/O2</f>
        <v>0.44549958074094059</v>
      </c>
      <c r="P7" s="15">
        <f>P6/P2</f>
        <v>0.44549958074094059</v>
      </c>
      <c r="Q7" s="16">
        <f>Q6/Q2</f>
        <v>0.44549958074094059</v>
      </c>
    </row>
    <row r="8" spans="1:17" ht="13.5" thickBot="1" x14ac:dyDescent="0.25">
      <c r="A8" s="51">
        <v>6</v>
      </c>
      <c r="B8" s="5">
        <v>568</v>
      </c>
      <c r="C8" s="6">
        <v>249</v>
      </c>
      <c r="D8" s="7">
        <v>412</v>
      </c>
      <c r="F8" s="35" t="str">
        <f t="shared" si="1"/>
        <v>700 - 800</v>
      </c>
      <c r="G8" s="36">
        <f t="shared" si="5"/>
        <v>700</v>
      </c>
      <c r="H8" s="36">
        <f t="shared" si="2"/>
        <v>800</v>
      </c>
      <c r="I8" s="43">
        <f t="shared" si="0"/>
        <v>61</v>
      </c>
      <c r="J8" s="36">
        <f t="shared" si="6"/>
        <v>7</v>
      </c>
      <c r="K8" s="37">
        <f t="shared" si="3"/>
        <v>9.3333333333333338E-2</v>
      </c>
      <c r="L8" s="38">
        <f t="shared" si="4"/>
        <v>0.81333333333333335</v>
      </c>
      <c r="N8" s="14" t="s">
        <v>53</v>
      </c>
      <c r="O8" s="15">
        <f>O5/O2</f>
        <v>2.099454214675561</v>
      </c>
      <c r="P8" s="15">
        <f>P5/P2</f>
        <v>2.099454214675561</v>
      </c>
      <c r="Q8" s="16">
        <f>Q5/Q2</f>
        <v>2.099454214675561</v>
      </c>
    </row>
    <row r="9" spans="1:17" ht="13.5" thickBot="1" x14ac:dyDescent="0.25">
      <c r="A9" s="51">
        <v>7</v>
      </c>
      <c r="B9" s="5">
        <v>372</v>
      </c>
      <c r="C9" s="6">
        <v>227</v>
      </c>
      <c r="D9" s="7">
        <v>926</v>
      </c>
      <c r="F9" s="35" t="str">
        <f t="shared" si="1"/>
        <v>800 - 900</v>
      </c>
      <c r="G9" s="36">
        <f t="shared" si="5"/>
        <v>800</v>
      </c>
      <c r="H9" s="36">
        <f t="shared" si="2"/>
        <v>900</v>
      </c>
      <c r="I9" s="43">
        <f t="shared" si="0"/>
        <v>69</v>
      </c>
      <c r="J9" s="36">
        <f t="shared" si="6"/>
        <v>8</v>
      </c>
      <c r="K9" s="37">
        <f t="shared" si="3"/>
        <v>0.10666666666666667</v>
      </c>
      <c r="L9" s="38">
        <f t="shared" si="4"/>
        <v>0.92</v>
      </c>
      <c r="N9" s="17" t="s">
        <v>8</v>
      </c>
      <c r="O9" s="18">
        <f>SKEW(B$3:B$77)</f>
        <v>0.77576152004140142</v>
      </c>
      <c r="P9" s="18">
        <f>SKEW(C$3:C$77)</f>
        <v>0.77576152004140153</v>
      </c>
      <c r="Q9" s="19">
        <f>SKEW(D$3:D$77)</f>
        <v>0.77576152004140153</v>
      </c>
    </row>
    <row r="10" spans="1:17" ht="13.5" thickBot="1" x14ac:dyDescent="0.25">
      <c r="A10" s="51">
        <v>8</v>
      </c>
      <c r="B10" s="5">
        <v>281</v>
      </c>
      <c r="C10" s="6">
        <v>256</v>
      </c>
      <c r="D10" s="7">
        <v>710</v>
      </c>
      <c r="F10" s="35" t="str">
        <f t="shared" si="1"/>
        <v>900 - 1000</v>
      </c>
      <c r="G10" s="36">
        <f t="shared" si="5"/>
        <v>900</v>
      </c>
      <c r="H10" s="36">
        <f t="shared" si="2"/>
        <v>1000</v>
      </c>
      <c r="I10" s="43">
        <f t="shared" si="0"/>
        <v>71</v>
      </c>
      <c r="J10" s="36">
        <f t="shared" si="6"/>
        <v>2</v>
      </c>
      <c r="K10" s="37">
        <f t="shared" si="3"/>
        <v>2.6666666666666668E-2</v>
      </c>
      <c r="L10" s="38">
        <f t="shared" si="4"/>
        <v>0.94666666666666666</v>
      </c>
    </row>
    <row r="11" spans="1:17" ht="13.5" thickBot="1" x14ac:dyDescent="0.25">
      <c r="A11" s="51">
        <v>9</v>
      </c>
      <c r="B11" s="5">
        <v>676</v>
      </c>
      <c r="C11" s="6">
        <v>304</v>
      </c>
      <c r="D11" s="7">
        <v>514</v>
      </c>
      <c r="F11" s="35" t="str">
        <f t="shared" si="1"/>
        <v>1000 - 1100</v>
      </c>
      <c r="G11" s="36">
        <f t="shared" si="5"/>
        <v>1000</v>
      </c>
      <c r="H11" s="36">
        <f t="shared" si="2"/>
        <v>1100</v>
      </c>
      <c r="I11" s="43">
        <f t="shared" si="0"/>
        <v>73</v>
      </c>
      <c r="J11" s="36">
        <f t="shared" si="6"/>
        <v>2</v>
      </c>
      <c r="K11" s="37">
        <f t="shared" si="3"/>
        <v>2.6666666666666668E-2</v>
      </c>
      <c r="L11" s="38">
        <f t="shared" si="4"/>
        <v>0.97333333333333338</v>
      </c>
    </row>
    <row r="12" spans="1:17" ht="13.5" thickBot="1" x14ac:dyDescent="0.25">
      <c r="A12" s="51">
        <v>10</v>
      </c>
      <c r="B12" s="5">
        <v>755</v>
      </c>
      <c r="C12" s="6">
        <v>354</v>
      </c>
      <c r="D12" s="7">
        <v>281</v>
      </c>
      <c r="F12" s="35" t="str">
        <f t="shared" si="1"/>
        <v>1100 - 1200</v>
      </c>
      <c r="G12" s="36">
        <f t="shared" si="5"/>
        <v>1100</v>
      </c>
      <c r="H12" s="36">
        <f t="shared" si="2"/>
        <v>1200</v>
      </c>
      <c r="I12" s="43">
        <f t="shared" si="0"/>
        <v>74</v>
      </c>
      <c r="J12" s="36">
        <f t="shared" si="6"/>
        <v>1</v>
      </c>
      <c r="K12" s="37">
        <f t="shared" si="3"/>
        <v>1.3333333333333334E-2</v>
      </c>
      <c r="L12" s="38">
        <f t="shared" si="4"/>
        <v>0.98666666666666669</v>
      </c>
    </row>
    <row r="13" spans="1:17" ht="13.5" thickBot="1" x14ac:dyDescent="0.25">
      <c r="A13" s="51">
        <v>11</v>
      </c>
      <c r="B13" s="5">
        <v>503</v>
      </c>
      <c r="C13" s="6">
        <v>289</v>
      </c>
      <c r="D13" s="7">
        <v>412</v>
      </c>
      <c r="F13" s="35" t="str">
        <f t="shared" si="1"/>
        <v>1200 - 1300</v>
      </c>
      <c r="G13" s="36">
        <f t="shared" si="5"/>
        <v>1200</v>
      </c>
      <c r="H13" s="36">
        <f t="shared" si="2"/>
        <v>1300</v>
      </c>
      <c r="I13" s="43">
        <f t="shared" si="0"/>
        <v>74</v>
      </c>
      <c r="J13" s="36">
        <f t="shared" si="6"/>
        <v>0</v>
      </c>
      <c r="K13" s="37">
        <f t="shared" si="3"/>
        <v>0</v>
      </c>
      <c r="L13" s="38">
        <f t="shared" si="4"/>
        <v>0.98666666666666669</v>
      </c>
    </row>
    <row r="14" spans="1:17" ht="13.5" thickBot="1" x14ac:dyDescent="0.25">
      <c r="A14" s="51">
        <v>12</v>
      </c>
      <c r="B14" s="5">
        <v>511</v>
      </c>
      <c r="C14" s="6">
        <v>273</v>
      </c>
      <c r="D14" s="7">
        <v>939</v>
      </c>
      <c r="F14" s="39" t="str">
        <f t="shared" si="1"/>
        <v>1300 - 1400</v>
      </c>
      <c r="G14" s="40">
        <f>H13</f>
        <v>1300</v>
      </c>
      <c r="H14" s="40">
        <f t="shared" si="2"/>
        <v>1400</v>
      </c>
      <c r="I14" s="44">
        <f t="shared" si="0"/>
        <v>75</v>
      </c>
      <c r="J14" s="40">
        <f t="shared" si="6"/>
        <v>1</v>
      </c>
      <c r="K14" s="41">
        <f t="shared" si="3"/>
        <v>1.3333333333333334E-2</v>
      </c>
      <c r="L14" s="42">
        <f t="shared" si="4"/>
        <v>1</v>
      </c>
    </row>
    <row r="15" spans="1:17" x14ac:dyDescent="0.2">
      <c r="A15" s="51">
        <v>13</v>
      </c>
      <c r="B15" s="5">
        <v>229</v>
      </c>
      <c r="C15" s="6">
        <v>315</v>
      </c>
      <c r="D15" s="7">
        <v>718</v>
      </c>
      <c r="J15" s="9">
        <f>SUM(J2:J14)</f>
        <v>75</v>
      </c>
      <c r="K15" s="9">
        <f>SUM(K2:K14)</f>
        <v>0.99999999999999989</v>
      </c>
      <c r="L15" s="9"/>
    </row>
    <row r="16" spans="1:17" x14ac:dyDescent="0.2">
      <c r="A16" s="51">
        <v>14</v>
      </c>
      <c r="B16" s="5">
        <v>439</v>
      </c>
      <c r="C16" s="6">
        <v>346</v>
      </c>
      <c r="D16" s="7">
        <v>520</v>
      </c>
    </row>
    <row r="17" spans="1:4" x14ac:dyDescent="0.2">
      <c r="A17" s="51">
        <v>15</v>
      </c>
      <c r="B17" s="5">
        <v>412</v>
      </c>
      <c r="C17" s="6">
        <v>318</v>
      </c>
      <c r="D17" s="7">
        <v>289</v>
      </c>
    </row>
    <row r="18" spans="1:4" x14ac:dyDescent="0.2">
      <c r="A18" s="51">
        <v>16</v>
      </c>
      <c r="B18" s="5">
        <v>775</v>
      </c>
      <c r="C18" s="6">
        <v>330</v>
      </c>
      <c r="D18" s="7">
        <v>434</v>
      </c>
    </row>
    <row r="19" spans="1:4" x14ac:dyDescent="0.2">
      <c r="A19" s="51">
        <v>17</v>
      </c>
      <c r="B19" s="5">
        <v>330</v>
      </c>
      <c r="C19" s="6">
        <v>359</v>
      </c>
      <c r="D19" s="7">
        <v>1045</v>
      </c>
    </row>
    <row r="20" spans="1:4" x14ac:dyDescent="0.2">
      <c r="A20" s="51">
        <v>18</v>
      </c>
      <c r="B20" s="5">
        <v>289</v>
      </c>
      <c r="C20" s="6">
        <v>370</v>
      </c>
      <c r="D20" s="7">
        <v>719</v>
      </c>
    </row>
    <row r="21" spans="1:4" x14ac:dyDescent="0.2">
      <c r="A21" s="51">
        <v>19</v>
      </c>
      <c r="B21" s="5">
        <v>1045</v>
      </c>
      <c r="C21" s="6">
        <v>348</v>
      </c>
      <c r="D21" s="7">
        <v>529</v>
      </c>
    </row>
    <row r="22" spans="1:4" x14ac:dyDescent="0.2">
      <c r="A22" s="51">
        <v>20</v>
      </c>
      <c r="B22" s="5">
        <v>348</v>
      </c>
      <c r="C22" s="6">
        <v>281</v>
      </c>
      <c r="D22" s="7">
        <v>304</v>
      </c>
    </row>
    <row r="23" spans="1:4" x14ac:dyDescent="0.2">
      <c r="A23" s="51">
        <v>21</v>
      </c>
      <c r="B23" s="5">
        <v>249</v>
      </c>
      <c r="C23" s="6">
        <v>356</v>
      </c>
      <c r="D23" s="7">
        <v>439</v>
      </c>
    </row>
    <row r="24" spans="1:4" x14ac:dyDescent="0.2">
      <c r="A24" s="51">
        <v>22</v>
      </c>
      <c r="B24" s="5">
        <v>218</v>
      </c>
      <c r="C24" s="6">
        <v>372</v>
      </c>
      <c r="D24" s="7">
        <v>1045</v>
      </c>
    </row>
    <row r="25" spans="1:4" x14ac:dyDescent="0.2">
      <c r="A25" s="51">
        <v>23</v>
      </c>
      <c r="B25" s="5">
        <v>603</v>
      </c>
      <c r="C25" s="6">
        <v>377</v>
      </c>
      <c r="D25" s="7">
        <v>730</v>
      </c>
    </row>
    <row r="26" spans="1:4" x14ac:dyDescent="0.2">
      <c r="A26" s="51">
        <v>24</v>
      </c>
      <c r="B26" s="5">
        <v>412</v>
      </c>
      <c r="C26" s="6">
        <v>412</v>
      </c>
      <c r="D26" s="7">
        <v>532</v>
      </c>
    </row>
    <row r="27" spans="1:4" x14ac:dyDescent="0.2">
      <c r="A27" s="51">
        <v>25</v>
      </c>
      <c r="B27" s="5">
        <v>608</v>
      </c>
      <c r="C27" s="6">
        <v>503</v>
      </c>
      <c r="D27" s="7">
        <v>315</v>
      </c>
    </row>
    <row r="28" spans="1:4" x14ac:dyDescent="0.2">
      <c r="A28" s="51">
        <v>26</v>
      </c>
      <c r="B28" s="5">
        <v>540</v>
      </c>
      <c r="C28" s="6">
        <v>381</v>
      </c>
      <c r="D28" s="7">
        <v>446</v>
      </c>
    </row>
    <row r="29" spans="1:4" x14ac:dyDescent="0.2">
      <c r="A29" s="51">
        <v>27</v>
      </c>
      <c r="B29" s="5">
        <v>744</v>
      </c>
      <c r="C29" s="6">
        <v>434</v>
      </c>
      <c r="D29" s="7">
        <v>1133</v>
      </c>
    </row>
    <row r="30" spans="1:4" x14ac:dyDescent="0.2">
      <c r="A30" s="51">
        <v>28</v>
      </c>
      <c r="B30" s="5">
        <v>465</v>
      </c>
      <c r="C30" s="6">
        <v>229</v>
      </c>
      <c r="D30" s="7">
        <v>744</v>
      </c>
    </row>
    <row r="31" spans="1:4" x14ac:dyDescent="0.2">
      <c r="A31" s="51">
        <v>29</v>
      </c>
      <c r="B31" s="5">
        <v>577</v>
      </c>
      <c r="C31" s="6">
        <v>446</v>
      </c>
      <c r="D31" s="7">
        <v>540</v>
      </c>
    </row>
    <row r="32" spans="1:4" x14ac:dyDescent="0.2">
      <c r="A32" s="51">
        <v>30</v>
      </c>
      <c r="B32" s="5">
        <v>576</v>
      </c>
      <c r="C32" s="6">
        <v>450</v>
      </c>
      <c r="D32" s="7">
        <v>318</v>
      </c>
    </row>
    <row r="33" spans="1:4" x14ac:dyDescent="0.2">
      <c r="A33" s="51">
        <v>31</v>
      </c>
      <c r="B33" s="5">
        <v>681</v>
      </c>
      <c r="C33" s="6">
        <v>455</v>
      </c>
      <c r="D33" s="7">
        <v>450</v>
      </c>
    </row>
    <row r="34" spans="1:4" x14ac:dyDescent="0.2">
      <c r="A34" s="51">
        <v>32</v>
      </c>
      <c r="B34" s="5">
        <v>842</v>
      </c>
      <c r="C34" s="6">
        <v>465</v>
      </c>
      <c r="D34" s="7">
        <v>1330</v>
      </c>
    </row>
    <row r="35" spans="1:4" x14ac:dyDescent="0.2">
      <c r="A35" s="51">
        <v>33</v>
      </c>
      <c r="B35" s="5">
        <v>256</v>
      </c>
      <c r="C35" s="6">
        <v>495</v>
      </c>
      <c r="D35" s="7">
        <v>755</v>
      </c>
    </row>
    <row r="36" spans="1:4" x14ac:dyDescent="0.2">
      <c r="A36" s="51">
        <v>34</v>
      </c>
      <c r="B36" s="5">
        <v>851</v>
      </c>
      <c r="C36" s="6">
        <v>500</v>
      </c>
      <c r="D36" s="7">
        <v>568</v>
      </c>
    </row>
    <row r="37" spans="1:4" x14ac:dyDescent="0.2">
      <c r="A37" s="51">
        <v>35</v>
      </c>
      <c r="B37" s="5">
        <v>273</v>
      </c>
      <c r="C37" s="6">
        <v>412</v>
      </c>
      <c r="D37" s="7">
        <v>330</v>
      </c>
    </row>
    <row r="38" spans="1:4" x14ac:dyDescent="0.2">
      <c r="A38" s="51">
        <v>36</v>
      </c>
      <c r="B38" s="5">
        <v>856</v>
      </c>
      <c r="C38" s="6">
        <v>508</v>
      </c>
      <c r="D38" s="7">
        <v>348</v>
      </c>
    </row>
    <row r="39" spans="1:4" x14ac:dyDescent="0.2">
      <c r="A39" s="51">
        <v>37</v>
      </c>
      <c r="B39" s="5">
        <v>532</v>
      </c>
      <c r="C39" s="6">
        <v>511</v>
      </c>
      <c r="D39" s="7">
        <v>802</v>
      </c>
    </row>
    <row r="40" spans="1:4" x14ac:dyDescent="0.2">
      <c r="A40" s="51">
        <v>38</v>
      </c>
      <c r="B40" s="5">
        <v>508</v>
      </c>
      <c r="C40" s="6">
        <v>612</v>
      </c>
      <c r="D40" s="7">
        <v>576</v>
      </c>
    </row>
    <row r="41" spans="1:4" x14ac:dyDescent="0.2">
      <c r="A41" s="51">
        <v>39</v>
      </c>
      <c r="B41" s="5">
        <v>434</v>
      </c>
      <c r="C41" s="6">
        <v>511</v>
      </c>
      <c r="D41" s="7">
        <v>465</v>
      </c>
    </row>
    <row r="42" spans="1:4" x14ac:dyDescent="0.2">
      <c r="A42" s="51">
        <v>40</v>
      </c>
      <c r="B42" s="5">
        <v>597</v>
      </c>
      <c r="C42" s="6">
        <v>514</v>
      </c>
      <c r="D42" s="7">
        <v>204</v>
      </c>
    </row>
    <row r="43" spans="1:4" x14ac:dyDescent="0.2">
      <c r="A43" s="51">
        <v>41</v>
      </c>
      <c r="B43" s="5">
        <v>315</v>
      </c>
      <c r="C43" s="6">
        <v>520</v>
      </c>
      <c r="D43" s="7">
        <v>354</v>
      </c>
    </row>
    <row r="44" spans="1:4" x14ac:dyDescent="0.2">
      <c r="A44" s="51">
        <v>42</v>
      </c>
      <c r="B44" s="5">
        <v>1045</v>
      </c>
      <c r="C44" s="6">
        <v>710</v>
      </c>
      <c r="D44" s="7">
        <v>836</v>
      </c>
    </row>
    <row r="45" spans="1:4" x14ac:dyDescent="0.2">
      <c r="A45" s="51">
        <v>43</v>
      </c>
      <c r="B45" s="5">
        <v>370</v>
      </c>
      <c r="C45" s="6">
        <v>532</v>
      </c>
      <c r="D45" s="7">
        <v>577</v>
      </c>
    </row>
    <row r="46" spans="1:4" x14ac:dyDescent="0.2">
      <c r="A46" s="51">
        <v>44</v>
      </c>
      <c r="B46" s="5">
        <v>354</v>
      </c>
      <c r="C46" s="6">
        <v>540</v>
      </c>
      <c r="D46" s="7">
        <v>495</v>
      </c>
    </row>
    <row r="47" spans="1:4" x14ac:dyDescent="0.2">
      <c r="A47" s="51">
        <v>45</v>
      </c>
      <c r="B47" s="5">
        <v>500</v>
      </c>
      <c r="C47" s="6">
        <v>568</v>
      </c>
      <c r="D47" s="7">
        <v>218</v>
      </c>
    </row>
    <row r="48" spans="1:4" x14ac:dyDescent="0.2">
      <c r="A48" s="51">
        <v>46</v>
      </c>
      <c r="B48" s="5">
        <v>520</v>
      </c>
      <c r="C48" s="6">
        <v>572</v>
      </c>
      <c r="D48" s="7">
        <v>356</v>
      </c>
    </row>
    <row r="49" spans="1:4" x14ac:dyDescent="0.2">
      <c r="A49" s="51">
        <v>47</v>
      </c>
      <c r="B49" s="5">
        <v>356</v>
      </c>
      <c r="C49" s="6">
        <v>576</v>
      </c>
      <c r="D49" s="7">
        <v>842</v>
      </c>
    </row>
    <row r="50" spans="1:4" x14ac:dyDescent="0.2">
      <c r="A50" s="51">
        <v>48</v>
      </c>
      <c r="B50" s="5">
        <v>572</v>
      </c>
      <c r="C50" s="6">
        <v>577</v>
      </c>
      <c r="D50" s="7">
        <v>597</v>
      </c>
    </row>
    <row r="51" spans="1:4" x14ac:dyDescent="0.2">
      <c r="A51" s="51">
        <v>49</v>
      </c>
      <c r="B51" s="5">
        <v>514</v>
      </c>
      <c r="C51" s="6">
        <v>836</v>
      </c>
      <c r="D51" s="7">
        <v>500</v>
      </c>
    </row>
    <row r="52" spans="1:4" x14ac:dyDescent="0.2">
      <c r="A52" s="51">
        <v>50</v>
      </c>
      <c r="B52" s="5">
        <v>842</v>
      </c>
      <c r="C52" s="6">
        <v>603</v>
      </c>
      <c r="D52" s="7">
        <v>227</v>
      </c>
    </row>
    <row r="53" spans="1:4" x14ac:dyDescent="0.2">
      <c r="A53" s="51">
        <v>51</v>
      </c>
      <c r="B53" s="5">
        <v>176</v>
      </c>
      <c r="C53" s="6">
        <v>608</v>
      </c>
      <c r="D53" s="7">
        <v>359</v>
      </c>
    </row>
    <row r="54" spans="1:4" x14ac:dyDescent="0.2">
      <c r="A54" s="51">
        <v>52</v>
      </c>
      <c r="B54" s="5">
        <v>730</v>
      </c>
      <c r="C54" s="6">
        <v>511</v>
      </c>
      <c r="D54" s="7">
        <v>842</v>
      </c>
    </row>
    <row r="55" spans="1:4" x14ac:dyDescent="0.2">
      <c r="A55" s="51">
        <v>53</v>
      </c>
      <c r="B55" s="5">
        <v>377</v>
      </c>
      <c r="C55" s="6">
        <v>676</v>
      </c>
      <c r="D55" s="7">
        <v>603</v>
      </c>
    </row>
    <row r="56" spans="1:4" x14ac:dyDescent="0.2">
      <c r="A56" s="51">
        <v>54</v>
      </c>
      <c r="B56" s="5">
        <v>866</v>
      </c>
      <c r="C56" s="6">
        <v>681</v>
      </c>
      <c r="D56" s="7">
        <v>503</v>
      </c>
    </row>
    <row r="57" spans="1:4" x14ac:dyDescent="0.2">
      <c r="A57" s="51">
        <v>55</v>
      </c>
      <c r="B57" s="5">
        <v>939</v>
      </c>
      <c r="C57" s="6">
        <v>529</v>
      </c>
      <c r="D57" s="7">
        <v>229</v>
      </c>
    </row>
    <row r="58" spans="1:4" x14ac:dyDescent="0.2">
      <c r="A58" s="51">
        <v>56</v>
      </c>
      <c r="B58" s="5">
        <v>926</v>
      </c>
      <c r="C58" s="6">
        <v>718</v>
      </c>
      <c r="D58" s="7">
        <v>370</v>
      </c>
    </row>
    <row r="59" spans="1:4" x14ac:dyDescent="0.2">
      <c r="A59" s="51">
        <v>57</v>
      </c>
      <c r="B59" s="5">
        <v>229</v>
      </c>
      <c r="C59" s="6">
        <v>719</v>
      </c>
      <c r="D59" s="7">
        <v>843</v>
      </c>
    </row>
    <row r="60" spans="1:4" x14ac:dyDescent="0.2">
      <c r="A60" s="51">
        <v>58</v>
      </c>
      <c r="B60" s="5">
        <v>304</v>
      </c>
      <c r="C60" s="6">
        <v>730</v>
      </c>
      <c r="D60" s="7">
        <v>608</v>
      </c>
    </row>
    <row r="61" spans="1:4" x14ac:dyDescent="0.2">
      <c r="A61" s="51">
        <v>59</v>
      </c>
      <c r="B61" s="5">
        <v>450</v>
      </c>
      <c r="C61" s="6">
        <v>866</v>
      </c>
      <c r="D61" s="7">
        <v>508</v>
      </c>
    </row>
    <row r="62" spans="1:4" x14ac:dyDescent="0.2">
      <c r="A62" s="51">
        <v>60</v>
      </c>
      <c r="B62" s="5">
        <v>843</v>
      </c>
      <c r="C62" s="6">
        <v>755</v>
      </c>
      <c r="D62" s="7">
        <v>229</v>
      </c>
    </row>
    <row r="63" spans="1:4" x14ac:dyDescent="0.2">
      <c r="A63" s="51">
        <v>61</v>
      </c>
      <c r="B63" s="5">
        <v>1330</v>
      </c>
      <c r="C63" s="6">
        <v>775</v>
      </c>
      <c r="D63" s="7">
        <v>372</v>
      </c>
    </row>
    <row r="64" spans="1:4" x14ac:dyDescent="0.2">
      <c r="A64" s="51">
        <v>62</v>
      </c>
      <c r="B64" s="5">
        <v>455</v>
      </c>
      <c r="C64" s="6">
        <v>802</v>
      </c>
      <c r="D64" s="7">
        <v>851</v>
      </c>
    </row>
    <row r="65" spans="1:5" x14ac:dyDescent="0.2">
      <c r="A65" s="51">
        <v>63</v>
      </c>
      <c r="B65" s="5">
        <v>359</v>
      </c>
      <c r="C65" s="6">
        <v>597</v>
      </c>
      <c r="D65" s="7">
        <v>612</v>
      </c>
    </row>
    <row r="66" spans="1:5" x14ac:dyDescent="0.2">
      <c r="A66" s="51">
        <v>64</v>
      </c>
      <c r="B66" s="5">
        <v>1133</v>
      </c>
      <c r="C66" s="6">
        <v>842</v>
      </c>
      <c r="D66" s="7">
        <v>511</v>
      </c>
    </row>
    <row r="67" spans="1:5" x14ac:dyDescent="0.2">
      <c r="A67" s="51">
        <v>65</v>
      </c>
      <c r="B67" s="5">
        <v>710</v>
      </c>
      <c r="C67" s="6">
        <v>851</v>
      </c>
      <c r="D67" s="7">
        <v>249</v>
      </c>
    </row>
    <row r="68" spans="1:5" x14ac:dyDescent="0.2">
      <c r="A68" s="51">
        <v>66</v>
      </c>
      <c r="B68" s="5">
        <v>719</v>
      </c>
      <c r="C68" s="6">
        <v>843</v>
      </c>
      <c r="D68" s="7">
        <v>377</v>
      </c>
    </row>
    <row r="69" spans="1:5" x14ac:dyDescent="0.2">
      <c r="A69" s="51">
        <v>67</v>
      </c>
      <c r="B69" s="5">
        <v>346</v>
      </c>
      <c r="C69" s="6">
        <v>842</v>
      </c>
      <c r="D69" s="7">
        <v>856</v>
      </c>
    </row>
    <row r="70" spans="1:5" x14ac:dyDescent="0.2">
      <c r="A70" s="51">
        <v>68</v>
      </c>
      <c r="B70" s="5">
        <v>511</v>
      </c>
      <c r="C70" s="6">
        <v>856</v>
      </c>
      <c r="D70" s="7">
        <v>676</v>
      </c>
    </row>
    <row r="71" spans="1:5" x14ac:dyDescent="0.2">
      <c r="A71" s="51">
        <v>69</v>
      </c>
      <c r="B71" s="5">
        <v>718</v>
      </c>
      <c r="C71" s="6">
        <v>744</v>
      </c>
      <c r="D71" s="7">
        <v>511</v>
      </c>
    </row>
    <row r="72" spans="1:5" x14ac:dyDescent="0.2">
      <c r="A72" s="51">
        <v>70</v>
      </c>
      <c r="B72" s="5">
        <v>381</v>
      </c>
      <c r="C72" s="6">
        <v>926</v>
      </c>
      <c r="D72" s="7">
        <v>256</v>
      </c>
    </row>
    <row r="73" spans="1:5" x14ac:dyDescent="0.2">
      <c r="A73" s="51">
        <v>71</v>
      </c>
      <c r="B73" s="5">
        <v>529</v>
      </c>
      <c r="C73" s="6">
        <v>939</v>
      </c>
      <c r="D73" s="7">
        <v>381</v>
      </c>
    </row>
    <row r="74" spans="1:5" x14ac:dyDescent="0.2">
      <c r="A74" s="51">
        <v>72</v>
      </c>
      <c r="B74" s="5">
        <v>227</v>
      </c>
      <c r="C74" s="6">
        <v>1045</v>
      </c>
      <c r="D74" s="7">
        <v>866</v>
      </c>
    </row>
    <row r="75" spans="1:5" x14ac:dyDescent="0.2">
      <c r="A75" s="51">
        <v>73</v>
      </c>
      <c r="B75" s="5">
        <v>612</v>
      </c>
      <c r="C75" s="6">
        <v>1330</v>
      </c>
      <c r="D75" s="7">
        <v>681</v>
      </c>
    </row>
    <row r="76" spans="1:5" x14ac:dyDescent="0.2">
      <c r="A76" s="51">
        <v>74</v>
      </c>
      <c r="B76" s="5">
        <v>836</v>
      </c>
      <c r="C76" s="6">
        <v>1133</v>
      </c>
      <c r="D76" s="7">
        <v>511</v>
      </c>
    </row>
    <row r="77" spans="1:5" x14ac:dyDescent="0.2">
      <c r="A77" s="51">
        <v>75</v>
      </c>
      <c r="B77" s="5">
        <v>511</v>
      </c>
      <c r="C77" s="6">
        <v>1045</v>
      </c>
      <c r="D77" s="7">
        <v>273</v>
      </c>
    </row>
    <row r="80" spans="1:5" x14ac:dyDescent="0.2">
      <c r="E80" s="8"/>
    </row>
  </sheetData>
  <sortState ref="F2:F76">
    <sortCondition ref="F1"/>
  </sortState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53"/>
  <sheetViews>
    <sheetView zoomScaleNormal="100" workbookViewId="0">
      <selection activeCell="O23" sqref="O23"/>
    </sheetView>
  </sheetViews>
  <sheetFormatPr defaultRowHeight="15" x14ac:dyDescent="0.25"/>
  <cols>
    <col min="1" max="1" width="3" style="60" bestFit="1" customWidth="1"/>
    <col min="2" max="2" width="9.140625" style="60"/>
    <col min="3" max="3" width="10.28515625" style="60" bestFit="1" customWidth="1"/>
    <col min="4" max="4" width="10.28515625" style="60" customWidth="1"/>
    <col min="5" max="5" width="5.28515625" style="60" bestFit="1" customWidth="1"/>
    <col min="6" max="6" width="8.7109375" style="74" customWidth="1"/>
    <col min="7" max="7" width="15.28515625" style="74" customWidth="1"/>
    <col min="8" max="8" width="5.140625" style="74" bestFit="1" customWidth="1"/>
    <col min="9" max="9" width="6.28515625" style="74" customWidth="1"/>
    <col min="10" max="10" width="9.140625" style="60"/>
    <col min="11" max="11" width="6.28515625" style="60" customWidth="1"/>
    <col min="12" max="12" width="7.28515625" style="60" customWidth="1"/>
    <col min="13" max="13" width="3.7109375" style="60" customWidth="1"/>
    <col min="14" max="14" width="5.28515625" style="60" customWidth="1"/>
    <col min="15" max="15" width="6.7109375" style="60" customWidth="1"/>
    <col min="16" max="16" width="7.85546875" style="60" customWidth="1"/>
    <col min="17" max="16384" width="9.140625" style="60"/>
  </cols>
  <sheetData>
    <row r="1" spans="1:27" ht="18" x14ac:dyDescent="0.25">
      <c r="B1" s="74">
        <f ca="1">RANDBETWEEN(1,10)</f>
        <v>2</v>
      </c>
      <c r="C1" s="62" t="s">
        <v>48</v>
      </c>
      <c r="D1" s="62"/>
      <c r="E1" s="74"/>
      <c r="F1" s="102">
        <f>MATCH(I16,I4:I13,0)</f>
        <v>8</v>
      </c>
      <c r="G1" s="102" t="s">
        <v>48</v>
      </c>
      <c r="K1" s="60" t="str">
        <f ca="1">F1&amp;"-Period MA: F ("&amp;A53&amp;") = N~ ("&amp;ROUND(F53,0)&amp;", "&amp;ROUND(1.25*I16,0)&amp;")"</f>
        <v>8-Period MA: F (51) = N~ (2673, 4289)</v>
      </c>
      <c r="X1" s="101" t="s">
        <v>47</v>
      </c>
      <c r="Y1" s="101"/>
      <c r="Z1" s="101"/>
    </row>
    <row r="2" spans="1:27" ht="17.25" thickBot="1" x14ac:dyDescent="0.35">
      <c r="B2" s="100" t="s">
        <v>46</v>
      </c>
      <c r="C2" s="99" t="s">
        <v>45</v>
      </c>
      <c r="D2" s="99" t="s">
        <v>50</v>
      </c>
      <c r="E2" s="98" t="s">
        <v>11</v>
      </c>
      <c r="F2" s="97" t="str">
        <f>F1&amp;"-Period MA Forecast"</f>
        <v>8-Period MA Forecast</v>
      </c>
      <c r="K2" s="92" t="s">
        <v>3</v>
      </c>
      <c r="L2" s="92" t="s">
        <v>5</v>
      </c>
      <c r="M2" s="92" t="s">
        <v>6</v>
      </c>
      <c r="N2" s="92" t="s">
        <v>7</v>
      </c>
      <c r="O2" s="92" t="s">
        <v>4</v>
      </c>
      <c r="P2" s="92" t="s">
        <v>9</v>
      </c>
      <c r="X2" s="87"/>
      <c r="Y2" s="87">
        <f ca="1">RANDBETWEEN(100,200)</f>
        <v>130</v>
      </c>
      <c r="Z2" s="87">
        <v>0.1</v>
      </c>
      <c r="AA2" s="87"/>
    </row>
    <row r="3" spans="1:27" ht="16.5" x14ac:dyDescent="0.3">
      <c r="A3" s="60">
        <v>1</v>
      </c>
      <c r="B3" s="103">
        <f ca="1">ArdiData!B3</f>
        <v>4058</v>
      </c>
      <c r="C3" s="68"/>
      <c r="D3" s="68" t="str">
        <f t="shared" ref="D3:D34" si="0">IF(C3&lt;&gt;"",ABS(B3-C40),"")</f>
        <v/>
      </c>
      <c r="E3" s="85" t="str">
        <f>IFERROR(SUM($D$3:D3)/COUNT($D$3:D3),"")</f>
        <v/>
      </c>
      <c r="F3" s="96"/>
      <c r="H3" s="95" t="s">
        <v>11</v>
      </c>
      <c r="I3" s="94">
        <f ca="1">E52</f>
        <v>2559.78125</v>
      </c>
      <c r="K3" s="92">
        <f ca="1">ROUND(AVERAGE(B3:B52),1)</f>
        <v>2964.2</v>
      </c>
      <c r="L3" s="92">
        <f ca="1">ROUND(_xlfn.STDEV.S(B3:B52),1)</f>
        <v>1261.5999999999999</v>
      </c>
      <c r="M3" s="92">
        <f ca="1">ROUND(L3/K3,1)</f>
        <v>0.4</v>
      </c>
      <c r="N3" s="92">
        <f ca="1">MAX(B3:B52)</f>
        <v>5781</v>
      </c>
      <c r="O3" s="92">
        <f ca="1">MIN(B3:B52)</f>
        <v>997</v>
      </c>
      <c r="P3" s="92">
        <f ca="1">N3-O3</f>
        <v>4784</v>
      </c>
      <c r="X3" s="87">
        <f t="shared" ref="X3:X34" ca="1" si="1">RANDBETWEEN(1,50)</f>
        <v>39</v>
      </c>
      <c r="Y3" s="87">
        <f t="shared" ref="Y3:Y34" ca="1" si="2">(INT($Y$2+10*X3)*Z3)</f>
        <v>596.02668806747874</v>
      </c>
      <c r="Z3" s="87">
        <f ca="1">1+0.2*RAND()</f>
        <v>1.146205169360536</v>
      </c>
      <c r="AA3" s="87">
        <f t="shared" ref="AA3:AA34" ca="1" si="3">ROUND(Y3+$Z$2*Y3*_xlfn.NORM.S.INV(RAND()),0)</f>
        <v>584</v>
      </c>
    </row>
    <row r="4" spans="1:27" ht="16.5" x14ac:dyDescent="0.3">
      <c r="A4" s="60">
        <v>2</v>
      </c>
      <c r="B4" s="103">
        <f ca="1">ArdiData!B4</f>
        <v>1771</v>
      </c>
      <c r="C4" s="86" t="str">
        <f ca="1">IF(A3&lt;$B$1,"",IF(A3=$B$1,AVERAGE($B$3:B3),C3+(B3-INDEX($B$3:$B$52,A3-$B$1))/$B$1))</f>
        <v/>
      </c>
      <c r="D4" s="68" t="str">
        <f t="shared" ca="1" si="0"/>
        <v/>
      </c>
      <c r="E4" s="85" t="str">
        <f ca="1">IFERROR(SUM($D$3:D4)/COUNT($D$3:D4),"")</f>
        <v/>
      </c>
      <c r="F4" s="84" t="str">
        <f>IF(A3&lt;$F$1,"",IF(A3=$F$1,AVERAGE($B$3:B3),F3+(B3-INDEX($B$3:$B$52,A3-$F$1))/$F$1))</f>
        <v/>
      </c>
      <c r="H4" s="91">
        <v>1</v>
      </c>
      <c r="I4" s="90">
        <f t="dataTable" ref="I4:I13" dt2D="0" dtr="0" r1="B1" ca="1"/>
        <v>5380.0816326530612</v>
      </c>
      <c r="K4" s="93" t="str">
        <f ca="1">"Maen= "&amp;K3&amp;" StdDev= "&amp;L3&amp;" CV= "&amp;M3</f>
        <v>Maen= 2964.2 StdDev= 1261.6 CV= 0.4</v>
      </c>
      <c r="L4" s="92"/>
      <c r="M4" s="92"/>
      <c r="N4" s="92"/>
      <c r="O4" s="92"/>
      <c r="P4" s="92"/>
      <c r="X4" s="87">
        <f t="shared" ca="1" si="1"/>
        <v>11</v>
      </c>
      <c r="Y4" s="87">
        <f t="shared" ca="1" si="2"/>
        <v>247.93459287453103</v>
      </c>
      <c r="Z4" s="87">
        <f ca="1">0.9+0.2*RAND()</f>
        <v>1.0330608036438793</v>
      </c>
      <c r="AA4" s="87">
        <f t="shared" ca="1" si="3"/>
        <v>286</v>
      </c>
    </row>
    <row r="5" spans="1:27" x14ac:dyDescent="0.25">
      <c r="A5" s="60">
        <v>3</v>
      </c>
      <c r="B5" s="103">
        <f ca="1">ArdiData!B5</f>
        <v>1421</v>
      </c>
      <c r="C5" s="86">
        <f ca="1">IF(A4&lt;$B$1,"",IF(A4=$B$1,AVERAGE($B$3:B4),C4+(B4-INDEX($B$3:$B$52,A4-$B$1))/$B$1))</f>
        <v>2914.5</v>
      </c>
      <c r="D5" s="68">
        <f t="shared" ca="1" si="0"/>
        <v>1402</v>
      </c>
      <c r="E5" s="85">
        <f ca="1">IFERROR(SUM($D$3:D5)/COUNT($D$3:D5),"")</f>
        <v>1402</v>
      </c>
      <c r="F5" s="84" t="str">
        <f>IF(A4&lt;$F$1,"",IF(A4=$F$1,AVERAGE($B$3:B4),F4+(B4-INDEX($B$3:$B$52,A4-$F$1))/$F$1))</f>
        <v/>
      </c>
      <c r="H5" s="91">
        <v>2</v>
      </c>
      <c r="I5" s="90">
        <v>6444.9375</v>
      </c>
      <c r="X5" s="87">
        <f t="shared" ca="1" si="1"/>
        <v>49</v>
      </c>
      <c r="Y5" s="87">
        <f t="shared" ca="1" si="2"/>
        <v>845.20231690221181</v>
      </c>
      <c r="Z5" s="87">
        <f ca="1">1.2+0.2*RAND()</f>
        <v>1.3632295433906643</v>
      </c>
      <c r="AA5" s="87">
        <f t="shared" ca="1" si="3"/>
        <v>830</v>
      </c>
    </row>
    <row r="6" spans="1:27" x14ac:dyDescent="0.25">
      <c r="A6" s="60">
        <v>4</v>
      </c>
      <c r="B6" s="103">
        <f ca="1">ArdiData!B6</f>
        <v>5304</v>
      </c>
      <c r="C6" s="86">
        <f ca="1">IF(A5&lt;$B$1,"",IF(A5=$B$1,AVERAGE($B$3:B5),C5+(B5-INDEX($B$3:$B$52,A5-$B$1))/$B$1))</f>
        <v>1596</v>
      </c>
      <c r="D6" s="68">
        <f t="shared" ca="1" si="0"/>
        <v>2571.5</v>
      </c>
      <c r="E6" s="85">
        <f ca="1">IFERROR(SUM($D$3:D6)/COUNT($D$3:D6),"")</f>
        <v>1986.75</v>
      </c>
      <c r="F6" s="84" t="str">
        <f>IF(A5&lt;$F$1,"",IF(A5=$F$1,AVERAGE($B$3:B5),F5+(B5-INDEX($B$3:$B$52,A5-$F$1))/$F$1))</f>
        <v/>
      </c>
      <c r="H6" s="91">
        <v>3</v>
      </c>
      <c r="I6" s="90">
        <v>6181.3475177304972</v>
      </c>
      <c r="X6" s="87">
        <f t="shared" ca="1" si="1"/>
        <v>37</v>
      </c>
      <c r="Y6" s="87">
        <f t="shared" ca="1" si="2"/>
        <v>357.60431425093179</v>
      </c>
      <c r="Z6" s="87">
        <f ca="1">0.6+0.2*RAND()</f>
        <v>0.71520862850186362</v>
      </c>
      <c r="AA6" s="87">
        <f t="shared" ca="1" si="3"/>
        <v>326</v>
      </c>
    </row>
    <row r="7" spans="1:27" x14ac:dyDescent="0.25">
      <c r="A7" s="60">
        <v>5</v>
      </c>
      <c r="B7" s="103">
        <f ca="1">ArdiData!B7</f>
        <v>3749</v>
      </c>
      <c r="C7" s="86">
        <f ca="1">IF(A6&lt;$B$1,"",IF(A6=$B$1,AVERAGE($B$3:B6),C6+(B6-INDEX($B$3:$B$52,A6-$B$1))/$B$1))</f>
        <v>3362.5</v>
      </c>
      <c r="D7" s="68">
        <f t="shared" ca="1" si="0"/>
        <v>2619</v>
      </c>
      <c r="E7" s="85">
        <f ca="1">IFERROR(SUM($D$3:D7)/COUNT($D$3:D7),"")</f>
        <v>2197.5</v>
      </c>
      <c r="F7" s="84" t="str">
        <f>IF(A6&lt;$F$1,"",IF(A6=$F$1,AVERAGE($B$3:B6),F6+(B6-INDEX($B$3:$B$52,A6-$F$1))/$F$1))</f>
        <v/>
      </c>
      <c r="H7" s="91">
        <v>4</v>
      </c>
      <c r="I7" s="90">
        <v>5123.657608695652</v>
      </c>
      <c r="X7" s="87">
        <f t="shared" ca="1" si="1"/>
        <v>14</v>
      </c>
      <c r="Y7" s="87">
        <f t="shared" ca="1" si="2"/>
        <v>356.77549800224801</v>
      </c>
      <c r="Z7" s="87">
        <f ca="1">1.2+0.2*RAND()</f>
        <v>1.3213907333416592</v>
      </c>
      <c r="AA7" s="87">
        <f t="shared" ca="1" si="3"/>
        <v>371</v>
      </c>
    </row>
    <row r="8" spans="1:27" x14ac:dyDescent="0.25">
      <c r="A8" s="60">
        <v>6</v>
      </c>
      <c r="B8" s="103">
        <f ca="1">ArdiData!B8</f>
        <v>2991</v>
      </c>
      <c r="C8" s="86">
        <f ca="1">IF(A7&lt;$B$1,"",IF(A7=$B$1,AVERAGE($B$3:B7),C7+(B7-INDEX($B$3:$B$52,A7-$B$1))/$B$1))</f>
        <v>4526.5</v>
      </c>
      <c r="D8" s="68">
        <f t="shared" ca="1" si="0"/>
        <v>1293</v>
      </c>
      <c r="E8" s="85">
        <f ca="1">IFERROR(SUM($D$3:D8)/COUNT($D$3:D8),"")</f>
        <v>1971.375</v>
      </c>
      <c r="F8" s="84" t="str">
        <f>IF(A7&lt;$F$1,"",IF(A7=$F$1,AVERAGE($B$3:B7),F7+(B7-INDEX($B$3:$B$52,A7-$F$1))/$F$1))</f>
        <v/>
      </c>
      <c r="H8" s="91">
        <v>5</v>
      </c>
      <c r="I8" s="90">
        <v>3810.7822222222226</v>
      </c>
      <c r="X8" s="87">
        <f t="shared" ca="1" si="1"/>
        <v>22</v>
      </c>
      <c r="Y8" s="87">
        <f t="shared" ca="1" si="2"/>
        <v>331.24213709367132</v>
      </c>
      <c r="Z8" s="87">
        <f ca="1">0.9+0.2*RAND()</f>
        <v>0.94640610598191799</v>
      </c>
      <c r="AA8" s="87">
        <f t="shared" ca="1" si="3"/>
        <v>297</v>
      </c>
    </row>
    <row r="9" spans="1:27" x14ac:dyDescent="0.25">
      <c r="A9" s="60">
        <v>7</v>
      </c>
      <c r="B9" s="103">
        <f ca="1">ArdiData!B9</f>
        <v>2428</v>
      </c>
      <c r="C9" s="86">
        <f ca="1">IF(A8&lt;$B$1,"",IF(A8=$B$1,AVERAGE($B$3:B8),C8+(B8-INDEX($B$3:$B$52,A8-$B$1))/$B$1))</f>
        <v>3370</v>
      </c>
      <c r="D9" s="68">
        <f t="shared" ca="1" si="0"/>
        <v>411</v>
      </c>
      <c r="E9" s="85">
        <f ca="1">IFERROR(SUM($D$3:D9)/COUNT($D$3:D9),"")</f>
        <v>1659.3</v>
      </c>
      <c r="F9" s="84" t="str">
        <f>IF(A8&lt;$F$1,"",IF(A8=$F$1,AVERAGE($B$3:B8),F8+(B8-INDEX($B$3:$B$52,A8-$F$1))/$F$1))</f>
        <v/>
      </c>
      <c r="H9" s="91">
        <v>6</v>
      </c>
      <c r="I9" s="90">
        <v>4456.659090909091</v>
      </c>
      <c r="X9" s="87">
        <f t="shared" ca="1" si="1"/>
        <v>41</v>
      </c>
      <c r="Y9" s="87">
        <f t="shared" ca="1" si="2"/>
        <v>366.70278104100629</v>
      </c>
      <c r="Z9" s="87">
        <f ca="1">0.6+0.2*RAND()</f>
        <v>0.67907922415001165</v>
      </c>
      <c r="AA9" s="87">
        <f t="shared" ca="1" si="3"/>
        <v>409</v>
      </c>
    </row>
    <row r="10" spans="1:27" x14ac:dyDescent="0.25">
      <c r="A10" s="60">
        <v>8</v>
      </c>
      <c r="B10" s="103">
        <f ca="1">ArdiData!B10</f>
        <v>5037</v>
      </c>
      <c r="C10" s="86">
        <f ca="1">IF(A9&lt;$B$1,"",IF(A9=$B$1,AVERAGE($B$3:B9),C9+(B9-INDEX($B$3:$B$52,A9-$B$1))/$B$1))</f>
        <v>2709.5</v>
      </c>
      <c r="D10" s="68">
        <f t="shared" ca="1" si="0"/>
        <v>3017</v>
      </c>
      <c r="E10" s="85">
        <f ca="1">IFERROR(SUM($D$3:D10)/COUNT($D$3:D10),"")</f>
        <v>1885.5833333333333</v>
      </c>
      <c r="F10" s="84" t="str">
        <f>IF(A9&lt;$F$1,"",IF(A9=$F$1,AVERAGE($B$3:B9),F9+(B9-INDEX($B$3:$B$52,A9-$F$1))/$F$1))</f>
        <v/>
      </c>
      <c r="H10" s="91">
        <v>7</v>
      </c>
      <c r="I10" s="90">
        <v>7520.9734219269103</v>
      </c>
      <c r="X10" s="87">
        <f t="shared" ca="1" si="1"/>
        <v>13</v>
      </c>
      <c r="Y10" s="87">
        <f t="shared" ca="1" si="2"/>
        <v>166.03544036653506</v>
      </c>
      <c r="Z10" s="87">
        <f ca="1">0.6+0.2*RAND()</f>
        <v>0.63859784756359639</v>
      </c>
      <c r="AA10" s="87">
        <f t="shared" ca="1" si="3"/>
        <v>149</v>
      </c>
    </row>
    <row r="11" spans="1:27" x14ac:dyDescent="0.25">
      <c r="A11" s="60">
        <v>9</v>
      </c>
      <c r="B11" s="103">
        <f ca="1">ArdiData!B11</f>
        <v>4124</v>
      </c>
      <c r="C11" s="86">
        <f ca="1">IF(A10&lt;$B$1,"",IF(A10=$B$1,AVERAGE($B$3:B10),C10+(B10-INDEX($B$3:$B$52,A10-$B$1))/$B$1))</f>
        <v>3732.5</v>
      </c>
      <c r="D11" s="68">
        <f t="shared" ca="1" si="0"/>
        <v>1799</v>
      </c>
      <c r="E11" s="85">
        <f ca="1">IFERROR(SUM($D$3:D11)/COUNT($D$3:D11),"")</f>
        <v>1873.2142857142858</v>
      </c>
      <c r="F11" s="84">
        <f ca="1">IF(A10&lt;$F$1,"",IF(A10=$F$1,AVERAGE($B$3:B10),F10+(B10-INDEX($B$3:$B$52,A10-$F$1))/$F$1))</f>
        <v>3344.875</v>
      </c>
      <c r="H11" s="91">
        <v>8</v>
      </c>
      <c r="I11" s="90">
        <v>3430.8898809523807</v>
      </c>
      <c r="X11" s="87">
        <f t="shared" ca="1" si="1"/>
        <v>37</v>
      </c>
      <c r="Y11" s="87">
        <f t="shared" ca="1" si="2"/>
        <v>361.7709871456114</v>
      </c>
      <c r="Z11" s="87">
        <f ca="1">0.6+0.2*RAND()</f>
        <v>0.7235419742912228</v>
      </c>
      <c r="AA11" s="87">
        <f t="shared" ca="1" si="3"/>
        <v>401</v>
      </c>
    </row>
    <row r="12" spans="1:27" x14ac:dyDescent="0.25">
      <c r="A12" s="60">
        <v>10</v>
      </c>
      <c r="B12" s="103">
        <f ca="1">ArdiData!B12</f>
        <v>3172</v>
      </c>
      <c r="C12" s="86">
        <f ca="1">IF(A11&lt;$B$1,"",IF(A11=$B$1,AVERAGE($B$3:B11),C11+(B11-INDEX($B$3:$B$52,A11-$B$1))/$B$1))</f>
        <v>4580.5</v>
      </c>
      <c r="D12" s="68">
        <f t="shared" ca="1" si="0"/>
        <v>108.5</v>
      </c>
      <c r="E12" s="85">
        <f ca="1">IFERROR(SUM($D$3:D12)/COUNT($D$3:D12),"")</f>
        <v>1652.625</v>
      </c>
      <c r="F12" s="84">
        <f ca="1">IF(A11&lt;$F$1,"",IF(A11=$F$1,AVERAGE($B$3:B11),F11+(B11-INDEX($B$3:$B$52,A11-$F$1))/$F$1))</f>
        <v>3353.125</v>
      </c>
      <c r="H12" s="91">
        <v>9</v>
      </c>
      <c r="I12" s="90">
        <v>4706.2411924119242</v>
      </c>
      <c r="X12" s="87">
        <f t="shared" ca="1" si="1"/>
        <v>12</v>
      </c>
      <c r="Y12" s="87">
        <f t="shared" ca="1" si="2"/>
        <v>308.04699094365719</v>
      </c>
      <c r="Z12" s="87">
        <f ca="1">1.2+0.2*RAND()</f>
        <v>1.2321879637746287</v>
      </c>
      <c r="AA12" s="87">
        <f t="shared" ca="1" si="3"/>
        <v>226</v>
      </c>
    </row>
    <row r="13" spans="1:27" x14ac:dyDescent="0.25">
      <c r="A13" s="60">
        <v>11</v>
      </c>
      <c r="B13" s="103">
        <f ca="1">ArdiData!B13</f>
        <v>2462</v>
      </c>
      <c r="C13" s="86">
        <f ca="1">IF(A12&lt;$B$1,"",IF(A12=$B$1,AVERAGE($B$3:B12),C12+(B12-INDEX($B$3:$B$52,A12-$B$1))/$B$1))</f>
        <v>3648</v>
      </c>
      <c r="D13" s="68">
        <f t="shared" ca="1" si="0"/>
        <v>496.5</v>
      </c>
      <c r="E13" s="85">
        <f ca="1">IFERROR(SUM($D$3:D13)/COUNT($D$3:D13),"")</f>
        <v>1524.1666666666667</v>
      </c>
      <c r="F13" s="84">
        <f ca="1">IF(A12&lt;$F$1,"",IF(A12=$F$1,AVERAGE($B$3:B12),F12+(B12-INDEX($B$3:$B$52,A12-$F$1))/$F$1))</f>
        <v>3528.25</v>
      </c>
      <c r="H13" s="91">
        <v>10</v>
      </c>
      <c r="I13" s="90">
        <v>6526.2749999999996</v>
      </c>
      <c r="X13" s="87">
        <f t="shared" ca="1" si="1"/>
        <v>10</v>
      </c>
      <c r="Y13" s="87">
        <f t="shared" ca="1" si="2"/>
        <v>140.0682870173957</v>
      </c>
      <c r="Z13" s="87">
        <f ca="1">0.6+0.2*RAND()</f>
        <v>0.60899255224954651</v>
      </c>
      <c r="AA13" s="87">
        <f t="shared" ca="1" si="3"/>
        <v>142</v>
      </c>
    </row>
    <row r="14" spans="1:27" x14ac:dyDescent="0.25">
      <c r="A14" s="60">
        <v>12</v>
      </c>
      <c r="B14" s="103">
        <f ca="1">ArdiData!B14</f>
        <v>1603</v>
      </c>
      <c r="C14" s="86">
        <f ca="1">IF(A13&lt;$B$1,"",IF(A13=$B$1,AVERAGE($B$3:B13),C13+(B13-INDEX($B$3:$B$52,A13-$B$1))/$B$1))</f>
        <v>2817</v>
      </c>
      <c r="D14" s="68">
        <f t="shared" ca="1" si="0"/>
        <v>2022</v>
      </c>
      <c r="E14" s="85">
        <f ca="1">IFERROR(SUM($D$3:D14)/COUNT($D$3:D14),"")</f>
        <v>1573.95</v>
      </c>
      <c r="F14" s="84">
        <f ca="1">IF(A13&lt;$F$1,"",IF(A13=$F$1,AVERAGE($B$3:B13),F13+(B13-INDEX($B$3:$B$52,A13-$F$1))/$F$1))</f>
        <v>3658.375</v>
      </c>
      <c r="H14" s="91"/>
      <c r="I14" s="90"/>
      <c r="X14" s="87">
        <f t="shared" ca="1" si="1"/>
        <v>26</v>
      </c>
      <c r="Y14" s="87">
        <f t="shared" ca="1" si="2"/>
        <v>534.43516677996706</v>
      </c>
      <c r="Z14" s="87">
        <f ca="1">1.2+0.2*RAND()</f>
        <v>1.370346581487095</v>
      </c>
      <c r="AA14" s="87">
        <f t="shared" ca="1" si="3"/>
        <v>541</v>
      </c>
    </row>
    <row r="15" spans="1:27" x14ac:dyDescent="0.25">
      <c r="A15" s="60">
        <v>13</v>
      </c>
      <c r="B15" s="103">
        <f ca="1">ArdiData!B15</f>
        <v>3114</v>
      </c>
      <c r="C15" s="86">
        <f ca="1">IF(A14&lt;$B$1,"",IF(A14=$B$1,AVERAGE($B$3:B14),C14+(B14-INDEX($B$3:$B$52,A14-$B$1))/$B$1))</f>
        <v>2032.5</v>
      </c>
      <c r="D15" s="68">
        <f t="shared" ca="1" si="0"/>
        <v>154</v>
      </c>
      <c r="E15" s="85">
        <f ca="1">IFERROR(SUM($D$3:D15)/COUNT($D$3:D15),"")</f>
        <v>1444.8636363636363</v>
      </c>
      <c r="F15" s="84">
        <f ca="1">IF(A14&lt;$F$1,"",IF(A14=$F$1,AVERAGE($B$3:B14),F14+(B14-INDEX($B$3:$B$52,A14-$F$1))/$F$1))</f>
        <v>3195.75</v>
      </c>
      <c r="H15" s="91"/>
      <c r="I15" s="90"/>
      <c r="X15" s="87">
        <f t="shared" ca="1" si="1"/>
        <v>5</v>
      </c>
      <c r="Y15" s="87">
        <f t="shared" ca="1" si="2"/>
        <v>250.22148250571809</v>
      </c>
      <c r="Z15" s="87">
        <f ca="1">1.2+0.2*RAND()</f>
        <v>1.3901193472539894</v>
      </c>
      <c r="AA15" s="87">
        <f t="shared" ca="1" si="3"/>
        <v>210</v>
      </c>
    </row>
    <row r="16" spans="1:27" ht="15.75" thickBot="1" x14ac:dyDescent="0.3">
      <c r="A16" s="60">
        <v>14</v>
      </c>
      <c r="B16" s="103">
        <f ca="1">ArdiData!B16</f>
        <v>3623</v>
      </c>
      <c r="C16" s="86">
        <f ca="1">IF(A15&lt;$B$1,"",IF(A15=$B$1,AVERAGE($B$3:B15),C15+(B15-INDEX($B$3:$B$52,A15-$B$1))/$B$1))</f>
        <v>2358.5</v>
      </c>
      <c r="D16" s="68">
        <f t="shared" ca="1" si="0"/>
        <v>3623</v>
      </c>
      <c r="E16" s="85">
        <f ca="1">IFERROR(SUM($D$3:D16)/COUNT($D$3:D16),"")</f>
        <v>1626.375</v>
      </c>
      <c r="F16" s="84">
        <f ca="1">IF(A15&lt;$F$1,"",IF(A15=$F$1,AVERAGE($B$3:B15),F15+(B15-INDEX($B$3:$B$52,A15-$F$1))/$F$1))</f>
        <v>3116.375</v>
      </c>
      <c r="H16" s="89"/>
      <c r="I16" s="88">
        <f>MIN(I4:I13)</f>
        <v>3430.8898809523807</v>
      </c>
      <c r="X16" s="87">
        <f t="shared" ca="1" si="1"/>
        <v>15</v>
      </c>
      <c r="Y16" s="87">
        <f t="shared" ca="1" si="2"/>
        <v>216.2864993083287</v>
      </c>
      <c r="Z16" s="87">
        <f ca="1">0.6+0.2*RAND()</f>
        <v>0.77245178324403108</v>
      </c>
      <c r="AA16" s="87">
        <f t="shared" ca="1" si="3"/>
        <v>201</v>
      </c>
    </row>
    <row r="17" spans="1:27" x14ac:dyDescent="0.25">
      <c r="A17" s="60">
        <v>15</v>
      </c>
      <c r="B17" s="103">
        <f ca="1">ArdiData!B17</f>
        <v>3247</v>
      </c>
      <c r="C17" s="86">
        <f ca="1">IF(A16&lt;$B$1,"",IF(A16=$B$1,AVERAGE($B$3:B16),C16+(B16-INDEX($B$3:$B$52,A16-$B$1))/$B$1))</f>
        <v>3368.5</v>
      </c>
      <c r="D17" s="68">
        <f t="shared" ca="1" si="0"/>
        <v>3247</v>
      </c>
      <c r="E17" s="85">
        <f ca="1">IFERROR(SUM($D$3:D17)/COUNT($D$3:D17),"")</f>
        <v>1751.0384615384614</v>
      </c>
      <c r="F17" s="84">
        <f ca="1">IF(A16&lt;$F$1,"",IF(A16=$F$1,AVERAGE($B$3:B16),F16+(B16-INDEX($B$3:$B$52,A16-$F$1))/$F$1))</f>
        <v>3195.375</v>
      </c>
      <c r="X17" s="87">
        <f t="shared" ca="1" si="1"/>
        <v>10</v>
      </c>
      <c r="Y17" s="87">
        <f t="shared" ca="1" si="2"/>
        <v>248.51280308300164</v>
      </c>
      <c r="Z17" s="87">
        <f ca="1">1+0.2*RAND()</f>
        <v>1.0804904481869637</v>
      </c>
      <c r="AA17" s="87">
        <f t="shared" ca="1" si="3"/>
        <v>265</v>
      </c>
    </row>
    <row r="18" spans="1:27" x14ac:dyDescent="0.25">
      <c r="A18" s="60">
        <v>16</v>
      </c>
      <c r="B18" s="103">
        <f ca="1">ArdiData!B18</f>
        <v>1922</v>
      </c>
      <c r="C18" s="86">
        <f ca="1">IF(A17&lt;$B$1,"",IF(A17=$B$1,AVERAGE($B$3:B17),C17+(B17-INDEX($B$3:$B$52,A17-$B$1))/$B$1))</f>
        <v>3435</v>
      </c>
      <c r="D18" s="68">
        <f t="shared" ca="1" si="0"/>
        <v>1922</v>
      </c>
      <c r="E18" s="85">
        <f ca="1">IFERROR(SUM($D$3:D18)/COUNT($D$3:D18),"")</f>
        <v>1763.25</v>
      </c>
      <c r="F18" s="84">
        <f ca="1">IF(A17&lt;$F$1,"",IF(A17=$F$1,AVERAGE($B$3:B17),F17+(B17-INDEX($B$3:$B$52,A17-$F$1))/$F$1))</f>
        <v>3297.75</v>
      </c>
      <c r="X18" s="87">
        <f t="shared" ca="1" si="1"/>
        <v>29</v>
      </c>
      <c r="Y18" s="87">
        <f t="shared" ca="1" si="2"/>
        <v>285.11680766023181</v>
      </c>
      <c r="Z18" s="87">
        <f ca="1">0.6+0.2*RAND()</f>
        <v>0.67884954204817105</v>
      </c>
      <c r="AA18" s="87">
        <f t="shared" ca="1" si="3"/>
        <v>259</v>
      </c>
    </row>
    <row r="19" spans="1:27" x14ac:dyDescent="0.25">
      <c r="A19" s="60">
        <v>17</v>
      </c>
      <c r="B19" s="103">
        <f ca="1">ArdiData!B19</f>
        <v>4286</v>
      </c>
      <c r="C19" s="86">
        <f ca="1">IF(A18&lt;$B$1,"",IF(A18=$B$1,AVERAGE($B$3:B18),C18+(B18-INDEX($B$3:$B$52,A18-$B$1))/$B$1))</f>
        <v>2584.5</v>
      </c>
      <c r="D19" s="68">
        <f t="shared" ca="1" si="0"/>
        <v>4286</v>
      </c>
      <c r="E19" s="85">
        <f ca="1">IFERROR(SUM($D$3:D19)/COUNT($D$3:D19),"")</f>
        <v>1931.4333333333334</v>
      </c>
      <c r="F19" s="84">
        <f ca="1">IF(A18&lt;$F$1,"",IF(A18=$F$1,AVERAGE($B$3:B18),F18+(B18-INDEX($B$3:$B$52,A18-$F$1))/$F$1))</f>
        <v>2908.375</v>
      </c>
      <c r="X19" s="87">
        <f t="shared" ca="1" si="1"/>
        <v>49</v>
      </c>
      <c r="Y19" s="87">
        <f t="shared" ca="1" si="2"/>
        <v>681.95377338828348</v>
      </c>
      <c r="Z19" s="87">
        <f ca="1">0.9+0.2*RAND()</f>
        <v>1.0999254409488444</v>
      </c>
      <c r="AA19" s="87">
        <f t="shared" ca="1" si="3"/>
        <v>716</v>
      </c>
    </row>
    <row r="20" spans="1:27" x14ac:dyDescent="0.25">
      <c r="A20" s="60">
        <v>18</v>
      </c>
      <c r="B20" s="103">
        <f ca="1">ArdiData!B20</f>
        <v>3638</v>
      </c>
      <c r="C20" s="86">
        <f ca="1">IF(A19&lt;$B$1,"",IF(A19=$B$1,AVERAGE($B$3:B19),C19+(B19-INDEX($B$3:$B$52,A19-$B$1))/$B$1))</f>
        <v>3104</v>
      </c>
      <c r="D20" s="68">
        <f t="shared" ca="1" si="0"/>
        <v>3638</v>
      </c>
      <c r="E20" s="85">
        <f ca="1">IFERROR(SUM($D$3:D20)/COUNT($D$3:D20),"")</f>
        <v>2038.09375</v>
      </c>
      <c r="F20" s="84">
        <f ca="1">IF(A19&lt;$F$1,"",IF(A19=$F$1,AVERAGE($B$3:B19),F19+(B19-INDEX($B$3:$B$52,A19-$F$1))/$F$1))</f>
        <v>2928.625</v>
      </c>
      <c r="X20" s="87">
        <f t="shared" ca="1" si="1"/>
        <v>14</v>
      </c>
      <c r="Y20" s="87">
        <f t="shared" ca="1" si="2"/>
        <v>197.35435494089023</v>
      </c>
      <c r="Z20" s="87">
        <f ca="1">0.6+0.2*RAND()</f>
        <v>0.73094205533663048</v>
      </c>
      <c r="AA20" s="87">
        <f t="shared" ca="1" si="3"/>
        <v>150</v>
      </c>
    </row>
    <row r="21" spans="1:27" x14ac:dyDescent="0.25">
      <c r="A21" s="60">
        <v>19</v>
      </c>
      <c r="B21" s="103">
        <f ca="1">ArdiData!B21</f>
        <v>2435</v>
      </c>
      <c r="C21" s="86">
        <f ca="1">IF(A20&lt;$B$1,"",IF(A20=$B$1,AVERAGE($B$3:B20),C20+(B20-INDEX($B$3:$B$52,A20-$B$1))/$B$1))</f>
        <v>3962</v>
      </c>
      <c r="D21" s="68">
        <f t="shared" ca="1" si="0"/>
        <v>2435</v>
      </c>
      <c r="E21" s="85">
        <f ca="1">IFERROR(SUM($D$3:D21)/COUNT($D$3:D21),"")</f>
        <v>2061.4411764705883</v>
      </c>
      <c r="F21" s="84">
        <f ca="1">IF(A20&lt;$F$1,"",IF(A20=$F$1,AVERAGE($B$3:B20),F20+(B20-INDEX($B$3:$B$52,A20-$F$1))/$F$1))</f>
        <v>2986.875</v>
      </c>
      <c r="X21" s="87">
        <f t="shared" ca="1" si="1"/>
        <v>49</v>
      </c>
      <c r="Y21" s="87">
        <f t="shared" ca="1" si="2"/>
        <v>821.16868998437064</v>
      </c>
      <c r="Z21" s="87">
        <f ca="1">1.2+0.2*RAND()</f>
        <v>1.3244656290070493</v>
      </c>
      <c r="AA21" s="87">
        <f t="shared" ca="1" si="3"/>
        <v>835</v>
      </c>
    </row>
    <row r="22" spans="1:27" x14ac:dyDescent="0.25">
      <c r="A22" s="60">
        <v>20</v>
      </c>
      <c r="B22" s="103">
        <f ca="1">ArdiData!B22</f>
        <v>3623</v>
      </c>
      <c r="C22" s="86">
        <f ca="1">IF(A21&lt;$B$1,"",IF(A21=$B$1,AVERAGE($B$3:B21),C21+(B21-INDEX($B$3:$B$52,A21-$B$1))/$B$1))</f>
        <v>3036.5</v>
      </c>
      <c r="D22" s="68">
        <f t="shared" ca="1" si="0"/>
        <v>3623</v>
      </c>
      <c r="E22" s="85">
        <f ca="1">IFERROR(SUM($D$3:D22)/COUNT($D$3:D22),"")</f>
        <v>2148.1944444444443</v>
      </c>
      <c r="F22" s="84">
        <f ca="1">IF(A21&lt;$F$1,"",IF(A21=$F$1,AVERAGE($B$3:B21),F21+(B21-INDEX($B$3:$B$52,A21-$F$1))/$F$1))</f>
        <v>2983.5</v>
      </c>
      <c r="X22" s="87">
        <f t="shared" ca="1" si="1"/>
        <v>29</v>
      </c>
      <c r="Y22" s="87">
        <f t="shared" ca="1" si="2"/>
        <v>213.42338186791466</v>
      </c>
      <c r="Z22" s="87">
        <f ca="1">0.4+0.2*RAND()</f>
        <v>0.5081509092093206</v>
      </c>
      <c r="AA22" s="87">
        <f t="shared" ca="1" si="3"/>
        <v>217</v>
      </c>
    </row>
    <row r="23" spans="1:27" x14ac:dyDescent="0.25">
      <c r="A23" s="60">
        <v>21</v>
      </c>
      <c r="B23" s="103">
        <f ca="1">ArdiData!B23</f>
        <v>1333</v>
      </c>
      <c r="C23" s="86">
        <f ca="1">IF(A22&lt;$B$1,"",IF(A22=$B$1,AVERAGE($B$3:B22),C22+(B22-INDEX($B$3:$B$52,A22-$B$1))/$B$1))</f>
        <v>3029</v>
      </c>
      <c r="D23" s="68">
        <f t="shared" ca="1" si="0"/>
        <v>1333</v>
      </c>
      <c r="E23" s="85">
        <f ca="1">IFERROR(SUM($D$3:D23)/COUNT($D$3:D23),"")</f>
        <v>2105.2894736842104</v>
      </c>
      <c r="F23" s="84">
        <f ca="1">IF(A22&lt;$F$1,"",IF(A22=$F$1,AVERAGE($B$3:B22),F22+(B22-INDEX($B$3:$B$52,A22-$F$1))/$F$1))</f>
        <v>3236</v>
      </c>
      <c r="X23" s="87">
        <f t="shared" ca="1" si="1"/>
        <v>26</v>
      </c>
      <c r="Y23" s="87">
        <f t="shared" ca="1" si="2"/>
        <v>401.05298904568679</v>
      </c>
      <c r="Z23" s="87">
        <f ca="1">0.9+0.2*RAND()</f>
        <v>1.0283409975530431</v>
      </c>
      <c r="AA23" s="87">
        <f t="shared" ca="1" si="3"/>
        <v>371</v>
      </c>
    </row>
    <row r="24" spans="1:27" x14ac:dyDescent="0.25">
      <c r="A24" s="60">
        <v>22</v>
      </c>
      <c r="B24" s="103">
        <f ca="1">ArdiData!B24</f>
        <v>2203</v>
      </c>
      <c r="C24" s="86">
        <f ca="1">IF(A23&lt;$B$1,"",IF(A23=$B$1,AVERAGE($B$3:B23),C23+(B23-INDEX($B$3:$B$52,A23-$B$1))/$B$1))</f>
        <v>2478</v>
      </c>
      <c r="D24" s="68">
        <f t="shared" ca="1" si="0"/>
        <v>2203</v>
      </c>
      <c r="E24" s="85">
        <f ca="1">IFERROR(SUM($D$3:D24)/COUNT($D$3:D24),"")</f>
        <v>2110.1750000000002</v>
      </c>
      <c r="F24" s="84">
        <f ca="1">IF(A23&lt;$F$1,"",IF(A23=$F$1,AVERAGE($B$3:B23),F23+(B23-INDEX($B$3:$B$52,A23-$F$1))/$F$1))</f>
        <v>3013.375</v>
      </c>
      <c r="X24" s="87">
        <f t="shared" ca="1" si="1"/>
        <v>28</v>
      </c>
      <c r="Y24" s="87">
        <f t="shared" ca="1" si="2"/>
        <v>244.15264575605019</v>
      </c>
      <c r="Z24" s="87">
        <f ca="1">0.4+0.2*RAND()</f>
        <v>0.59549425794158584</v>
      </c>
      <c r="AA24" s="87">
        <f t="shared" ca="1" si="3"/>
        <v>262</v>
      </c>
    </row>
    <row r="25" spans="1:27" x14ac:dyDescent="0.25">
      <c r="A25" s="60">
        <v>23</v>
      </c>
      <c r="B25" s="103">
        <f ca="1">ArdiData!B25</f>
        <v>2934</v>
      </c>
      <c r="C25" s="86">
        <f ca="1">IF(A24&lt;$B$1,"",IF(A24=$B$1,AVERAGE($B$3:B24),C24+(B24-INDEX($B$3:$B$52,A24-$B$1))/$B$1))</f>
        <v>1768</v>
      </c>
      <c r="D25" s="68">
        <f t="shared" ca="1" si="0"/>
        <v>2934</v>
      </c>
      <c r="E25" s="85">
        <f ca="1">IFERROR(SUM($D$3:D25)/COUNT($D$3:D25),"")</f>
        <v>2149.4047619047619</v>
      </c>
      <c r="F25" s="84">
        <f ca="1">IF(A24&lt;$F$1,"",IF(A24=$F$1,AVERAGE($B$3:B24),F24+(B24-INDEX($B$3:$B$52,A24-$F$1))/$F$1))</f>
        <v>2835.875</v>
      </c>
      <c r="X25" s="87">
        <f t="shared" ca="1" si="1"/>
        <v>7</v>
      </c>
      <c r="Y25" s="87">
        <f t="shared" ca="1" si="2"/>
        <v>266.62019635625882</v>
      </c>
      <c r="Z25" s="87">
        <f ca="1">1.2+0.2*RAND()</f>
        <v>1.333100981781294</v>
      </c>
      <c r="AA25" s="87">
        <f t="shared" ca="1" si="3"/>
        <v>306</v>
      </c>
    </row>
    <row r="26" spans="1:27" x14ac:dyDescent="0.25">
      <c r="A26" s="60">
        <v>24</v>
      </c>
      <c r="B26" s="103">
        <f ca="1">ArdiData!B26</f>
        <v>3844</v>
      </c>
      <c r="C26" s="86">
        <f ca="1">IF(A25&lt;$B$1,"",IF(A25=$B$1,AVERAGE($B$3:B25),C25+(B25-INDEX($B$3:$B$52,A25-$B$1))/$B$1))</f>
        <v>2568.5</v>
      </c>
      <c r="D26" s="68">
        <f t="shared" ca="1" si="0"/>
        <v>3844</v>
      </c>
      <c r="E26" s="85">
        <f ca="1">IFERROR(SUM($D$3:D26)/COUNT($D$3:D26),"")</f>
        <v>2226.431818181818</v>
      </c>
      <c r="F26" s="84">
        <f ca="1">IF(A25&lt;$F$1,"",IF(A25=$F$1,AVERAGE($B$3:B25),F25+(B25-INDEX($B$3:$B$52,A25-$F$1))/$F$1))</f>
        <v>2796.75</v>
      </c>
      <c r="X26" s="87">
        <f t="shared" ca="1" si="1"/>
        <v>37</v>
      </c>
      <c r="Y26" s="87">
        <f t="shared" ca="1" si="2"/>
        <v>286.52609900299154</v>
      </c>
      <c r="Z26" s="87">
        <f ca="1">0.4+0.2*RAND()</f>
        <v>0.57305219800598306</v>
      </c>
      <c r="AA26" s="87">
        <f t="shared" ca="1" si="3"/>
        <v>306</v>
      </c>
    </row>
    <row r="27" spans="1:27" x14ac:dyDescent="0.25">
      <c r="A27" s="60">
        <v>25</v>
      </c>
      <c r="B27" s="103">
        <f ca="1">ArdiData!B27</f>
        <v>2146</v>
      </c>
      <c r="C27" s="86">
        <f ca="1">IF(A26&lt;$B$1,"",IF(A26=$B$1,AVERAGE($B$3:B26),C26+(B26-INDEX($B$3:$B$52,A26-$B$1))/$B$1))</f>
        <v>3389</v>
      </c>
      <c r="D27" s="68">
        <f t="shared" ca="1" si="0"/>
        <v>2146</v>
      </c>
      <c r="E27" s="85">
        <f ca="1">IFERROR(SUM($D$3:D27)/COUNT($D$3:D27),"")</f>
        <v>2222.9347826086955</v>
      </c>
      <c r="F27" s="84">
        <f ca="1">IF(A26&lt;$F$1,"",IF(A26=$F$1,AVERAGE($B$3:B26),F26+(B26-INDEX($B$3:$B$52,A26-$F$1))/$F$1))</f>
        <v>3037</v>
      </c>
      <c r="X27" s="87">
        <f t="shared" ca="1" si="1"/>
        <v>24</v>
      </c>
      <c r="Y27" s="87">
        <f t="shared" ca="1" si="2"/>
        <v>258.84875681787759</v>
      </c>
      <c r="Z27" s="87">
        <f ca="1">0.6+0.2*RAND()</f>
        <v>0.6995912346429124</v>
      </c>
      <c r="AA27" s="87">
        <f t="shared" ca="1" si="3"/>
        <v>289</v>
      </c>
    </row>
    <row r="28" spans="1:27" x14ac:dyDescent="0.25">
      <c r="A28" s="60">
        <v>26</v>
      </c>
      <c r="B28" s="103">
        <f ca="1">ArdiData!B28</f>
        <v>5197</v>
      </c>
      <c r="C28" s="86">
        <f ca="1">IF(A27&lt;$B$1,"",IF(A27=$B$1,AVERAGE($B$3:B27),C27+(B27-INDEX($B$3:$B$52,A27-$B$1))/$B$1))</f>
        <v>2995</v>
      </c>
      <c r="D28" s="68">
        <f t="shared" ca="1" si="0"/>
        <v>5197</v>
      </c>
      <c r="E28" s="85">
        <f ca="1">IFERROR(SUM($D$3:D28)/COUNT($D$3:D28),"")</f>
        <v>2346.8541666666665</v>
      </c>
      <c r="F28" s="84">
        <f ca="1">IF(A27&lt;$F$1,"",IF(A27=$F$1,AVERAGE($B$3:B27),F27+(B27-INDEX($B$3:$B$52,A27-$F$1))/$F$1))</f>
        <v>2769.5</v>
      </c>
      <c r="X28" s="87">
        <f t="shared" ca="1" si="1"/>
        <v>9</v>
      </c>
      <c r="Y28" s="87">
        <f t="shared" ca="1" si="2"/>
        <v>122.28633217737551</v>
      </c>
      <c r="Z28" s="87">
        <f ca="1">0.4+0.2*RAND()</f>
        <v>0.55584696444261594</v>
      </c>
      <c r="AA28" s="87">
        <f t="shared" ca="1" si="3"/>
        <v>128</v>
      </c>
    </row>
    <row r="29" spans="1:27" x14ac:dyDescent="0.25">
      <c r="A29" s="60">
        <v>27</v>
      </c>
      <c r="B29" s="103">
        <f ca="1">ArdiData!B29</f>
        <v>1991</v>
      </c>
      <c r="C29" s="86">
        <f ca="1">IF(A28&lt;$B$1,"",IF(A28=$B$1,AVERAGE($B$3:B28),C28+(B28-INDEX($B$3:$B$52,A28-$B$1))/$B$1))</f>
        <v>3671.5</v>
      </c>
      <c r="D29" s="68">
        <f t="shared" ca="1" si="0"/>
        <v>1991</v>
      </c>
      <c r="E29" s="85">
        <f ca="1">IFERROR(SUM($D$3:D29)/COUNT($D$3:D29),"")</f>
        <v>2332.62</v>
      </c>
      <c r="F29" s="84">
        <f ca="1">IF(A28&lt;$F$1,"",IF(A28=$F$1,AVERAGE($B$3:B28),F28+(B28-INDEX($B$3:$B$52,A28-$F$1))/$F$1))</f>
        <v>2964.375</v>
      </c>
      <c r="X29" s="87">
        <f t="shared" ca="1" si="1"/>
        <v>23</v>
      </c>
      <c r="Y29" s="87">
        <f t="shared" ca="1" si="2"/>
        <v>357.75265539152787</v>
      </c>
      <c r="Z29" s="87">
        <f ca="1">0.9+0.2*RAND()</f>
        <v>0.99375737608757742</v>
      </c>
      <c r="AA29" s="87">
        <f t="shared" ca="1" si="3"/>
        <v>366</v>
      </c>
    </row>
    <row r="30" spans="1:27" x14ac:dyDescent="0.25">
      <c r="A30" s="60">
        <v>28</v>
      </c>
      <c r="B30" s="103">
        <f ca="1">ArdiData!B30</f>
        <v>1935</v>
      </c>
      <c r="C30" s="86">
        <f ca="1">IF(A29&lt;$B$1,"",IF(A29=$B$1,AVERAGE($B$3:B29),C29+(B29-INDEX($B$3:$B$52,A29-$B$1))/$B$1))</f>
        <v>3594</v>
      </c>
      <c r="D30" s="68">
        <f t="shared" ca="1" si="0"/>
        <v>1935</v>
      </c>
      <c r="E30" s="85">
        <f ca="1">IFERROR(SUM($D$3:D30)/COUNT($D$3:D30),"")</f>
        <v>2317.3269230769229</v>
      </c>
      <c r="F30" s="84">
        <f ca="1">IF(A29&lt;$F$1,"",IF(A29=$F$1,AVERAGE($B$3:B29),F29+(B29-INDEX($B$3:$B$52,A29-$F$1))/$F$1))</f>
        <v>2908.875</v>
      </c>
      <c r="X30" s="87">
        <f t="shared" ca="1" si="1"/>
        <v>23</v>
      </c>
      <c r="Y30" s="87">
        <f t="shared" ca="1" si="2"/>
        <v>370.92987100439427</v>
      </c>
      <c r="Z30" s="87">
        <f ca="1">1+0.2*RAND()</f>
        <v>1.0303607527899841</v>
      </c>
      <c r="AA30" s="87">
        <f t="shared" ca="1" si="3"/>
        <v>388</v>
      </c>
    </row>
    <row r="31" spans="1:27" x14ac:dyDescent="0.25">
      <c r="A31" s="60">
        <v>29</v>
      </c>
      <c r="B31" s="103">
        <f ca="1">ArdiData!B31</f>
        <v>4884</v>
      </c>
      <c r="C31" s="86">
        <f ca="1">IF(A30&lt;$B$1,"",IF(A30=$B$1,AVERAGE($B$3:B30),C30+(B30-INDEX($B$3:$B$52,A30-$B$1))/$B$1))</f>
        <v>1963</v>
      </c>
      <c r="D31" s="68">
        <f t="shared" ca="1" si="0"/>
        <v>4884</v>
      </c>
      <c r="E31" s="85">
        <f ca="1">IFERROR(SUM($D$3:D31)/COUNT($D$3:D31),"")</f>
        <v>2412.3888888888887</v>
      </c>
      <c r="F31" s="84">
        <f ca="1">IF(A30&lt;$F$1,"",IF(A30=$F$1,AVERAGE($B$3:B30),F30+(B30-INDEX($B$3:$B$52,A30-$F$1))/$F$1))</f>
        <v>2697.875</v>
      </c>
      <c r="X31" s="87">
        <f t="shared" ca="1" si="1"/>
        <v>12</v>
      </c>
      <c r="Y31" s="87">
        <f t="shared" ca="1" si="2"/>
        <v>324.94653574877509</v>
      </c>
      <c r="Z31" s="87">
        <f ca="1">1.2+0.2*RAND()</f>
        <v>1.2997861429951003</v>
      </c>
      <c r="AA31" s="87">
        <f t="shared" ca="1" si="3"/>
        <v>337</v>
      </c>
    </row>
    <row r="32" spans="1:27" x14ac:dyDescent="0.25">
      <c r="A32" s="60">
        <v>30</v>
      </c>
      <c r="B32" s="103">
        <f ca="1">ArdiData!B32</f>
        <v>5781</v>
      </c>
      <c r="C32" s="86">
        <f ca="1">IF(A31&lt;$B$1,"",IF(A31=$B$1,AVERAGE($B$3:B31),C31+(B31-INDEX($B$3:$B$52,A31-$B$1))/$B$1))</f>
        <v>3409.5</v>
      </c>
      <c r="D32" s="68">
        <f t="shared" ca="1" si="0"/>
        <v>5781</v>
      </c>
      <c r="E32" s="85">
        <f ca="1">IFERROR(SUM($D$3:D32)/COUNT($D$3:D32),"")</f>
        <v>2532.6964285714284</v>
      </c>
      <c r="F32" s="84">
        <f ca="1">IF(A31&lt;$F$1,"",IF(A31=$F$1,AVERAGE($B$3:B31),F31+(B31-INDEX($B$3:$B$52,A31-$F$1))/$F$1))</f>
        <v>3141.75</v>
      </c>
      <c r="X32" s="87">
        <f t="shared" ca="1" si="1"/>
        <v>46</v>
      </c>
      <c r="Y32" s="87">
        <f t="shared" ca="1" si="2"/>
        <v>594.90914922387822</v>
      </c>
      <c r="Z32" s="87">
        <f ca="1">1+0.2*RAND()</f>
        <v>1.0083205919048783</v>
      </c>
      <c r="AA32" s="87">
        <f t="shared" ca="1" si="3"/>
        <v>547</v>
      </c>
    </row>
    <row r="33" spans="1:27" x14ac:dyDescent="0.25">
      <c r="A33" s="60">
        <v>31</v>
      </c>
      <c r="B33" s="103">
        <f ca="1">ArdiData!B33</f>
        <v>4628</v>
      </c>
      <c r="C33" s="86">
        <f ca="1">IF(A32&lt;$B$1,"",IF(A32=$B$1,AVERAGE($B$3:B32),C32+(B32-INDEX($B$3:$B$52,A32-$B$1))/$B$1))</f>
        <v>5332.5</v>
      </c>
      <c r="D33" s="68">
        <f t="shared" ca="1" si="0"/>
        <v>4628</v>
      </c>
      <c r="E33" s="85">
        <f ca="1">IFERROR(SUM($D$3:D33)/COUNT($D$3:D33),"")</f>
        <v>2604.9482758620688</v>
      </c>
      <c r="F33" s="84">
        <f ca="1">IF(A32&lt;$F$1,"",IF(A32=$F$1,AVERAGE($B$3:B32),F32+(B32-INDEX($B$3:$B$52,A32-$F$1))/$F$1))</f>
        <v>3589</v>
      </c>
      <c r="X33" s="87">
        <f t="shared" ca="1" si="1"/>
        <v>48</v>
      </c>
      <c r="Y33" s="87">
        <f t="shared" ca="1" si="2"/>
        <v>680.43664942656346</v>
      </c>
      <c r="Z33" s="87">
        <f ca="1">1+0.2*RAND()</f>
        <v>1.1154699170927269</v>
      </c>
      <c r="AA33" s="87">
        <f t="shared" ca="1" si="3"/>
        <v>743</v>
      </c>
    </row>
    <row r="34" spans="1:27" x14ac:dyDescent="0.25">
      <c r="A34" s="60">
        <v>32</v>
      </c>
      <c r="B34" s="103">
        <f ca="1">ArdiData!B34</f>
        <v>1800</v>
      </c>
      <c r="C34" s="86">
        <f ca="1">IF(A33&lt;$B$1,"",IF(A33=$B$1,AVERAGE($B$3:B33),C33+(B33-INDEX($B$3:$B$52,A33-$B$1))/$B$1))</f>
        <v>5204.5</v>
      </c>
      <c r="D34" s="68">
        <f t="shared" ca="1" si="0"/>
        <v>1800</v>
      </c>
      <c r="E34" s="85">
        <f ca="1">IFERROR(SUM($D$3:D34)/COUNT($D$3:D34),"")</f>
        <v>2578.1166666666668</v>
      </c>
      <c r="F34" s="84">
        <f ca="1">IF(A33&lt;$F$1,"",IF(A33=$F$1,AVERAGE($B$3:B33),F33+(B33-INDEX($B$3:$B$52,A33-$F$1))/$F$1))</f>
        <v>3800.75</v>
      </c>
      <c r="X34" s="87">
        <f t="shared" ca="1" si="1"/>
        <v>45</v>
      </c>
      <c r="Y34" s="87">
        <f t="shared" ca="1" si="2"/>
        <v>742.13707970848372</v>
      </c>
      <c r="Z34" s="87">
        <f ca="1">1.2+0.2*RAND()</f>
        <v>1.2795466891525582</v>
      </c>
      <c r="AA34" s="87">
        <f t="shared" ca="1" si="3"/>
        <v>750</v>
      </c>
    </row>
    <row r="35" spans="1:27" x14ac:dyDescent="0.25">
      <c r="A35" s="60">
        <v>33</v>
      </c>
      <c r="B35" s="103">
        <f ca="1">ArdiData!B35</f>
        <v>1092</v>
      </c>
      <c r="C35" s="86">
        <f ca="1">IF(A34&lt;$B$1,"",IF(A34=$B$1,AVERAGE($B$3:B34),C34+(B34-INDEX($B$3:$B$52,A34-$B$1))/$B$1))</f>
        <v>3214</v>
      </c>
      <c r="D35" s="68">
        <f t="shared" ref="D35:D52" ca="1" si="4">IF(C35&lt;&gt;"",ABS(B35-C72),"")</f>
        <v>1092</v>
      </c>
      <c r="E35" s="85">
        <f ca="1">IFERROR(SUM($D$3:D35)/COUNT($D$3:D35),"")</f>
        <v>2530.1774193548385</v>
      </c>
      <c r="F35" s="84">
        <f ca="1">IF(A34&lt;$F$1,"",IF(A34=$F$1,AVERAGE($B$3:B34),F34+(B34-INDEX($B$3:$B$52,A34-$F$1))/$F$1))</f>
        <v>3545.25</v>
      </c>
      <c r="X35" s="87">
        <f t="shared" ref="X35:X52" ca="1" si="5">RANDBETWEEN(1,50)</f>
        <v>9</v>
      </c>
      <c r="Y35" s="87">
        <f t="shared" ref="Y35:Y52" ca="1" si="6">(INT($Y$2+10*X35)*Z35)</f>
        <v>202.83048973273264</v>
      </c>
      <c r="Z35" s="87">
        <f ca="1">0.9+0.2*RAND()</f>
        <v>0.92195677151242117</v>
      </c>
      <c r="AA35" s="87">
        <f t="shared" ref="AA35:AA52" ca="1" si="7">ROUND(Y35+$Z$2*Y35*_xlfn.NORM.S.INV(RAND()),0)</f>
        <v>208</v>
      </c>
    </row>
    <row r="36" spans="1:27" x14ac:dyDescent="0.25">
      <c r="A36" s="60">
        <v>34</v>
      </c>
      <c r="B36" s="103">
        <f ca="1">ArdiData!B36</f>
        <v>2463</v>
      </c>
      <c r="C36" s="86">
        <f ca="1">IF(A35&lt;$B$1,"",IF(A35=$B$1,AVERAGE($B$3:B35),C35+(B35-INDEX($B$3:$B$52,A35-$B$1))/$B$1))</f>
        <v>1446</v>
      </c>
      <c r="D36" s="68">
        <f t="shared" ca="1" si="4"/>
        <v>2463</v>
      </c>
      <c r="E36" s="85">
        <f ca="1">IFERROR(SUM($D$3:D36)/COUNT($D$3:D36),"")</f>
        <v>2528.078125</v>
      </c>
      <c r="F36" s="84">
        <f ca="1">IF(A35&lt;$F$1,"",IF(A35=$F$1,AVERAGE($B$3:B35),F35+(B35-INDEX($B$3:$B$52,A35-$F$1))/$F$1))</f>
        <v>3413.5</v>
      </c>
      <c r="X36" s="87">
        <f t="shared" ca="1" si="5"/>
        <v>23</v>
      </c>
      <c r="Y36" s="87">
        <f t="shared" ca="1" si="6"/>
        <v>395.27054732591318</v>
      </c>
      <c r="Z36" s="87">
        <f ca="1">1+0.2*RAND()</f>
        <v>1.0979737425719811</v>
      </c>
      <c r="AA36" s="87">
        <f t="shared" ca="1" si="7"/>
        <v>406</v>
      </c>
    </row>
    <row r="37" spans="1:27" x14ac:dyDescent="0.25">
      <c r="A37" s="60">
        <v>35</v>
      </c>
      <c r="B37" s="103">
        <f ca="1">ArdiData!B37</f>
        <v>3325</v>
      </c>
      <c r="C37" s="86">
        <f ca="1">IF(A36&lt;$B$1,"",IF(A36=$B$1,AVERAGE($B$3:B36),C36+(B36-INDEX($B$3:$B$52,A36-$B$1))/$B$1))</f>
        <v>1777.5</v>
      </c>
      <c r="D37" s="68">
        <f t="shared" ca="1" si="4"/>
        <v>3325</v>
      </c>
      <c r="E37" s="85">
        <f ca="1">IFERROR(SUM($D$3:D37)/COUNT($D$3:D37),"")</f>
        <v>2552.2272727272725</v>
      </c>
      <c r="F37" s="84">
        <f ca="1">IF(A36&lt;$F$1,"",IF(A36=$F$1,AVERAGE($B$3:B36),F36+(B36-INDEX($B$3:$B$52,A36-$F$1))/$F$1))</f>
        <v>3071.75</v>
      </c>
      <c r="X37" s="87">
        <f t="shared" ca="1" si="5"/>
        <v>38</v>
      </c>
      <c r="Y37" s="87">
        <f t="shared" ca="1" si="6"/>
        <v>589.3629131304541</v>
      </c>
      <c r="Z37" s="87">
        <f ca="1">1+0.2*RAND()</f>
        <v>1.1556135551577531</v>
      </c>
      <c r="AA37" s="87">
        <f t="shared" ca="1" si="7"/>
        <v>563</v>
      </c>
    </row>
    <row r="38" spans="1:27" x14ac:dyDescent="0.25">
      <c r="A38" s="60">
        <v>36</v>
      </c>
      <c r="B38" s="103">
        <f ca="1">ArdiData!B38</f>
        <v>3325</v>
      </c>
      <c r="C38" s="86">
        <f ca="1">IF(A37&lt;$B$1,"",IF(A37=$B$1,AVERAGE($B$3:B37),C37+(B37-INDEX($B$3:$B$52,A37-$B$1))/$B$1))</f>
        <v>2894</v>
      </c>
      <c r="D38" s="68">
        <f t="shared" ca="1" si="4"/>
        <v>3325</v>
      </c>
      <c r="E38" s="85">
        <f ca="1">IFERROR(SUM($D$3:D38)/COUNT($D$3:D38),"")</f>
        <v>2574.955882352941</v>
      </c>
      <c r="F38" s="84">
        <f ca="1">IF(A37&lt;$F$1,"",IF(A37=$F$1,AVERAGE($B$3:B37),F37+(B37-INDEX($B$3:$B$52,A37-$F$1))/$F$1))</f>
        <v>3238.5</v>
      </c>
      <c r="X38" s="87">
        <f t="shared" ca="1" si="5"/>
        <v>22</v>
      </c>
      <c r="Y38" s="87">
        <f t="shared" ca="1" si="6"/>
        <v>375.3584004478206</v>
      </c>
      <c r="Z38" s="87">
        <f ca="1">0.9+0.2*RAND()</f>
        <v>1.0724525727080589</v>
      </c>
      <c r="AA38" s="87">
        <f t="shared" ca="1" si="7"/>
        <v>448</v>
      </c>
    </row>
    <row r="39" spans="1:27" x14ac:dyDescent="0.25">
      <c r="A39" s="60">
        <v>37</v>
      </c>
      <c r="B39" s="103">
        <f ca="1">ArdiData!B39</f>
        <v>3899</v>
      </c>
      <c r="C39" s="86">
        <f ca="1">IF(A38&lt;$B$1,"",IF(A38=$B$1,AVERAGE($B$3:B38),C38+(B38-INDEX($B$3:$B$52,A38-$B$1))/$B$1))</f>
        <v>3325</v>
      </c>
      <c r="D39" s="68">
        <f t="shared" ca="1" si="4"/>
        <v>3899</v>
      </c>
      <c r="E39" s="85">
        <f ca="1">IFERROR(SUM($D$3:D39)/COUNT($D$3:D39),"")</f>
        <v>2612.7857142857142</v>
      </c>
      <c r="F39" s="84">
        <f ca="1">IF(A38&lt;$F$1,"",IF(A38=$F$1,AVERAGE($B$3:B38),F38+(B38-INDEX($B$3:$B$52,A38-$F$1))/$F$1))</f>
        <v>3412.25</v>
      </c>
      <c r="X39" s="87">
        <f t="shared" ca="1" si="5"/>
        <v>20</v>
      </c>
      <c r="Y39" s="87">
        <f t="shared" ca="1" si="6"/>
        <v>138.77619531741661</v>
      </c>
      <c r="Z39" s="87">
        <f ca="1">0.4+0.2*RAND()</f>
        <v>0.42053392520429272</v>
      </c>
      <c r="AA39" s="87">
        <f t="shared" ca="1" si="7"/>
        <v>130</v>
      </c>
    </row>
    <row r="40" spans="1:27" x14ac:dyDescent="0.25">
      <c r="A40" s="60">
        <v>38</v>
      </c>
      <c r="B40" s="103">
        <f ca="1">ArdiData!B40</f>
        <v>1178</v>
      </c>
      <c r="C40" s="86">
        <f ca="1">IF(A39&lt;$B$1,"",IF(A39=$B$1,AVERAGE($B$3:B39),C39+(B39-INDEX($B$3:$B$52,A39-$B$1))/$B$1))</f>
        <v>3612</v>
      </c>
      <c r="D40" s="68">
        <f t="shared" ca="1" si="4"/>
        <v>1178</v>
      </c>
      <c r="E40" s="85">
        <f ca="1">IFERROR(SUM($D$3:D40)/COUNT($D$3:D40),"")</f>
        <v>2572.9305555555557</v>
      </c>
      <c r="F40" s="84">
        <f ca="1">IF(A39&lt;$F$1,"",IF(A39=$F$1,AVERAGE($B$3:B39),F39+(B39-INDEX($B$3:$B$52,A39-$F$1))/$F$1))</f>
        <v>3289.125</v>
      </c>
      <c r="X40" s="87">
        <f t="shared" ca="1" si="5"/>
        <v>43</v>
      </c>
      <c r="Y40" s="87">
        <f t="shared" ca="1" si="6"/>
        <v>442.76853699077071</v>
      </c>
      <c r="Z40" s="87">
        <f ca="1">0.6+0.2*RAND()</f>
        <v>0.79065810176923346</v>
      </c>
      <c r="AA40" s="87">
        <f t="shared" ca="1" si="7"/>
        <v>386</v>
      </c>
    </row>
    <row r="41" spans="1:27" x14ac:dyDescent="0.25">
      <c r="A41" s="60">
        <v>39</v>
      </c>
      <c r="B41" s="103">
        <f ca="1">ArdiData!B41</f>
        <v>4468</v>
      </c>
      <c r="C41" s="86">
        <f ca="1">IF(A40&lt;$B$1,"",IF(A40=$B$1,AVERAGE($B$3:B40),C40+(B40-INDEX($B$3:$B$52,A40-$B$1))/$B$1))</f>
        <v>2538.5</v>
      </c>
      <c r="D41" s="68">
        <f t="shared" ca="1" si="4"/>
        <v>4468</v>
      </c>
      <c r="E41" s="85">
        <f ca="1">IFERROR(SUM($D$3:D41)/COUNT($D$3:D41),"")</f>
        <v>2624.1486486486488</v>
      </c>
      <c r="F41" s="84">
        <f ca="1">IF(A40&lt;$F$1,"",IF(A40=$F$1,AVERAGE($B$3:B40),F40+(B40-INDEX($B$3:$B$52,A40-$F$1))/$F$1))</f>
        <v>2713.75</v>
      </c>
      <c r="X41" s="87">
        <f t="shared" ca="1" si="5"/>
        <v>19</v>
      </c>
      <c r="Y41" s="87">
        <f t="shared" ca="1" si="6"/>
        <v>445.60690033826211</v>
      </c>
      <c r="Z41" s="87">
        <f ca="1">1.2+0.2*RAND()</f>
        <v>1.3925215635570691</v>
      </c>
      <c r="AA41" s="87">
        <f t="shared" ca="1" si="7"/>
        <v>471</v>
      </c>
    </row>
    <row r="42" spans="1:27" x14ac:dyDescent="0.25">
      <c r="A42" s="60">
        <v>40</v>
      </c>
      <c r="B42" s="103">
        <f ca="1">ArdiData!B42</f>
        <v>997</v>
      </c>
      <c r="C42" s="86">
        <f ca="1">IF(A41&lt;$B$1,"",IF(A41=$B$1,AVERAGE($B$3:B41),C41+(B41-INDEX($B$3:$B$52,A41-$B$1))/$B$1))</f>
        <v>2823</v>
      </c>
      <c r="D42" s="68">
        <f t="shared" ca="1" si="4"/>
        <v>997</v>
      </c>
      <c r="E42" s="85">
        <f ca="1">IFERROR(SUM($D$3:D42)/COUNT($D$3:D42),"")</f>
        <v>2581.3289473684213</v>
      </c>
      <c r="F42" s="84">
        <f ca="1">IF(A41&lt;$F$1,"",IF(A41=$F$1,AVERAGE($B$3:B41),F41+(B41-INDEX($B$3:$B$52,A41-$F$1))/$F$1))</f>
        <v>2693.75</v>
      </c>
      <c r="X42" s="87">
        <f t="shared" ca="1" si="5"/>
        <v>11</v>
      </c>
      <c r="Y42" s="87">
        <f t="shared" ca="1" si="6"/>
        <v>261.74871891068068</v>
      </c>
      <c r="Z42" s="87">
        <f ca="1">0.9+0.2*RAND()</f>
        <v>1.0906196621278361</v>
      </c>
      <c r="AA42" s="87">
        <f t="shared" ca="1" si="7"/>
        <v>295</v>
      </c>
    </row>
    <row r="43" spans="1:27" x14ac:dyDescent="0.25">
      <c r="A43" s="60">
        <v>41</v>
      </c>
      <c r="B43" s="103">
        <f ca="1">ArdiData!B43</f>
        <v>1263</v>
      </c>
      <c r="C43" s="86">
        <f ca="1">IF(A42&lt;$B$1,"",IF(A42=$B$1,AVERAGE($B$3:B42),C42+(B42-INDEX($B$3:$B$52,A42-$B$1))/$B$1))</f>
        <v>2732.5</v>
      </c>
      <c r="D43" s="68">
        <f t="shared" ca="1" si="4"/>
        <v>1263</v>
      </c>
      <c r="E43" s="85">
        <f ca="1">IFERROR(SUM($D$3:D43)/COUNT($D$3:D43),"")</f>
        <v>2547.5256410256411</v>
      </c>
      <c r="F43" s="84">
        <f ca="1">IF(A42&lt;$F$1,"",IF(A42=$F$1,AVERAGE($B$3:B42),F42+(B42-INDEX($B$3:$B$52,A42-$F$1))/$F$1))</f>
        <v>2593.375</v>
      </c>
      <c r="X43" s="87">
        <f t="shared" ca="1" si="5"/>
        <v>3</v>
      </c>
      <c r="Y43" s="87">
        <f t="shared" ca="1" si="6"/>
        <v>66.951909830680762</v>
      </c>
      <c r="Z43" s="87">
        <f ca="1">0.4+0.2*RAND()</f>
        <v>0.41844943644175481</v>
      </c>
      <c r="AA43" s="87">
        <f t="shared" ca="1" si="7"/>
        <v>71</v>
      </c>
    </row>
    <row r="44" spans="1:27" x14ac:dyDescent="0.25">
      <c r="A44" s="60">
        <v>42</v>
      </c>
      <c r="B44" s="103">
        <f ca="1">ArdiData!B44</f>
        <v>2133</v>
      </c>
      <c r="C44" s="86">
        <f ca="1">IF(A43&lt;$B$1,"",IF(A43=$B$1,AVERAGE($B$3:B43),C43+(B43-INDEX($B$3:$B$52,A43-$B$1))/$B$1))</f>
        <v>1130</v>
      </c>
      <c r="D44" s="68">
        <f t="shared" ca="1" si="4"/>
        <v>2133</v>
      </c>
      <c r="E44" s="85">
        <f ca="1">IFERROR(SUM($D$3:D44)/COUNT($D$3:D44),"")</f>
        <v>2537.1624999999999</v>
      </c>
      <c r="F44" s="84">
        <f ca="1">IF(A43&lt;$F$1,"",IF(A43=$F$1,AVERAGE($B$3:B43),F43+(B43-INDEX($B$3:$B$52,A43-$F$1))/$F$1))</f>
        <v>2614.75</v>
      </c>
      <c r="X44" s="87">
        <f t="shared" ca="1" si="5"/>
        <v>47</v>
      </c>
      <c r="Y44" s="87">
        <f t="shared" ca="1" si="6"/>
        <v>301.43849252890402</v>
      </c>
      <c r="Z44" s="87">
        <f ca="1">0.4+0.2*RAND()</f>
        <v>0.50239748754817337</v>
      </c>
      <c r="AA44" s="87">
        <f t="shared" ca="1" si="7"/>
        <v>247</v>
      </c>
    </row>
    <row r="45" spans="1:27" x14ac:dyDescent="0.25">
      <c r="A45" s="60">
        <v>43</v>
      </c>
      <c r="B45" s="103">
        <f ca="1">ArdiData!B45</f>
        <v>1901</v>
      </c>
      <c r="C45" s="86">
        <f ca="1">IF(A44&lt;$B$1,"",IF(A44=$B$1,AVERAGE($B$3:B44),C44+(B44-INDEX($B$3:$B$52,A44-$B$1))/$B$1))</f>
        <v>1698</v>
      </c>
      <c r="D45" s="68">
        <f t="shared" ca="1" si="4"/>
        <v>1901</v>
      </c>
      <c r="E45" s="85">
        <f ca="1">IFERROR(SUM($D$3:D45)/COUNT($D$3:D45),"")</f>
        <v>2521.6463414634145</v>
      </c>
      <c r="F45" s="84">
        <f ca="1">IF(A44&lt;$F$1,"",IF(A44=$F$1,AVERAGE($B$3:B44),F44+(B44-INDEX($B$3:$B$52,A44-$F$1))/$F$1))</f>
        <v>2573.5</v>
      </c>
      <c r="X45" s="87">
        <f t="shared" ca="1" si="5"/>
        <v>31</v>
      </c>
      <c r="Y45" s="87">
        <f t="shared" ca="1" si="6"/>
        <v>500.19903833248344</v>
      </c>
      <c r="Z45" s="87">
        <f ca="1">1+0.2*RAND()</f>
        <v>1.1368159962101896</v>
      </c>
      <c r="AA45" s="87">
        <f t="shared" ca="1" si="7"/>
        <v>552</v>
      </c>
    </row>
    <row r="46" spans="1:27" x14ac:dyDescent="0.25">
      <c r="A46" s="60">
        <v>44</v>
      </c>
      <c r="B46" s="103">
        <f ca="1">ArdiData!B46</f>
        <v>2139</v>
      </c>
      <c r="C46" s="86">
        <f ca="1">IF(A45&lt;$B$1,"",IF(A45=$B$1,AVERAGE($B$3:B45),C45+(B45-INDEX($B$3:$B$52,A45-$B$1))/$B$1))</f>
        <v>2017</v>
      </c>
      <c r="D46" s="68">
        <f t="shared" ca="1" si="4"/>
        <v>2139</v>
      </c>
      <c r="E46" s="85">
        <f ca="1">IFERROR(SUM($D$3:D46)/COUNT($D$3:D46),"")</f>
        <v>2512.5357142857142</v>
      </c>
      <c r="F46" s="84">
        <f ca="1">IF(A45&lt;$F$1,"",IF(A45=$F$1,AVERAGE($B$3:B45),F45+(B45-INDEX($B$3:$B$52,A45-$F$1))/$F$1))</f>
        <v>2395.5</v>
      </c>
      <c r="X46" s="87">
        <f t="shared" ca="1" si="5"/>
        <v>48</v>
      </c>
      <c r="Y46" s="87">
        <f t="shared" ca="1" si="6"/>
        <v>249.29774559164048</v>
      </c>
      <c r="Z46" s="87">
        <f ca="1">0.4+0.2*RAND()</f>
        <v>0.4086848288387549</v>
      </c>
      <c r="AA46" s="87">
        <f t="shared" ca="1" si="7"/>
        <v>243</v>
      </c>
    </row>
    <row r="47" spans="1:27" x14ac:dyDescent="0.25">
      <c r="A47" s="60">
        <v>45</v>
      </c>
      <c r="B47" s="103">
        <f ca="1">ArdiData!B47</f>
        <v>2511</v>
      </c>
      <c r="C47" s="86">
        <f ca="1">IF(A46&lt;$B$1,"",IF(A46=$B$1,AVERAGE($B$3:B46),C46+(B46-INDEX($B$3:$B$52,A46-$B$1))/$B$1))</f>
        <v>2020</v>
      </c>
      <c r="D47" s="68">
        <f t="shared" ca="1" si="4"/>
        <v>2511</v>
      </c>
      <c r="E47" s="85">
        <f ca="1">IFERROR(SUM($D$3:D47)/COUNT($D$3:D47),"")</f>
        <v>2512.5</v>
      </c>
      <c r="F47" s="84">
        <f ca="1">IF(A46&lt;$F$1,"",IF(A46=$F$1,AVERAGE($B$3:B46),F46+(B46-INDEX($B$3:$B$52,A46-$F$1))/$F$1))</f>
        <v>2247.25</v>
      </c>
      <c r="X47" s="87">
        <f t="shared" ca="1" si="5"/>
        <v>48</v>
      </c>
      <c r="Y47" s="87">
        <f t="shared" ca="1" si="6"/>
        <v>338.47451982921535</v>
      </c>
      <c r="Z47" s="87">
        <f ca="1">0.4+0.2*RAND()</f>
        <v>0.55487626201510709</v>
      </c>
      <c r="AA47" s="87">
        <f t="shared" ca="1" si="7"/>
        <v>316</v>
      </c>
    </row>
    <row r="48" spans="1:27" x14ac:dyDescent="0.25">
      <c r="A48" s="60">
        <v>46</v>
      </c>
      <c r="B48" s="103">
        <f ca="1">ArdiData!B48</f>
        <v>3616</v>
      </c>
      <c r="C48" s="86">
        <f ca="1">IF(A47&lt;$B$1,"",IF(A47=$B$1,AVERAGE($B$3:B47),C47+(B47-INDEX($B$3:$B$52,A47-$B$1))/$B$1))</f>
        <v>2325</v>
      </c>
      <c r="D48" s="68">
        <f t="shared" ca="1" si="4"/>
        <v>3616</v>
      </c>
      <c r="E48" s="85">
        <f ca="1">IFERROR(SUM($D$3:D48)/COUNT($D$3:D48),"")</f>
        <v>2537.5795454545455</v>
      </c>
      <c r="F48" s="84">
        <f ca="1">IF(A47&lt;$F$1,"",IF(A47=$F$1,AVERAGE($B$3:B47),F47+(B47-INDEX($B$3:$B$52,A47-$F$1))/$F$1))</f>
        <v>2073.75</v>
      </c>
      <c r="X48" s="87">
        <f t="shared" ca="1" si="5"/>
        <v>11</v>
      </c>
      <c r="Y48" s="87">
        <f t="shared" ca="1" si="6"/>
        <v>280.43254047327486</v>
      </c>
      <c r="Z48" s="87">
        <f ca="1">1+0.2*RAND()</f>
        <v>1.1684689186386452</v>
      </c>
      <c r="AA48" s="87">
        <f t="shared" ca="1" si="7"/>
        <v>284</v>
      </c>
    </row>
    <row r="49" spans="1:27" x14ac:dyDescent="0.25">
      <c r="A49" s="60">
        <v>47</v>
      </c>
      <c r="B49" s="103">
        <f ca="1">ArdiData!B49</f>
        <v>2301</v>
      </c>
      <c r="C49" s="86">
        <f ca="1">IF(A48&lt;$B$1,"",IF(A48=$B$1,AVERAGE($B$3:B48),C48+(B48-INDEX($B$3:$B$52,A48-$B$1))/$B$1))</f>
        <v>3063.5</v>
      </c>
      <c r="D49" s="68">
        <f t="shared" ca="1" si="4"/>
        <v>2301</v>
      </c>
      <c r="E49" s="85">
        <f ca="1">IFERROR(SUM($D$3:D49)/COUNT($D$3:D49),"")</f>
        <v>2532.3222222222221</v>
      </c>
      <c r="F49" s="84">
        <f ca="1">IF(A48&lt;$F$1,"",IF(A48=$F$1,AVERAGE($B$3:B48),F48+(B48-INDEX($B$3:$B$52,A48-$F$1))/$F$1))</f>
        <v>2378.5</v>
      </c>
      <c r="X49" s="87">
        <f t="shared" ca="1" si="5"/>
        <v>15</v>
      </c>
      <c r="Y49" s="87">
        <f t="shared" ca="1" si="6"/>
        <v>299.74948302389197</v>
      </c>
      <c r="Z49" s="87">
        <f ca="1">0.9+0.2*RAND()</f>
        <v>1.0705338679424714</v>
      </c>
      <c r="AA49" s="87">
        <f t="shared" ca="1" si="7"/>
        <v>319</v>
      </c>
    </row>
    <row r="50" spans="1:27" x14ac:dyDescent="0.25">
      <c r="A50" s="60">
        <v>48</v>
      </c>
      <c r="B50" s="103">
        <f ca="1">ArdiData!B50</f>
        <v>4949</v>
      </c>
      <c r="C50" s="86">
        <f ca="1">IF(A49&lt;$B$1,"",IF(A49=$B$1,AVERAGE($B$3:B49),C49+(B49-INDEX($B$3:$B$52,A49-$B$1))/$B$1))</f>
        <v>2958.5</v>
      </c>
      <c r="D50" s="68">
        <f t="shared" ca="1" si="4"/>
        <v>4949</v>
      </c>
      <c r="E50" s="85">
        <f ca="1">IFERROR(SUM($D$3:D50)/COUNT($D$3:D50),"")</f>
        <v>2584.858695652174</v>
      </c>
      <c r="F50" s="84">
        <f ca="1">IF(A49&lt;$F$1,"",IF(A49=$F$1,AVERAGE($B$3:B49),F49+(B49-INDEX($B$3:$B$52,A49-$F$1))/$F$1))</f>
        <v>2107.625</v>
      </c>
      <c r="X50" s="87">
        <f t="shared" ca="1" si="5"/>
        <v>26</v>
      </c>
      <c r="Y50" s="87">
        <f t="shared" ca="1" si="6"/>
        <v>187.1226167446672</v>
      </c>
      <c r="Z50" s="87">
        <f ca="1">0.4+0.2*RAND()</f>
        <v>0.47980158139658258</v>
      </c>
      <c r="AA50" s="87">
        <f t="shared" ca="1" si="7"/>
        <v>191</v>
      </c>
    </row>
    <row r="51" spans="1:27" x14ac:dyDescent="0.25">
      <c r="A51" s="60">
        <v>49</v>
      </c>
      <c r="B51" s="103">
        <f ca="1">ArdiData!B51</f>
        <v>1587</v>
      </c>
      <c r="C51" s="86">
        <f ca="1">IF(A50&lt;$B$1,"",IF(A50=$B$1,AVERAGE($B$3:B50),C50+(B50-INDEX($B$3:$B$52,A50-$B$1))/$B$1))</f>
        <v>3625</v>
      </c>
      <c r="D51" s="68">
        <f t="shared" ca="1" si="4"/>
        <v>1587</v>
      </c>
      <c r="E51" s="85">
        <f ca="1">IFERROR(SUM($D$3:D51)/COUNT($D$3:D51),"")</f>
        <v>2563.627659574468</v>
      </c>
      <c r="F51" s="84">
        <f ca="1">IF(A50&lt;$F$1,"",IF(A50=$F$1,AVERAGE($B$3:B50),F50+(B50-INDEX($B$3:$B$52,A50-$F$1))/$F$1))</f>
        <v>2601.625</v>
      </c>
      <c r="X51" s="87">
        <f t="shared" ca="1" si="5"/>
        <v>3</v>
      </c>
      <c r="Y51" s="87">
        <f t="shared" ca="1" si="6"/>
        <v>169.27532186805607</v>
      </c>
      <c r="Z51" s="87">
        <f ca="1">1+0.2*RAND()</f>
        <v>1.0579707616753504</v>
      </c>
      <c r="AA51" s="87">
        <f t="shared" ca="1" si="7"/>
        <v>158</v>
      </c>
    </row>
    <row r="52" spans="1:27" x14ac:dyDescent="0.25">
      <c r="A52" s="60">
        <v>50</v>
      </c>
      <c r="B52" s="103">
        <f ca="1">ArdiData!B52</f>
        <v>2379</v>
      </c>
      <c r="C52" s="86">
        <f ca="1">IF(A51&lt;$B$1,"",IF(A51=$B$1,AVERAGE($B$3:B51),C51+(B51-INDEX($B$3:$B$52,A51-$B$1))/$B$1))</f>
        <v>3268</v>
      </c>
      <c r="D52" s="68">
        <f t="shared" ca="1" si="4"/>
        <v>2379</v>
      </c>
      <c r="E52" s="85">
        <f ca="1">IFERROR(SUM($D$3:D52)/COUNT($D$3:D52),"")</f>
        <v>2559.78125</v>
      </c>
      <c r="F52" s="84">
        <f ca="1">IF(A51&lt;$F$1,"",IF(A51=$F$1,AVERAGE($B$3:B51),F51+(B51-INDEX($B$3:$B$52,A51-$F$1))/$F$1))</f>
        <v>2642.125</v>
      </c>
      <c r="X52" s="87">
        <f t="shared" ca="1" si="5"/>
        <v>14</v>
      </c>
      <c r="Y52" s="87">
        <f t="shared" ca="1" si="6"/>
        <v>292.01107787368409</v>
      </c>
      <c r="Z52" s="87">
        <f ca="1">0.9+0.2*RAND()</f>
        <v>1.0815225106432744</v>
      </c>
      <c r="AA52" s="87">
        <f t="shared" ca="1" si="7"/>
        <v>291</v>
      </c>
    </row>
    <row r="53" spans="1:27" x14ac:dyDescent="0.25">
      <c r="A53" s="60">
        <v>51</v>
      </c>
      <c r="B53" s="68"/>
      <c r="C53" s="86"/>
      <c r="D53" s="68"/>
      <c r="E53" s="85"/>
      <c r="F53" s="84">
        <f ca="1">IF(A52&lt;$F$1,"",IF(A52=$F$1,AVERAGE($B$3:B52),F52+(B52-INDEX($B$3:$B$52,A52-$F$1))/$F$1))</f>
        <v>2672.875</v>
      </c>
    </row>
  </sheetData>
  <conditionalFormatting sqref="H4:H13">
    <cfRule type="expression" dxfId="1" priority="1">
      <formula>I4=$I$16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D2" sqref="D2"/>
    </sheetView>
  </sheetViews>
  <sheetFormatPr defaultRowHeight="12.75" x14ac:dyDescent="0.2"/>
  <cols>
    <col min="1" max="1" width="4.42578125" bestFit="1" customWidth="1"/>
    <col min="2" max="2" width="7.28515625" bestFit="1" customWidth="1"/>
    <col min="4" max="4" width="6.140625" bestFit="1" customWidth="1"/>
    <col min="5" max="5" width="5.5703125" bestFit="1" customWidth="1"/>
    <col min="6" max="6" width="6.140625" customWidth="1"/>
    <col min="7" max="7" width="8.5703125" bestFit="1" customWidth="1"/>
    <col min="8" max="8" width="5.7109375" bestFit="1" customWidth="1"/>
  </cols>
  <sheetData>
    <row r="1" spans="1:14" x14ac:dyDescent="0.2">
      <c r="A1" s="59" t="str">
        <f>ArdiData!A2</f>
        <v>Per.</v>
      </c>
      <c r="B1" s="32" t="str">
        <f>BookData!C1</f>
        <v>Office 2</v>
      </c>
      <c r="C1" s="47" t="s">
        <v>41</v>
      </c>
      <c r="D1" s="28" t="s">
        <v>10</v>
      </c>
      <c r="E1" s="28" t="s">
        <v>50</v>
      </c>
      <c r="F1" s="48" t="s">
        <v>11</v>
      </c>
      <c r="G1" s="28" t="s">
        <v>13</v>
      </c>
      <c r="H1" s="28" t="s">
        <v>61</v>
      </c>
      <c r="J1" s="52">
        <v>0.36735244035749265</v>
      </c>
      <c r="K1" t="str">
        <f ca="1">" F(next) ~ N ( "&amp;ROUND(C77,0)&amp;", "&amp;ROUND(1.25*F76,0)&amp;")"</f>
        <v xml:space="preserve"> F(next) ~ N ( 5377, 199)</v>
      </c>
      <c r="N1" s="53">
        <f>INDEX(I4:I13,MATCH(J15,J4:J13,0))</f>
        <v>1</v>
      </c>
    </row>
    <row r="2" spans="1:14" x14ac:dyDescent="0.2">
      <c r="A2" s="59">
        <f>ArdiData!A3</f>
        <v>1</v>
      </c>
      <c r="B2" s="36">
        <f ca="1">ArdiData!C3</f>
        <v>997</v>
      </c>
      <c r="C2" s="49">
        <f ca="1">B2</f>
        <v>997</v>
      </c>
      <c r="D2" s="26">
        <f ca="1">B2-C2</f>
        <v>0</v>
      </c>
      <c r="E2" s="26">
        <f ca="1">ABS(D2)</f>
        <v>0</v>
      </c>
      <c r="F2" s="45">
        <f ca="1">SUM($E$2:E2)/COUNT($E$2:E2)</f>
        <v>0</v>
      </c>
      <c r="G2" s="26">
        <f ca="1">D2^2</f>
        <v>0</v>
      </c>
      <c r="H2" s="27">
        <f ca="1">SQRT(SUM($G$2:G2))</f>
        <v>0</v>
      </c>
    </row>
    <row r="3" spans="1:14" x14ac:dyDescent="0.2">
      <c r="A3" s="59">
        <f>ArdiData!A4</f>
        <v>2</v>
      </c>
      <c r="B3" s="36">
        <f ca="1">ArdiData!C4</f>
        <v>1092</v>
      </c>
      <c r="C3" s="49">
        <f t="shared" ref="C3:C34" ca="1" si="0">$J$1*B2+(1-$J$1)*C2</f>
        <v>997</v>
      </c>
      <c r="D3" s="26">
        <f t="shared" ref="D3:D66" ca="1" si="1">B3-C3</f>
        <v>95</v>
      </c>
      <c r="E3" s="26">
        <f t="shared" ref="E3:E66" ca="1" si="2">ABS(D3)</f>
        <v>95</v>
      </c>
      <c r="F3" s="45">
        <f ca="1">SUM($E$2:E3)/COUNT($E$2:E3)</f>
        <v>47.5</v>
      </c>
      <c r="G3" s="26">
        <f t="shared" ref="G3:G66" ca="1" si="3">D3^2</f>
        <v>9025</v>
      </c>
      <c r="H3" s="27">
        <f ca="1">SQRT(SUM($G$2:G3)/(COUNT($G$2:G3)-1))</f>
        <v>95</v>
      </c>
      <c r="J3">
        <f ca="1">F76</f>
        <v>158.98700482314936</v>
      </c>
    </row>
    <row r="4" spans="1:14" x14ac:dyDescent="0.2">
      <c r="A4" s="59">
        <f>ArdiData!A5</f>
        <v>3</v>
      </c>
      <c r="B4" s="36">
        <f ca="1">ArdiData!C5</f>
        <v>1178</v>
      </c>
      <c r="C4" s="49">
        <f t="shared" ca="1" si="0"/>
        <v>1031.8984818339618</v>
      </c>
      <c r="D4" s="26">
        <f t="shared" ca="1" si="1"/>
        <v>146.1015181660382</v>
      </c>
      <c r="E4" s="26">
        <f t="shared" ca="1" si="2"/>
        <v>146.1015181660382</v>
      </c>
      <c r="F4" s="45">
        <f ca="1">SUM($E$2:E4)/COUNT($E$2:E4)</f>
        <v>80.367172722012739</v>
      </c>
      <c r="G4" s="26">
        <f t="shared" ca="1" si="3"/>
        <v>21345.653610421192</v>
      </c>
      <c r="H4" s="27">
        <f ca="1">SQRT(SUM($G$2:G4)/(COUNT($G$2:G4)-1))</f>
        <v>123.22875802835389</v>
      </c>
      <c r="I4">
        <v>0.1</v>
      </c>
      <c r="J4">
        <f t="dataTable" ref="J4:J13" dt2D="0" dtr="0" r1="J1" ca="1"/>
        <v>1370.7429777003026</v>
      </c>
    </row>
    <row r="5" spans="1:14" x14ac:dyDescent="0.2">
      <c r="A5" s="59">
        <f>ArdiData!A6</f>
        <v>4</v>
      </c>
      <c r="B5" s="36">
        <f ca="1">ArdiData!C6</f>
        <v>1206</v>
      </c>
      <c r="C5" s="49">
        <f ca="1">$J$1*B4+(1-$J$1)*C4</f>
        <v>1085.5692310721906</v>
      </c>
      <c r="D5" s="26">
        <f t="shared" ca="1" si="1"/>
        <v>120.43076892780937</v>
      </c>
      <c r="E5" s="26">
        <f t="shared" ca="1" si="2"/>
        <v>120.43076892780937</v>
      </c>
      <c r="F5" s="45">
        <f ca="1">SUM($E$2:E5)/COUNT($E$2:E5)</f>
        <v>90.383071773461893</v>
      </c>
      <c r="G5" s="26">
        <f t="shared" ca="1" si="3"/>
        <v>14503.570104543414</v>
      </c>
      <c r="H5" s="27">
        <f ca="1">SQRT(SUM($G$2:G5)/(COUNT($G$2:G5)-1))</f>
        <v>122.3032075280729</v>
      </c>
      <c r="I5">
        <v>0.2</v>
      </c>
      <c r="J5">
        <v>441.41474310793507</v>
      </c>
    </row>
    <row r="6" spans="1:14" x14ac:dyDescent="0.2">
      <c r="A6" s="59">
        <f>ArdiData!A7</f>
        <v>5</v>
      </c>
      <c r="B6" s="36">
        <f ca="1">ArdiData!C7</f>
        <v>1263</v>
      </c>
      <c r="C6" s="49">
        <f t="shared" ca="1" si="0"/>
        <v>1129.8097679319508</v>
      </c>
      <c r="D6" s="26">
        <f t="shared" ca="1" si="1"/>
        <v>133.19023206804923</v>
      </c>
      <c r="E6" s="26">
        <f t="shared" ca="1" si="2"/>
        <v>133.19023206804923</v>
      </c>
      <c r="F6" s="45">
        <f ca="1">SUM($E$2:E6)/COUNT($E$2:E6)</f>
        <v>98.944503832379354</v>
      </c>
      <c r="G6" s="26">
        <f t="shared" ca="1" si="3"/>
        <v>17739.63791834081</v>
      </c>
      <c r="H6" s="27">
        <f ca="1">SQRT(SUM($G$2:G6)/(COUNT($G$2:G6)-1))</f>
        <v>125.11380982260253</v>
      </c>
      <c r="I6">
        <v>0.30000000000000004</v>
      </c>
      <c r="J6">
        <v>474.13719410284557</v>
      </c>
    </row>
    <row r="7" spans="1:14" x14ac:dyDescent="0.2">
      <c r="A7" s="59">
        <f>ArdiData!A8</f>
        <v>6</v>
      </c>
      <c r="B7" s="36">
        <f ca="1">ArdiData!C8</f>
        <v>1333</v>
      </c>
      <c r="C7" s="49">
        <f t="shared" ca="1" si="0"/>
        <v>1178.7375247139294</v>
      </c>
      <c r="D7" s="26">
        <f t="shared" ca="1" si="1"/>
        <v>154.26247528607064</v>
      </c>
      <c r="E7" s="26">
        <f t="shared" ca="1" si="2"/>
        <v>154.26247528607064</v>
      </c>
      <c r="F7" s="45">
        <f ca="1">SUM($E$2:E7)/COUNT($E$2:E7)</f>
        <v>108.16416574132791</v>
      </c>
      <c r="G7" s="26">
        <f t="shared" ca="1" si="3"/>
        <v>23796.911281385554</v>
      </c>
      <c r="H7" s="27">
        <f ca="1">SQRT(SUM($G$2:G7)/(COUNT($G$2:G7)-1))</f>
        <v>131.4616087796669</v>
      </c>
      <c r="I7">
        <v>0.4</v>
      </c>
      <c r="J7">
        <v>392.70254356186621</v>
      </c>
    </row>
    <row r="8" spans="1:14" x14ac:dyDescent="0.2">
      <c r="A8" s="59">
        <f>ArdiData!A9</f>
        <v>7</v>
      </c>
      <c r="B8" s="36">
        <f ca="1">ArdiData!C9</f>
        <v>1368</v>
      </c>
      <c r="C8" s="49">
        <f t="shared" ca="1" si="0"/>
        <v>1235.406221465855</v>
      </c>
      <c r="D8" s="26">
        <f t="shared" ca="1" si="1"/>
        <v>132.59377853414503</v>
      </c>
      <c r="E8" s="26">
        <f t="shared" ca="1" si="2"/>
        <v>132.59377853414503</v>
      </c>
      <c r="F8" s="45">
        <f ca="1">SUM($E$2:E8)/COUNT($E$2:E8)</f>
        <v>111.65411042601606</v>
      </c>
      <c r="G8" s="26">
        <f t="shared" ca="1" si="3"/>
        <v>17581.1101059619</v>
      </c>
      <c r="H8" s="27">
        <f ca="1">SQRT(SUM($G$2:G8)/(COUNT($G$2:G8)-1))</f>
        <v>131.65097988029618</v>
      </c>
      <c r="I8">
        <v>0.5</v>
      </c>
      <c r="J8">
        <v>296.49015076953401</v>
      </c>
    </row>
    <row r="9" spans="1:14" x14ac:dyDescent="0.2">
      <c r="A9" s="59">
        <f>ArdiData!A10</f>
        <v>8</v>
      </c>
      <c r="B9" s="36">
        <f ca="1">ArdiData!C10</f>
        <v>1421</v>
      </c>
      <c r="C9" s="49">
        <f t="shared" ca="1" si="0"/>
        <v>1284.1148695865941</v>
      </c>
      <c r="D9" s="26">
        <f t="shared" ca="1" si="1"/>
        <v>136.88513041340593</v>
      </c>
      <c r="E9" s="26">
        <f t="shared" ca="1" si="2"/>
        <v>136.88513041340593</v>
      </c>
      <c r="F9" s="45">
        <f ca="1">SUM($E$2:E9)/COUNT($E$2:E9)</f>
        <v>114.8079879244398</v>
      </c>
      <c r="G9" s="26">
        <f t="shared" ca="1" si="3"/>
        <v>18737.538928295151</v>
      </c>
      <c r="H9" s="27">
        <f ca="1">SQRT(SUM($G$2:G9)/(COUNT($G$2:G9)-1))</f>
        <v>132.41138381625439</v>
      </c>
      <c r="I9">
        <v>0.6</v>
      </c>
      <c r="J9">
        <v>201.12155166313269</v>
      </c>
    </row>
    <row r="10" spans="1:14" x14ac:dyDescent="0.2">
      <c r="A10" s="59">
        <f>ArdiData!A11</f>
        <v>9</v>
      </c>
      <c r="B10" s="36">
        <f ca="1">ArdiData!C11</f>
        <v>1568</v>
      </c>
      <c r="C10" s="49">
        <f t="shared" ca="1" si="0"/>
        <v>1334.3999562926124</v>
      </c>
      <c r="D10" s="26">
        <f t="shared" ca="1" si="1"/>
        <v>233.60004370738761</v>
      </c>
      <c r="E10" s="26">
        <f t="shared" ca="1" si="2"/>
        <v>233.60004370738761</v>
      </c>
      <c r="F10" s="45">
        <f ca="1">SUM($E$2:E10)/COUNT($E$2:E10)</f>
        <v>128.00710523365623</v>
      </c>
      <c r="G10" s="26">
        <f t="shared" ca="1" si="3"/>
        <v>54568.980420093401</v>
      </c>
      <c r="H10" s="27">
        <f ca="1">SQRT(SUM($G$2:G10)/(COUNT($G$2:G10)-1))</f>
        <v>148.87007857904214</v>
      </c>
      <c r="I10">
        <v>0.70000000000000007</v>
      </c>
      <c r="J10">
        <v>268.4216604987426</v>
      </c>
    </row>
    <row r="11" spans="1:14" x14ac:dyDescent="0.2">
      <c r="A11" s="59">
        <f>ArdiData!A12</f>
        <v>10</v>
      </c>
      <c r="B11" s="36">
        <f ca="1">ArdiData!C12</f>
        <v>1587</v>
      </c>
      <c r="C11" s="49">
        <f t="shared" ca="1" si="0"/>
        <v>1420.2135024161385</v>
      </c>
      <c r="D11" s="26">
        <f t="shared" ca="1" si="1"/>
        <v>166.78649758386155</v>
      </c>
      <c r="E11" s="26">
        <f t="shared" ca="1" si="2"/>
        <v>166.78649758386155</v>
      </c>
      <c r="F11" s="45">
        <f ca="1">SUM($E$2:E11)/COUNT($E$2:E11)</f>
        <v>131.88504446867677</v>
      </c>
      <c r="G11" s="26">
        <f t="shared" ca="1" si="3"/>
        <v>27817.735776291454</v>
      </c>
      <c r="H11" s="27">
        <f ca="1">SQRT(SUM($G$2:G11)/(COUNT($G$2:G11)-1))</f>
        <v>150.96583062450952</v>
      </c>
      <c r="I11">
        <v>0.8</v>
      </c>
      <c r="J11">
        <v>162.88820352583011</v>
      </c>
    </row>
    <row r="12" spans="1:14" x14ac:dyDescent="0.2">
      <c r="A12" s="59">
        <f>ArdiData!A13</f>
        <v>11</v>
      </c>
      <c r="B12" s="36">
        <f ca="1">ArdiData!C13</f>
        <v>1603</v>
      </c>
      <c r="C12" s="49">
        <f t="shared" ca="1" si="0"/>
        <v>1481.4829293222492</v>
      </c>
      <c r="D12" s="26">
        <f t="shared" ca="1" si="1"/>
        <v>121.51707067775078</v>
      </c>
      <c r="E12" s="26">
        <f t="shared" ca="1" si="2"/>
        <v>121.51707067775078</v>
      </c>
      <c r="F12" s="45">
        <f ca="1">SUM($E$2:E12)/COUNT($E$2:E12)</f>
        <v>130.94250139677439</v>
      </c>
      <c r="G12" s="26">
        <f t="shared" ca="1" si="3"/>
        <v>14766.398466101478</v>
      </c>
      <c r="H12" s="27">
        <f ca="1">SQRT(SUM($G$2:G12)/(COUNT($G$2:G12)-1))</f>
        <v>148.28436755485535</v>
      </c>
      <c r="I12">
        <v>0.9</v>
      </c>
      <c r="J12">
        <v>189.06044109650438</v>
      </c>
    </row>
    <row r="13" spans="1:14" x14ac:dyDescent="0.2">
      <c r="A13" s="59">
        <f>ArdiData!A14</f>
        <v>12</v>
      </c>
      <c r="B13" s="36">
        <f ca="1">ArdiData!C14</f>
        <v>1731</v>
      </c>
      <c r="C13" s="49">
        <f t="shared" ca="1" si="0"/>
        <v>1526.1225217808151</v>
      </c>
      <c r="D13" s="26">
        <f t="shared" ca="1" si="1"/>
        <v>204.87747821918492</v>
      </c>
      <c r="E13" s="26">
        <f t="shared" ca="1" si="2"/>
        <v>204.87747821918492</v>
      </c>
      <c r="F13" s="45">
        <f ca="1">SUM($E$2:E13)/COUNT($E$2:E13)</f>
        <v>137.1037494653086</v>
      </c>
      <c r="G13" s="26">
        <f t="shared" ca="1" si="3"/>
        <v>41974.781081452595</v>
      </c>
      <c r="H13" s="27">
        <f ca="1">SQRT(SUM($G$2:G13)/(COUNT($G$2:G13)-1))</f>
        <v>154.28937325478174</v>
      </c>
      <c r="I13">
        <v>1</v>
      </c>
      <c r="J13">
        <v>67.826666666666668</v>
      </c>
    </row>
    <row r="14" spans="1:14" x14ac:dyDescent="0.2">
      <c r="A14" s="59">
        <f>ArdiData!A15</f>
        <v>13</v>
      </c>
      <c r="B14" s="36">
        <f ca="1">ArdiData!C15</f>
        <v>1771</v>
      </c>
      <c r="C14" s="49">
        <f t="shared" ca="1" si="0"/>
        <v>1601.3847633789219</v>
      </c>
      <c r="D14" s="26">
        <f t="shared" ca="1" si="1"/>
        <v>169.61523662107811</v>
      </c>
      <c r="E14" s="26">
        <f t="shared" ca="1" si="2"/>
        <v>169.61523662107811</v>
      </c>
      <c r="F14" s="45">
        <f ca="1">SUM($E$2:E14)/COUNT($E$2:E14)</f>
        <v>139.6046330926755</v>
      </c>
      <c r="G14" s="26">
        <f t="shared" ca="1" si="3"/>
        <v>28769.328494024317</v>
      </c>
      <c r="H14" s="27">
        <f ca="1">SQRT(SUM($G$2:G14)/(COUNT($G$2:G14)-1))</f>
        <v>155.6241857239504</v>
      </c>
    </row>
    <row r="15" spans="1:14" x14ac:dyDescent="0.2">
      <c r="A15" s="59">
        <f>ArdiData!A16</f>
        <v>14</v>
      </c>
      <c r="B15" s="36">
        <f ca="1">ArdiData!C16</f>
        <v>1800</v>
      </c>
      <c r="C15" s="49">
        <f t="shared" ca="1" si="0"/>
        <v>1663.6933344734884</v>
      </c>
      <c r="D15" s="26">
        <f t="shared" ca="1" si="1"/>
        <v>136.30666552651155</v>
      </c>
      <c r="E15" s="26">
        <f t="shared" ca="1" si="2"/>
        <v>136.30666552651155</v>
      </c>
      <c r="F15" s="45">
        <f ca="1">SUM($E$2:E15)/COUNT($E$2:E15)</f>
        <v>139.36906398080663</v>
      </c>
      <c r="G15" s="26">
        <f t="shared" ca="1" si="3"/>
        <v>18579.507066956292</v>
      </c>
      <c r="H15" s="27">
        <f ca="1">SQRT(SUM($G$2:G15)/(COUNT($G$2:G15)-1))</f>
        <v>154.22415087085409</v>
      </c>
      <c r="J15">
        <f>MIN(J4:J13)</f>
        <v>67.826666666666668</v>
      </c>
    </row>
    <row r="16" spans="1:14" x14ac:dyDescent="0.2">
      <c r="A16" s="59">
        <f>ArdiData!A17</f>
        <v>15</v>
      </c>
      <c r="B16" s="36">
        <f ca="1">ArdiData!C17</f>
        <v>1901</v>
      </c>
      <c r="C16" s="49">
        <f t="shared" ca="1" si="0"/>
        <v>1713.7659206916451</v>
      </c>
      <c r="D16" s="26">
        <f t="shared" ca="1" si="1"/>
        <v>187.23407930835492</v>
      </c>
      <c r="E16" s="26">
        <f t="shared" ca="1" si="2"/>
        <v>187.23407930835492</v>
      </c>
      <c r="F16" s="45">
        <f ca="1">SUM($E$2:E16)/COUNT($E$2:E16)</f>
        <v>142.5600650026432</v>
      </c>
      <c r="G16" s="26">
        <f t="shared" ca="1" si="3"/>
        <v>35056.60045444734</v>
      </c>
      <c r="H16" s="27">
        <f ca="1">SQRT(SUM($G$2:G16)/(COUNT($G$2:G16)-1))</f>
        <v>156.8126164996014</v>
      </c>
    </row>
    <row r="17" spans="1:8" x14ac:dyDescent="0.2">
      <c r="A17" s="59">
        <f>ArdiData!A18</f>
        <v>16</v>
      </c>
      <c r="B17" s="36">
        <f ca="1">ArdiData!C18</f>
        <v>1920</v>
      </c>
      <c r="C17" s="49">
        <f t="shared" ca="1" si="0"/>
        <v>1782.5468166436576</v>
      </c>
      <c r="D17" s="26">
        <f t="shared" ca="1" si="1"/>
        <v>137.45318335634238</v>
      </c>
      <c r="E17" s="26">
        <f t="shared" ca="1" si="2"/>
        <v>137.45318335634238</v>
      </c>
      <c r="F17" s="45">
        <f ca="1">SUM($E$2:E17)/COUNT($E$2:E17)</f>
        <v>142.2408848997494</v>
      </c>
      <c r="G17" s="26">
        <f t="shared" ca="1" si="3"/>
        <v>18893.377614792276</v>
      </c>
      <c r="H17" s="27">
        <f ca="1">SQRT(SUM($G$2:G17)/(COUNT($G$2:G17)-1))</f>
        <v>155.59694326969861</v>
      </c>
    </row>
    <row r="18" spans="1:8" x14ac:dyDescent="0.2">
      <c r="A18" s="59">
        <f>ArdiData!A19</f>
        <v>17</v>
      </c>
      <c r="B18" s="36">
        <f ca="1">ArdiData!C19</f>
        <v>1922</v>
      </c>
      <c r="C18" s="49">
        <f t="shared" ca="1" si="0"/>
        <v>1833.0405789845158</v>
      </c>
      <c r="D18" s="26">
        <f t="shared" ca="1" si="1"/>
        <v>88.959421015484168</v>
      </c>
      <c r="E18" s="26">
        <f t="shared" ca="1" si="2"/>
        <v>88.959421015484168</v>
      </c>
      <c r="F18" s="45">
        <f ca="1">SUM($E$2:E18)/COUNT($E$2:E18)</f>
        <v>139.10668114185145</v>
      </c>
      <c r="G18" s="26">
        <f t="shared" ca="1" si="3"/>
        <v>7913.7785874101664</v>
      </c>
      <c r="H18" s="27">
        <f ca="1">SQRT(SUM($G$2:G18)/(COUNT($G$2:G18)-1))</f>
        <v>152.28876967592632</v>
      </c>
    </row>
    <row r="19" spans="1:8" x14ac:dyDescent="0.2">
      <c r="A19" s="59">
        <f>ArdiData!A20</f>
        <v>18</v>
      </c>
      <c r="B19" s="36">
        <f ca="1">ArdiData!C20</f>
        <v>1935</v>
      </c>
      <c r="C19" s="49">
        <f t="shared" ca="1" si="0"/>
        <v>1865.7200393873436</v>
      </c>
      <c r="D19" s="26">
        <f t="shared" ca="1" si="1"/>
        <v>69.279960612656396</v>
      </c>
      <c r="E19" s="26">
        <f t="shared" ca="1" si="2"/>
        <v>69.279960612656396</v>
      </c>
      <c r="F19" s="45">
        <f ca="1">SUM($E$2:E19)/COUNT($E$2:E19)</f>
        <v>135.2274188902295</v>
      </c>
      <c r="G19" s="26">
        <f t="shared" ca="1" si="3"/>
        <v>4799.7129424912218</v>
      </c>
      <c r="H19" s="27">
        <f ca="1">SQRT(SUM($G$2:G19)/(COUNT($G$2:G19)-1))</f>
        <v>148.69424270926854</v>
      </c>
    </row>
    <row r="20" spans="1:8" x14ac:dyDescent="0.2">
      <c r="A20" s="59">
        <f>ArdiData!A21</f>
        <v>19</v>
      </c>
      <c r="B20" s="36">
        <f ca="1">ArdiData!C21</f>
        <v>1991</v>
      </c>
      <c r="C20" s="49">
        <f t="shared" ca="1" si="0"/>
        <v>1891.1702019862739</v>
      </c>
      <c r="D20" s="26">
        <f t="shared" ca="1" si="1"/>
        <v>99.829798013726077</v>
      </c>
      <c r="E20" s="26">
        <f t="shared" ca="1" si="2"/>
        <v>99.829798013726077</v>
      </c>
      <c r="F20" s="45">
        <f ca="1">SUM($E$2:E20)/COUNT($E$2:E20)</f>
        <v>133.36438621251881</v>
      </c>
      <c r="G20" s="26">
        <f t="shared" ca="1" si="3"/>
        <v>9965.9885714613465</v>
      </c>
      <c r="H20" s="27">
        <f ca="1">SQRT(SUM($G$2:G20)/(COUNT($G$2:G20)-1))</f>
        <v>146.40803169841428</v>
      </c>
    </row>
    <row r="21" spans="1:8" x14ac:dyDescent="0.2">
      <c r="A21" s="59">
        <f>ArdiData!A22</f>
        <v>20</v>
      </c>
      <c r="B21" s="36">
        <f ca="1">ArdiData!C22</f>
        <v>2133</v>
      </c>
      <c r="C21" s="49">
        <f t="shared" ca="1" si="0"/>
        <v>1927.8429219070117</v>
      </c>
      <c r="D21" s="26">
        <f t="shared" ca="1" si="1"/>
        <v>205.15707809298829</v>
      </c>
      <c r="E21" s="26">
        <f t="shared" ca="1" si="2"/>
        <v>205.15707809298829</v>
      </c>
      <c r="F21" s="45">
        <f ca="1">SUM($E$2:E21)/COUNT($E$2:E21)</f>
        <v>136.95402080654227</v>
      </c>
      <c r="G21" s="26">
        <f t="shared" ca="1" si="3"/>
        <v>42089.426691652494</v>
      </c>
      <c r="H21" s="27">
        <f ca="1">SQRT(SUM($G$2:G21)/(COUNT($G$2:G21)-1))</f>
        <v>150.07454956508894</v>
      </c>
    </row>
    <row r="22" spans="1:8" x14ac:dyDescent="0.2">
      <c r="A22" s="59">
        <f>ArdiData!A23</f>
        <v>21</v>
      </c>
      <c r="B22" s="36">
        <f ca="1">ArdiData!C23</f>
        <v>2139</v>
      </c>
      <c r="C22" s="49">
        <f t="shared" ca="1" si="0"/>
        <v>2003.2078752010839</v>
      </c>
      <c r="D22" s="26">
        <f t="shared" ca="1" si="1"/>
        <v>135.79212479891612</v>
      </c>
      <c r="E22" s="26">
        <f t="shared" ca="1" si="2"/>
        <v>135.79212479891612</v>
      </c>
      <c r="F22" s="45">
        <f ca="1">SUM($E$2:E22)/COUNT($E$2:E22)</f>
        <v>136.89869242522676</v>
      </c>
      <c r="G22" s="26">
        <f t="shared" ca="1" si="3"/>
        <v>18439.501157404411</v>
      </c>
      <c r="H22" s="27">
        <f ca="1">SQRT(SUM($G$2:G22)/(COUNT($G$2:G22)-1))</f>
        <v>149.39286115365869</v>
      </c>
    </row>
    <row r="23" spans="1:8" x14ac:dyDescent="0.2">
      <c r="A23" s="59">
        <f>ArdiData!A24</f>
        <v>22</v>
      </c>
      <c r="B23" s="36">
        <f ca="1">ArdiData!C24</f>
        <v>2146</v>
      </c>
      <c r="C23" s="49">
        <f t="shared" ca="1" si="0"/>
        <v>2053.0914436272951</v>
      </c>
      <c r="D23" s="26">
        <f t="shared" ca="1" si="1"/>
        <v>92.908556372704879</v>
      </c>
      <c r="E23" s="26">
        <f t="shared" ca="1" si="2"/>
        <v>92.908556372704879</v>
      </c>
      <c r="F23" s="45">
        <f ca="1">SUM($E$2:E23)/COUNT($E$2:E23)</f>
        <v>134.89914078647575</v>
      </c>
      <c r="G23" s="26">
        <f t="shared" ca="1" si="3"/>
        <v>8631.9998472600801</v>
      </c>
      <c r="H23" s="27">
        <f ca="1">SQRT(SUM($G$2:G23)/(COUNT($G$2:G23)-1))</f>
        <v>147.19545462715422</v>
      </c>
    </row>
    <row r="24" spans="1:8" x14ac:dyDescent="0.2">
      <c r="A24" s="59">
        <f>ArdiData!A25</f>
        <v>23</v>
      </c>
      <c r="B24" s="36">
        <f ca="1">ArdiData!C25</f>
        <v>2190</v>
      </c>
      <c r="C24" s="49">
        <f t="shared" ca="1" si="0"/>
        <v>2087.2216285409004</v>
      </c>
      <c r="D24" s="26">
        <f t="shared" ca="1" si="1"/>
        <v>102.77837145909962</v>
      </c>
      <c r="E24" s="26">
        <f t="shared" ca="1" si="2"/>
        <v>102.77837145909962</v>
      </c>
      <c r="F24" s="45">
        <f ca="1">SUM($E$2:E24)/COUNT($E$2:E24)</f>
        <v>133.50258559832898</v>
      </c>
      <c r="G24" s="26">
        <f t="shared" ca="1" si="3"/>
        <v>10563.393639784663</v>
      </c>
      <c r="H24" s="27">
        <f ca="1">SQRT(SUM($G$2:G24)/(COUNT($G$2:G24)-1))</f>
        <v>145.47101128912428</v>
      </c>
    </row>
    <row r="25" spans="1:8" x14ac:dyDescent="0.2">
      <c r="A25" s="59">
        <f>ArdiData!A26</f>
        <v>24</v>
      </c>
      <c r="B25" s="36">
        <f ca="1">ArdiData!C26</f>
        <v>2203</v>
      </c>
      <c r="C25" s="49">
        <f t="shared" ca="1" si="0"/>
        <v>2124.9775141123696</v>
      </c>
      <c r="D25" s="26">
        <f t="shared" ca="1" si="1"/>
        <v>78.02248588763041</v>
      </c>
      <c r="E25" s="26">
        <f t="shared" ca="1" si="2"/>
        <v>78.02248588763041</v>
      </c>
      <c r="F25" s="45">
        <f ca="1">SUM($E$2:E25)/COUNT($E$2:E25)</f>
        <v>131.19091477704987</v>
      </c>
      <c r="G25" s="26">
        <f t="shared" ca="1" si="3"/>
        <v>6087.5083040854861</v>
      </c>
      <c r="H25" s="27">
        <f ca="1">SQRT(SUM($G$2:G25)/(COUNT($G$2:G25)-1))</f>
        <v>143.20059525390263</v>
      </c>
    </row>
    <row r="26" spans="1:8" x14ac:dyDescent="0.2">
      <c r="A26" s="59">
        <f>ArdiData!A27</f>
        <v>25</v>
      </c>
      <c r="B26" s="36">
        <f ca="1">ArdiData!C27</f>
        <v>2301</v>
      </c>
      <c r="C26" s="49">
        <f t="shared" ca="1" si="0"/>
        <v>2153.6392647059488</v>
      </c>
      <c r="D26" s="26">
        <f t="shared" ca="1" si="1"/>
        <v>147.36073529405121</v>
      </c>
      <c r="E26" s="26">
        <f t="shared" ca="1" si="2"/>
        <v>147.36073529405121</v>
      </c>
      <c r="F26" s="45">
        <f ca="1">SUM($E$2:E26)/COUNT($E$2:E26)</f>
        <v>131.83770759772992</v>
      </c>
      <c r="G26" s="26">
        <f t="shared" ca="1" si="3"/>
        <v>21715.18630640343</v>
      </c>
      <c r="H26" s="27">
        <f ca="1">SQRT(SUM($G$2:G26)/(COUNT($G$2:G26)-1))</f>
        <v>143.37634442424891</v>
      </c>
    </row>
    <row r="27" spans="1:8" x14ac:dyDescent="0.2">
      <c r="A27" s="59">
        <f>ArdiData!A28</f>
        <v>26</v>
      </c>
      <c r="B27" s="36">
        <f ca="1">ArdiData!C28</f>
        <v>2379</v>
      </c>
      <c r="C27" s="49">
        <f t="shared" ca="1" si="0"/>
        <v>2207.7725904290933</v>
      </c>
      <c r="D27" s="26">
        <f t="shared" ca="1" si="1"/>
        <v>171.22740957090673</v>
      </c>
      <c r="E27" s="26">
        <f t="shared" ca="1" si="2"/>
        <v>171.22740957090673</v>
      </c>
      <c r="F27" s="45">
        <f ca="1">SUM($E$2:E27)/COUNT($E$2:E27)</f>
        <v>133.35269613515979</v>
      </c>
      <c r="G27" s="26">
        <f t="shared" ca="1" si="3"/>
        <v>29318.825788363043</v>
      </c>
      <c r="H27" s="27">
        <f ca="1">SQRT(SUM($G$2:G27)/(COUNT($G$2:G27)-1))</f>
        <v>144.59342352395194</v>
      </c>
    </row>
    <row r="28" spans="1:8" x14ac:dyDescent="0.2">
      <c r="A28" s="59">
        <f>ArdiData!A29</f>
        <v>27</v>
      </c>
      <c r="B28" s="36">
        <f ca="1">ArdiData!C29</f>
        <v>2428</v>
      </c>
      <c r="C28" s="49">
        <f t="shared" ca="1" si="0"/>
        <v>2270.673397191058</v>
      </c>
      <c r="D28" s="26">
        <f t="shared" ca="1" si="1"/>
        <v>157.32660280894197</v>
      </c>
      <c r="E28" s="26">
        <f t="shared" ca="1" si="2"/>
        <v>157.32660280894197</v>
      </c>
      <c r="F28" s="45">
        <f ca="1">SUM($E$2:E28)/COUNT($E$2:E28)</f>
        <v>134.24061860455913</v>
      </c>
      <c r="G28" s="26">
        <f t="shared" ca="1" si="3"/>
        <v>24751.659951402587</v>
      </c>
      <c r="H28" s="27">
        <f ca="1">SQRT(SUM($G$2:G28)/(COUNT($G$2:G28)-1))</f>
        <v>145.10382398486877</v>
      </c>
    </row>
    <row r="29" spans="1:8" x14ac:dyDescent="0.2">
      <c r="A29" s="59">
        <f>ArdiData!A30</f>
        <v>28</v>
      </c>
      <c r="B29" s="36">
        <f ca="1">ArdiData!C30</f>
        <v>2435</v>
      </c>
      <c r="C29" s="49">
        <f t="shared" ca="1" si="0"/>
        <v>2328.4677086660768</v>
      </c>
      <c r="D29" s="26">
        <f t="shared" ca="1" si="1"/>
        <v>106.53229133392324</v>
      </c>
      <c r="E29" s="26">
        <f t="shared" ca="1" si="2"/>
        <v>106.53229133392324</v>
      </c>
      <c r="F29" s="45">
        <f ca="1">SUM($E$2:E29)/COUNT($E$2:E29)</f>
        <v>133.2510354877507</v>
      </c>
      <c r="G29" s="26">
        <f t="shared" ca="1" si="3"/>
        <v>11349.129096855897</v>
      </c>
      <c r="H29" s="27">
        <f ca="1">SQRT(SUM($G$2:G29)/(COUNT($G$2:G29)-1))</f>
        <v>143.85978798915463</v>
      </c>
    </row>
    <row r="30" spans="1:8" x14ac:dyDescent="0.2">
      <c r="A30" s="59">
        <f>ArdiData!A31</f>
        <v>29</v>
      </c>
      <c r="B30" s="36">
        <f ca="1">ArdiData!C31</f>
        <v>2462</v>
      </c>
      <c r="C30" s="49">
        <f t="shared" ca="1" si="0"/>
        <v>2367.6026058644688</v>
      </c>
      <c r="D30" s="26">
        <f t="shared" ca="1" si="1"/>
        <v>94.397394135531158</v>
      </c>
      <c r="E30" s="26">
        <f t="shared" ca="1" si="2"/>
        <v>94.397394135531158</v>
      </c>
      <c r="F30" s="45">
        <f ca="1">SUM($E$2:E30)/COUNT($E$2:E30)</f>
        <v>131.91125475146728</v>
      </c>
      <c r="G30" s="26">
        <f t="shared" ca="1" si="3"/>
        <v>8910.8680195788129</v>
      </c>
      <c r="H30" s="27">
        <f ca="1">SQRT(SUM($G$2:G30)/(COUNT($G$2:G30)-1))</f>
        <v>142.38944461120664</v>
      </c>
    </row>
    <row r="31" spans="1:8" x14ac:dyDescent="0.2">
      <c r="A31" s="59">
        <f>ArdiData!A32</f>
        <v>30</v>
      </c>
      <c r="B31" s="36">
        <f ca="1">ArdiData!C32</f>
        <v>2463</v>
      </c>
      <c r="C31" s="49">
        <f t="shared" ca="1" si="0"/>
        <v>2402.2797189635444</v>
      </c>
      <c r="D31" s="26">
        <f t="shared" ca="1" si="1"/>
        <v>60.720281036455617</v>
      </c>
      <c r="E31" s="26">
        <f t="shared" ca="1" si="2"/>
        <v>60.720281036455617</v>
      </c>
      <c r="F31" s="45">
        <f ca="1">SUM($E$2:E31)/COUNT($E$2:E31)</f>
        <v>129.53822229430023</v>
      </c>
      <c r="G31" s="26">
        <f t="shared" ca="1" si="3"/>
        <v>3686.9525291461518</v>
      </c>
      <c r="H31" s="27">
        <f ca="1">SQRT(SUM($G$2:G31)/(COUNT($G$2:G31)-1))</f>
        <v>140.36652301992697</v>
      </c>
    </row>
    <row r="32" spans="1:8" x14ac:dyDescent="0.2">
      <c r="A32" s="59">
        <f>ArdiData!A33</f>
        <v>31</v>
      </c>
      <c r="B32" s="36">
        <f ca="1">ArdiData!C33</f>
        <v>2493</v>
      </c>
      <c r="C32" s="49">
        <f t="shared" ca="1" si="0"/>
        <v>2424.5854623814794</v>
      </c>
      <c r="D32" s="26">
        <f t="shared" ca="1" si="1"/>
        <v>68.414537618520626</v>
      </c>
      <c r="E32" s="26">
        <f t="shared" ca="1" si="2"/>
        <v>68.414537618520626</v>
      </c>
      <c r="F32" s="45">
        <f ca="1">SUM($E$2:E32)/COUNT($E$2:E32)</f>
        <v>127.56649053056539</v>
      </c>
      <c r="G32" s="26">
        <f t="shared" ca="1" si="3"/>
        <v>4680.5489575559741</v>
      </c>
      <c r="H32" s="27">
        <f ca="1">SQRT(SUM($G$2:G32)/(COUNT($G$2:G32)-1))</f>
        <v>138.57135486984831</v>
      </c>
    </row>
    <row r="33" spans="1:8" x14ac:dyDescent="0.2">
      <c r="A33" s="59">
        <f>ArdiData!A34</f>
        <v>32</v>
      </c>
      <c r="B33" s="36">
        <f ca="1">ArdiData!C34</f>
        <v>2511</v>
      </c>
      <c r="C33" s="49">
        <f t="shared" ca="1" si="0"/>
        <v>2449.7177097315725</v>
      </c>
      <c r="D33" s="26">
        <f t="shared" ca="1" si="1"/>
        <v>61.28229026842746</v>
      </c>
      <c r="E33" s="26">
        <f t="shared" ca="1" si="2"/>
        <v>61.28229026842746</v>
      </c>
      <c r="F33" s="45">
        <f ca="1">SUM($E$2:E33)/COUNT($E$2:E33)</f>
        <v>125.49510927237358</v>
      </c>
      <c r="G33" s="26">
        <f t="shared" ca="1" si="3"/>
        <v>3755.5191005437987</v>
      </c>
      <c r="H33" s="27">
        <f ca="1">SQRT(SUM($G$2:G33)/(COUNT($G$2:G33)-1))</f>
        <v>136.7616399262113</v>
      </c>
    </row>
    <row r="34" spans="1:8" x14ac:dyDescent="0.2">
      <c r="A34" s="59">
        <f>ArdiData!A35</f>
        <v>33</v>
      </c>
      <c r="B34" s="36">
        <f ca="1">ArdiData!C35</f>
        <v>2636</v>
      </c>
      <c r="C34" s="49">
        <f t="shared" ca="1" si="0"/>
        <v>2472.2299086123758</v>
      </c>
      <c r="D34" s="26">
        <f t="shared" ca="1" si="1"/>
        <v>163.77009138762423</v>
      </c>
      <c r="E34" s="26">
        <f t="shared" ca="1" si="2"/>
        <v>163.77009138762423</v>
      </c>
      <c r="F34" s="45">
        <f ca="1">SUM($E$2:E34)/COUNT($E$2:E34)</f>
        <v>126.65495721525997</v>
      </c>
      <c r="G34" s="26">
        <f t="shared" ca="1" si="3"/>
        <v>26820.642833110793</v>
      </c>
      <c r="H34" s="27">
        <f ca="1">SQRT(SUM($G$2:G34)/(COUNT($G$2:G34)-1))</f>
        <v>137.68587137570816</v>
      </c>
    </row>
    <row r="35" spans="1:8" x14ac:dyDescent="0.2">
      <c r="A35" s="59">
        <f>ArdiData!A36</f>
        <v>34</v>
      </c>
      <c r="B35" s="36">
        <f ca="1">ArdiData!C36</f>
        <v>2736</v>
      </c>
      <c r="C35" s="49">
        <f t="shared" ref="C35:C66" ca="1" si="4">$J$1*B34+(1-$J$1)*C34</f>
        <v>2532.3912513411892</v>
      </c>
      <c r="D35" s="26">
        <f t="shared" ca="1" si="1"/>
        <v>203.60874865881078</v>
      </c>
      <c r="E35" s="26">
        <f t="shared" ca="1" si="2"/>
        <v>203.60874865881078</v>
      </c>
      <c r="F35" s="45">
        <f ca="1">SUM($E$2:E35)/COUNT($E$2:E35)</f>
        <v>128.91830402242323</v>
      </c>
      <c r="G35" s="26">
        <f t="shared" ca="1" si="3"/>
        <v>41456.522530406779</v>
      </c>
      <c r="H35" s="27">
        <f ca="1">SQRT(SUM($G$2:G35)/(COUNT($G$2:G35)-1))</f>
        <v>140.1398972215745</v>
      </c>
    </row>
    <row r="36" spans="1:8" x14ac:dyDescent="0.2">
      <c r="A36" s="59">
        <f>ArdiData!A37</f>
        <v>35</v>
      </c>
      <c r="B36" s="36">
        <f ca="1">ArdiData!C37</f>
        <v>2906</v>
      </c>
      <c r="C36" s="49">
        <f t="shared" ca="1" si="4"/>
        <v>2607.1874220391387</v>
      </c>
      <c r="D36" s="26">
        <f t="shared" ca="1" si="1"/>
        <v>298.81257796086129</v>
      </c>
      <c r="E36" s="26">
        <f t="shared" ca="1" si="2"/>
        <v>298.81257796086129</v>
      </c>
      <c r="F36" s="45">
        <f ca="1">SUM($E$2:E36)/COUNT($E$2:E36)</f>
        <v>133.77242613495005</v>
      </c>
      <c r="G36" s="26">
        <f t="shared" ca="1" si="3"/>
        <v>89288.956747615812</v>
      </c>
      <c r="H36" s="27">
        <f ca="1">SQRT(SUM($G$2:G36)/(COUNT($G$2:G36)-1))</f>
        <v>147.26748901689862</v>
      </c>
    </row>
    <row r="37" spans="1:8" x14ac:dyDescent="0.2">
      <c r="A37" s="59">
        <f>ArdiData!A38</f>
        <v>36</v>
      </c>
      <c r="B37" s="36">
        <f ca="1">ArdiData!C38</f>
        <v>2919</v>
      </c>
      <c r="C37" s="49">
        <f t="shared" ca="1" si="4"/>
        <v>2716.956951762575</v>
      </c>
      <c r="D37" s="26">
        <f t="shared" ca="1" si="1"/>
        <v>202.04304823742496</v>
      </c>
      <c r="E37" s="26">
        <f t="shared" ca="1" si="2"/>
        <v>202.04304823742496</v>
      </c>
      <c r="F37" s="45">
        <f ca="1">SUM($E$2:E37)/COUNT($E$2:E37)</f>
        <v>135.66883230446325</v>
      </c>
      <c r="G37" s="26">
        <f t="shared" ca="1" si="3"/>
        <v>40821.393341070427</v>
      </c>
      <c r="H37" s="27">
        <f ca="1">SQRT(SUM($G$2:G37)/(COUNT($G$2:G37)-1))</f>
        <v>149.11200452456734</v>
      </c>
    </row>
    <row r="38" spans="1:8" x14ac:dyDescent="0.2">
      <c r="A38" s="59">
        <f>ArdiData!A39</f>
        <v>37</v>
      </c>
      <c r="B38" s="36">
        <f ca="1">ArdiData!C39</f>
        <v>2934</v>
      </c>
      <c r="C38" s="49">
        <f t="shared" ca="1" si="4"/>
        <v>2791.1779585898598</v>
      </c>
      <c r="D38" s="26">
        <f t="shared" ca="1" si="1"/>
        <v>142.82204141014017</v>
      </c>
      <c r="E38" s="26">
        <f t="shared" ca="1" si="2"/>
        <v>142.82204141014017</v>
      </c>
      <c r="F38" s="45">
        <f ca="1">SUM($E$2:E38)/COUNT($E$2:E38)</f>
        <v>135.86216228029235</v>
      </c>
      <c r="G38" s="26">
        <f t="shared" ca="1" si="3"/>
        <v>20398.135512559795</v>
      </c>
      <c r="H38" s="27">
        <f ca="1">SQRT(SUM($G$2:G38)/(COUNT($G$2:G38)-1))</f>
        <v>148.94087023782947</v>
      </c>
    </row>
    <row r="39" spans="1:8" x14ac:dyDescent="0.2">
      <c r="A39" s="59">
        <f>ArdiData!A40</f>
        <v>38</v>
      </c>
      <c r="B39" s="36">
        <f ca="1">ArdiData!C40</f>
        <v>2991</v>
      </c>
      <c r="C39" s="49">
        <f t="shared" ca="1" si="4"/>
        <v>2843.6439840387138</v>
      </c>
      <c r="D39" s="26">
        <f t="shared" ca="1" si="1"/>
        <v>147.35601596128618</v>
      </c>
      <c r="E39" s="26">
        <f t="shared" ca="1" si="2"/>
        <v>147.35601596128618</v>
      </c>
      <c r="F39" s="45">
        <f ca="1">SUM($E$2:E39)/COUNT($E$2:E39)</f>
        <v>136.1646321140027</v>
      </c>
      <c r="G39" s="26">
        <f t="shared" ca="1" si="3"/>
        <v>21713.795439982827</v>
      </c>
      <c r="H39" s="27">
        <f ca="1">SQRT(SUM($G$2:G39)/(COUNT($G$2:G39)-1))</f>
        <v>148.8982581368769</v>
      </c>
    </row>
    <row r="40" spans="1:8" x14ac:dyDescent="0.2">
      <c r="A40" s="59">
        <f>ArdiData!A41</f>
        <v>39</v>
      </c>
      <c r="B40" s="36">
        <f ca="1">ArdiData!C41</f>
        <v>3073</v>
      </c>
      <c r="C40" s="49">
        <f t="shared" ca="1" si="4"/>
        <v>2897.77557610345</v>
      </c>
      <c r="D40" s="26">
        <f t="shared" ca="1" si="1"/>
        <v>175.22442389654998</v>
      </c>
      <c r="E40" s="26">
        <f t="shared" ca="1" si="2"/>
        <v>175.22442389654998</v>
      </c>
      <c r="F40" s="45">
        <f ca="1">SUM($E$2:E40)/COUNT($E$2:E40)</f>
        <v>137.16616523663214</v>
      </c>
      <c r="G40" s="26">
        <f t="shared" ca="1" si="3"/>
        <v>30703.598729877835</v>
      </c>
      <c r="H40" s="27">
        <f ca="1">SQRT(SUM($G$2:G40)/(COUNT($G$2:G40)-1))</f>
        <v>149.6503975014619</v>
      </c>
    </row>
    <row r="41" spans="1:8" x14ac:dyDescent="0.2">
      <c r="A41" s="59">
        <f>ArdiData!A42</f>
        <v>40</v>
      </c>
      <c r="B41" s="36">
        <f ca="1">ArdiData!C42</f>
        <v>3114</v>
      </c>
      <c r="C41" s="49">
        <f t="shared" ca="1" si="4"/>
        <v>2962.1446958320839</v>
      </c>
      <c r="D41" s="26">
        <f t="shared" ca="1" si="1"/>
        <v>151.85530416791607</v>
      </c>
      <c r="E41" s="26">
        <f t="shared" ca="1" si="2"/>
        <v>151.85530416791607</v>
      </c>
      <c r="F41" s="45">
        <f ca="1">SUM($E$2:E41)/COUNT($E$2:E41)</f>
        <v>137.53339370991424</v>
      </c>
      <c r="G41" s="26">
        <f t="shared" ca="1" si="3"/>
        <v>23060.033403930309</v>
      </c>
      <c r="H41" s="27">
        <f ca="1">SQRT(SUM($G$2:G41)/(COUNT($G$2:G41)-1))</f>
        <v>149.7073392299431</v>
      </c>
    </row>
    <row r="42" spans="1:8" x14ac:dyDescent="0.2">
      <c r="A42" s="59">
        <f>ArdiData!A43</f>
        <v>41</v>
      </c>
      <c r="B42" s="36">
        <f ca="1">ArdiData!C43</f>
        <v>3146</v>
      </c>
      <c r="C42" s="49">
        <f t="shared" ca="1" si="4"/>
        <v>3017.9291123993971</v>
      </c>
      <c r="D42" s="26">
        <f t="shared" ca="1" si="1"/>
        <v>128.07088760060287</v>
      </c>
      <c r="E42" s="26">
        <f t="shared" ca="1" si="2"/>
        <v>128.07088760060287</v>
      </c>
      <c r="F42" s="45">
        <f ca="1">SUM($E$2:E42)/COUNT($E$2:E42)</f>
        <v>137.30260087797981</v>
      </c>
      <c r="G42" s="26">
        <f t="shared" ca="1" si="3"/>
        <v>16402.152250806255</v>
      </c>
      <c r="H42" s="27">
        <f ca="1">SQRT(SUM($G$2:G42)/(COUNT($G$2:G42)-1))</f>
        <v>149.20467164300416</v>
      </c>
    </row>
    <row r="43" spans="1:8" x14ac:dyDescent="0.2">
      <c r="A43" s="59">
        <f>ArdiData!A44</f>
        <v>42</v>
      </c>
      <c r="B43" s="36">
        <f ca="1">ArdiData!C44</f>
        <v>3167</v>
      </c>
      <c r="C43" s="49">
        <f t="shared" ca="1" si="4"/>
        <v>3064.9762654982287</v>
      </c>
      <c r="D43" s="26">
        <f t="shared" ca="1" si="1"/>
        <v>102.02373450177129</v>
      </c>
      <c r="E43" s="26">
        <f t="shared" ca="1" si="2"/>
        <v>102.02373450177129</v>
      </c>
      <c r="F43" s="45">
        <f ca="1">SUM($E$2:E43)/COUNT($E$2:E43)</f>
        <v>136.46262786902247</v>
      </c>
      <c r="G43" s="26">
        <f t="shared" ca="1" si="3"/>
        <v>10408.842401687916</v>
      </c>
      <c r="H43" s="27">
        <f ca="1">SQRT(SUM($G$2:G43)/(COUNT($G$2:G43)-1))</f>
        <v>148.23269479103976</v>
      </c>
    </row>
    <row r="44" spans="1:8" x14ac:dyDescent="0.2">
      <c r="A44" s="59">
        <f>ArdiData!A45</f>
        <v>43</v>
      </c>
      <c r="B44" s="36">
        <f ca="1">ArdiData!C45</f>
        <v>3172</v>
      </c>
      <c r="C44" s="49">
        <f t="shared" ca="1" si="4"/>
        <v>3102.4549333418395</v>
      </c>
      <c r="D44" s="26">
        <f t="shared" ca="1" si="1"/>
        <v>69.545066658160522</v>
      </c>
      <c r="E44" s="26">
        <f t="shared" ca="1" si="2"/>
        <v>69.545066658160522</v>
      </c>
      <c r="F44" s="45">
        <f ca="1">SUM($E$2:E44)/COUNT($E$2:E44)</f>
        <v>134.90640551528148</v>
      </c>
      <c r="G44" s="26">
        <f t="shared" ca="1" si="3"/>
        <v>4836.5162964879901</v>
      </c>
      <c r="H44" s="27">
        <f ca="1">SQRT(SUM($G$2:G44)/(COUNT($G$2:G44)-1))</f>
        <v>146.84999799779845</v>
      </c>
    </row>
    <row r="45" spans="1:8" x14ac:dyDescent="0.2">
      <c r="A45" s="59">
        <f>ArdiData!A46</f>
        <v>44</v>
      </c>
      <c r="B45" s="36">
        <f ca="1">ArdiData!C46</f>
        <v>3247</v>
      </c>
      <c r="C45" s="49">
        <f t="shared" ca="1" si="4"/>
        <v>3128.0024832935396</v>
      </c>
      <c r="D45" s="26">
        <f t="shared" ca="1" si="1"/>
        <v>118.99751670646037</v>
      </c>
      <c r="E45" s="26">
        <f t="shared" ca="1" si="2"/>
        <v>118.99751670646037</v>
      </c>
      <c r="F45" s="45">
        <f ca="1">SUM($E$2:E45)/COUNT($E$2:E45)</f>
        <v>134.54483986053555</v>
      </c>
      <c r="G45" s="26">
        <f t="shared" ca="1" si="3"/>
        <v>14160.408982304316</v>
      </c>
      <c r="H45" s="27">
        <f ca="1">SQRT(SUM($G$2:G45)/(COUNT($G$2:G45)-1))</f>
        <v>146.26251719714554</v>
      </c>
    </row>
    <row r="46" spans="1:8" x14ac:dyDescent="0.2">
      <c r="A46" s="59">
        <f>ArdiData!A47</f>
        <v>45</v>
      </c>
      <c r="B46" s="36">
        <f ca="1">ArdiData!C47</f>
        <v>3325</v>
      </c>
      <c r="C46" s="49">
        <f t="shared" ca="1" si="4"/>
        <v>3171.7165114521395</v>
      </c>
      <c r="D46" s="26">
        <f t="shared" ca="1" si="1"/>
        <v>153.28348854786054</v>
      </c>
      <c r="E46" s="26">
        <f t="shared" ca="1" si="2"/>
        <v>153.28348854786054</v>
      </c>
      <c r="F46" s="45">
        <f ca="1">SUM($E$2:E46)/COUNT($E$2:E46)</f>
        <v>134.96125427580944</v>
      </c>
      <c r="G46" s="26">
        <f t="shared" ca="1" si="3"/>
        <v>23495.827861402093</v>
      </c>
      <c r="H46" s="27">
        <f ca="1">SQRT(SUM($G$2:G46)/(COUNT($G$2:G46)-1))</f>
        <v>146.42582338273701</v>
      </c>
    </row>
    <row r="47" spans="1:8" x14ac:dyDescent="0.2">
      <c r="A47" s="59">
        <f>ArdiData!A48</f>
        <v>46</v>
      </c>
      <c r="B47" s="36">
        <f ca="1">ArdiData!C48</f>
        <v>3325</v>
      </c>
      <c r="C47" s="49">
        <f t="shared" ca="1" si="4"/>
        <v>3228.025575036706</v>
      </c>
      <c r="D47" s="26">
        <f t="shared" ca="1" si="1"/>
        <v>96.974424963294041</v>
      </c>
      <c r="E47" s="26">
        <f t="shared" ca="1" si="2"/>
        <v>96.974424963294041</v>
      </c>
      <c r="F47" s="45">
        <f ca="1">SUM($E$2:E47)/COUNT($E$2:E47)</f>
        <v>134.13545363858083</v>
      </c>
      <c r="G47" s="26">
        <f t="shared" ca="1" si="3"/>
        <v>9404.0390969615473</v>
      </c>
      <c r="H47" s="27">
        <f ca="1">SQRT(SUM($G$2:G47)/(COUNT($G$2:G47)-1))</f>
        <v>145.5096022980928</v>
      </c>
    </row>
    <row r="48" spans="1:8" x14ac:dyDescent="0.2">
      <c r="A48" s="59">
        <f>ArdiData!A49</f>
        <v>47</v>
      </c>
      <c r="B48" s="36">
        <f ca="1">ArdiData!C49</f>
        <v>3431</v>
      </c>
      <c r="C48" s="49">
        <f t="shared" ca="1" si="4"/>
        <v>3263.6493666992365</v>
      </c>
      <c r="D48" s="26">
        <f t="shared" ca="1" si="1"/>
        <v>167.35063330076355</v>
      </c>
      <c r="E48" s="26">
        <f t="shared" ca="1" si="2"/>
        <v>167.35063330076355</v>
      </c>
      <c r="F48" s="45">
        <f ca="1">SUM($E$2:E48)/COUNT($E$2:E48)</f>
        <v>134.84215958884005</v>
      </c>
      <c r="G48" s="26">
        <f t="shared" ca="1" si="3"/>
        <v>28006.234466166628</v>
      </c>
      <c r="H48" s="27">
        <f ca="1">SQRT(SUM($G$2:G48)/(COUNT($G$2:G48)-1))</f>
        <v>146.01914933299716</v>
      </c>
    </row>
    <row r="49" spans="1:8" x14ac:dyDescent="0.2">
      <c r="A49" s="59">
        <f>ArdiData!A50</f>
        <v>48</v>
      </c>
      <c r="B49" s="36">
        <f ca="1">ArdiData!C50</f>
        <v>3557</v>
      </c>
      <c r="C49" s="49">
        <f t="shared" ca="1" si="4"/>
        <v>3325.126030237644</v>
      </c>
      <c r="D49" s="26">
        <f t="shared" ca="1" si="1"/>
        <v>231.87396976235596</v>
      </c>
      <c r="E49" s="26">
        <f t="shared" ca="1" si="2"/>
        <v>231.87396976235596</v>
      </c>
      <c r="F49" s="45">
        <f ca="1">SUM($E$2:E49)/COUNT($E$2:E49)</f>
        <v>136.86365563412161</v>
      </c>
      <c r="G49" s="26">
        <f t="shared" ca="1" si="3"/>
        <v>53765.537853353962</v>
      </c>
      <c r="H49" s="27">
        <f ca="1">SQRT(SUM($G$2:G49)/(COUNT($G$2:G49)-1))</f>
        <v>148.36404110435063</v>
      </c>
    </row>
    <row r="50" spans="1:8" x14ac:dyDescent="0.2">
      <c r="A50" s="59">
        <f>ArdiData!A51</f>
        <v>49</v>
      </c>
      <c r="B50" s="36">
        <f ca="1">ArdiData!C51</f>
        <v>3616</v>
      </c>
      <c r="C50" s="49">
        <f t="shared" ca="1" si="4"/>
        <v>3410.3054988852255</v>
      </c>
      <c r="D50" s="26">
        <f t="shared" ca="1" si="1"/>
        <v>205.69450111477454</v>
      </c>
      <c r="E50" s="26">
        <f t="shared" ca="1" si="2"/>
        <v>205.69450111477454</v>
      </c>
      <c r="F50" s="45">
        <f ca="1">SUM($E$2:E50)/COUNT($E$2:E50)</f>
        <v>138.26836676637984</v>
      </c>
      <c r="G50" s="26">
        <f t="shared" ca="1" si="3"/>
        <v>42310.227788855984</v>
      </c>
      <c r="H50" s="27">
        <f ca="1">SQRT(SUM($G$2:G50)/(COUNT($G$2:G50)-1))</f>
        <v>149.78241137501536</v>
      </c>
    </row>
    <row r="51" spans="1:8" x14ac:dyDescent="0.2">
      <c r="A51" s="59">
        <f>ArdiData!A52</f>
        <v>50</v>
      </c>
      <c r="B51" s="36">
        <f ca="1">ArdiData!C52</f>
        <v>3616</v>
      </c>
      <c r="C51" s="49">
        <f t="shared" ca="1" si="4"/>
        <v>3485.8678758378551</v>
      </c>
      <c r="D51" s="26">
        <f t="shared" ca="1" si="1"/>
        <v>130.13212416214492</v>
      </c>
      <c r="E51" s="26">
        <f t="shared" ca="1" si="2"/>
        <v>130.13212416214492</v>
      </c>
      <c r="F51" s="45">
        <f ca="1">SUM($E$2:E51)/COUNT($E$2:E51)</f>
        <v>138.10564191429515</v>
      </c>
      <c r="G51" s="26">
        <f t="shared" ca="1" si="3"/>
        <v>16934.3697389519</v>
      </c>
      <c r="H51" s="27">
        <f ca="1">SQRT(SUM($G$2:G51)/(COUNT($G$2:G51)-1))</f>
        <v>149.40722096105975</v>
      </c>
    </row>
    <row r="52" spans="1:8" x14ac:dyDescent="0.2">
      <c r="A52" s="59">
        <f>ArdiData!A53</f>
        <v>51</v>
      </c>
      <c r="B52" s="36">
        <f ca="1">ArdiData!C53</f>
        <v>3623</v>
      </c>
      <c r="C52" s="49">
        <f t="shared" ca="1" si="4"/>
        <v>3533.6722292177233</v>
      </c>
      <c r="D52" s="26">
        <f t="shared" ca="1" si="1"/>
        <v>89.32777078227673</v>
      </c>
      <c r="E52" s="26">
        <f t="shared" ca="1" si="2"/>
        <v>89.32777078227673</v>
      </c>
      <c r="F52" s="45">
        <f ca="1">SUM($E$2:E52)/COUNT($E$2:E52)</f>
        <v>137.14921306856931</v>
      </c>
      <c r="G52" s="26">
        <f t="shared" ca="1" si="3"/>
        <v>7979.4506329309725</v>
      </c>
      <c r="H52" s="27">
        <f ca="1">SQRT(SUM($G$2:G52)/(COUNT($G$2:G52)-1))</f>
        <v>148.44411855799277</v>
      </c>
    </row>
    <row r="53" spans="1:8" x14ac:dyDescent="0.2">
      <c r="A53" s="59">
        <f>ArdiData!A54</f>
        <v>52</v>
      </c>
      <c r="B53" s="36">
        <f ca="1">ArdiData!C54</f>
        <v>3623</v>
      </c>
      <c r="C53" s="49">
        <f t="shared" ca="1" si="4"/>
        <v>3566.4870038062872</v>
      </c>
      <c r="D53" s="26">
        <f t="shared" ca="1" si="1"/>
        <v>56.512996193712752</v>
      </c>
      <c r="E53" s="26">
        <f t="shared" ca="1" si="2"/>
        <v>56.512996193712752</v>
      </c>
      <c r="F53" s="45">
        <f ca="1">SUM($E$2:E53)/COUNT($E$2:E53)</f>
        <v>135.59851659020666</v>
      </c>
      <c r="G53" s="26">
        <f t="shared" ca="1" si="3"/>
        <v>3193.7187387905919</v>
      </c>
      <c r="H53" s="27">
        <f ca="1">SQRT(SUM($G$2:G53)/(COUNT($G$2:G53)-1))</f>
        <v>147.19445158592626</v>
      </c>
    </row>
    <row r="54" spans="1:8" x14ac:dyDescent="0.2">
      <c r="A54" s="59">
        <f>ArdiData!A55</f>
        <v>53</v>
      </c>
      <c r="B54" s="36">
        <f ca="1">ArdiData!C55</f>
        <v>3623</v>
      </c>
      <c r="C54" s="49">
        <f t="shared" ca="1" si="4"/>
        <v>3587.2471908699613</v>
      </c>
      <c r="D54" s="26">
        <f t="shared" ca="1" si="1"/>
        <v>35.752809130038713</v>
      </c>
      <c r="E54" s="26">
        <f t="shared" ca="1" si="2"/>
        <v>35.752809130038713</v>
      </c>
      <c r="F54" s="45">
        <f ca="1">SUM($E$2:E54)/COUNT($E$2:E54)</f>
        <v>133.71463531737331</v>
      </c>
      <c r="G54" s="26">
        <f t="shared" ca="1" si="3"/>
        <v>1278.2633606889797</v>
      </c>
      <c r="H54" s="27">
        <f ca="1">SQRT(SUM($G$2:G54)/(COUNT($G$2:G54)-1))</f>
        <v>145.85654166538288</v>
      </c>
    </row>
    <row r="55" spans="1:8" x14ac:dyDescent="0.2">
      <c r="A55" s="59">
        <f>ArdiData!A56</f>
        <v>54</v>
      </c>
      <c r="B55" s="36">
        <f ca="1">ArdiData!C56</f>
        <v>3638</v>
      </c>
      <c r="C55" s="49">
        <f t="shared" ca="1" si="4"/>
        <v>3600.3810725535168</v>
      </c>
      <c r="D55" s="26">
        <f t="shared" ca="1" si="1"/>
        <v>37.618927446483212</v>
      </c>
      <c r="E55" s="26">
        <f t="shared" ca="1" si="2"/>
        <v>37.618927446483212</v>
      </c>
      <c r="F55" s="45">
        <f ca="1">SUM($E$2:E55)/COUNT($E$2:E55)</f>
        <v>131.93508517161609</v>
      </c>
      <c r="G55" s="26">
        <f t="shared" ca="1" si="3"/>
        <v>1415.183702223768</v>
      </c>
      <c r="H55" s="27">
        <f ca="1">SQRT(SUM($G$2:G55)/(COUNT($G$2:G55)-1))</f>
        <v>144.5663641119227</v>
      </c>
    </row>
    <row r="56" spans="1:8" x14ac:dyDescent="0.2">
      <c r="A56" s="59">
        <f>ArdiData!A57</f>
        <v>55</v>
      </c>
      <c r="B56" s="36">
        <f ca="1">ArdiData!C57</f>
        <v>3683</v>
      </c>
      <c r="C56" s="49">
        <f t="shared" ca="1" si="4"/>
        <v>3614.2004773546141</v>
      </c>
      <c r="D56" s="26">
        <f t="shared" ca="1" si="1"/>
        <v>68.799522645385878</v>
      </c>
      <c r="E56" s="26">
        <f t="shared" ca="1" si="2"/>
        <v>68.799522645385878</v>
      </c>
      <c r="F56" s="45">
        <f ca="1">SUM($E$2:E56)/COUNT($E$2:E56)</f>
        <v>130.78716585295737</v>
      </c>
      <c r="G56" s="26">
        <f t="shared" ca="1" si="3"/>
        <v>4733.3743162329638</v>
      </c>
      <c r="H56" s="27">
        <f ca="1">SQRT(SUM($G$2:G56)/(COUNT($G$2:G56)-1))</f>
        <v>143.52721750149166</v>
      </c>
    </row>
    <row r="57" spans="1:8" x14ac:dyDescent="0.2">
      <c r="A57" s="59">
        <f>ArdiData!A58</f>
        <v>56</v>
      </c>
      <c r="B57" s="36">
        <f ca="1">ArdiData!C58</f>
        <v>3749</v>
      </c>
      <c r="C57" s="49">
        <f t="shared" ca="1" si="4"/>
        <v>3639.4741498938274</v>
      </c>
      <c r="D57" s="26">
        <f t="shared" ca="1" si="1"/>
        <v>109.52585010617258</v>
      </c>
      <c r="E57" s="26">
        <f t="shared" ca="1" si="2"/>
        <v>109.52585010617258</v>
      </c>
      <c r="F57" s="45">
        <f ca="1">SUM($E$2:E57)/COUNT($E$2:E57)</f>
        <v>130.4074995003362</v>
      </c>
      <c r="G57" s="26">
        <f t="shared" ca="1" si="3"/>
        <v>11995.911841479785</v>
      </c>
      <c r="H57" s="27">
        <f ca="1">SQRT(SUM($G$2:G57)/(COUNT($G$2:G57)-1))</f>
        <v>142.98119829877103</v>
      </c>
    </row>
    <row r="58" spans="1:8" x14ac:dyDescent="0.2">
      <c r="A58" s="59">
        <f>ArdiData!A59</f>
        <v>57</v>
      </c>
      <c r="B58" s="36">
        <f ca="1">ArdiData!C59</f>
        <v>3844</v>
      </c>
      <c r="C58" s="49">
        <f t="shared" ca="1" si="4"/>
        <v>3679.7087382125592</v>
      </c>
      <c r="D58" s="26">
        <f t="shared" ca="1" si="1"/>
        <v>164.29126178744082</v>
      </c>
      <c r="E58" s="26">
        <f t="shared" ca="1" si="2"/>
        <v>164.29126178744082</v>
      </c>
      <c r="F58" s="45">
        <f ca="1">SUM($E$2:E58)/COUNT($E$2:E58)</f>
        <v>131.00195147028541</v>
      </c>
      <c r="G58" s="26">
        <f t="shared" ca="1" si="3"/>
        <v>26991.618699709412</v>
      </c>
      <c r="H58" s="27">
        <f ca="1">SQRT(SUM($G$2:G58)/(COUNT($G$2:G58)-1))</f>
        <v>143.38950993846996</v>
      </c>
    </row>
    <row r="59" spans="1:8" x14ac:dyDescent="0.2">
      <c r="A59" s="59">
        <f>ArdiData!A60</f>
        <v>58</v>
      </c>
      <c r="B59" s="36">
        <f ca="1">ArdiData!C60</f>
        <v>3870</v>
      </c>
      <c r="C59" s="49">
        <f t="shared" ca="1" si="4"/>
        <v>3740.0615341595876</v>
      </c>
      <c r="D59" s="26">
        <f t="shared" ca="1" si="1"/>
        <v>129.93846584041239</v>
      </c>
      <c r="E59" s="26">
        <f t="shared" ca="1" si="2"/>
        <v>129.93846584041239</v>
      </c>
      <c r="F59" s="45">
        <f ca="1">SUM($E$2:E59)/COUNT($E$2:E59)</f>
        <v>130.98361551114968</v>
      </c>
      <c r="G59" s="26">
        <f t="shared" ca="1" si="3"/>
        <v>16884.004904960017</v>
      </c>
      <c r="H59" s="27">
        <f ca="1">SQRT(SUM($G$2:G59)/(COUNT($G$2:G59)-1))</f>
        <v>143.16441856089165</v>
      </c>
    </row>
    <row r="60" spans="1:8" x14ac:dyDescent="0.2">
      <c r="A60" s="59">
        <f>ArdiData!A61</f>
        <v>59</v>
      </c>
      <c r="B60" s="36">
        <f ca="1">ArdiData!C61</f>
        <v>3899</v>
      </c>
      <c r="C60" s="49">
        <f t="shared" ca="1" si="4"/>
        <v>3787.7947466823721</v>
      </c>
      <c r="D60" s="26">
        <f t="shared" ca="1" si="1"/>
        <v>111.20525331762792</v>
      </c>
      <c r="E60" s="26">
        <f t="shared" ca="1" si="2"/>
        <v>111.20525331762792</v>
      </c>
      <c r="F60" s="45">
        <f ca="1">SUM($E$2:E60)/COUNT($E$2:E60)</f>
        <v>130.64838903329337</v>
      </c>
      <c r="G60" s="26">
        <f t="shared" ca="1" si="3"/>
        <v>12366.608365437796</v>
      </c>
      <c r="H60" s="27">
        <f ca="1">SQRT(SUM($G$2:G60)/(COUNT($G$2:G60)-1))</f>
        <v>142.67406191135225</v>
      </c>
    </row>
    <row r="61" spans="1:8" x14ac:dyDescent="0.2">
      <c r="A61" s="59">
        <f>ArdiData!A62</f>
        <v>60</v>
      </c>
      <c r="B61" s="36">
        <f ca="1">ArdiData!C62</f>
        <v>4003</v>
      </c>
      <c r="C61" s="49">
        <f t="shared" ca="1" si="4"/>
        <v>3828.646267869176</v>
      </c>
      <c r="D61" s="26">
        <f t="shared" ca="1" si="1"/>
        <v>174.35373213082403</v>
      </c>
      <c r="E61" s="26">
        <f t="shared" ca="1" si="2"/>
        <v>174.35373213082403</v>
      </c>
      <c r="F61" s="45">
        <f ca="1">SUM($E$2:E61)/COUNT($E$2:E61)</f>
        <v>131.37681141825223</v>
      </c>
      <c r="G61" s="26">
        <f t="shared" ca="1" si="3"/>
        <v>30399.22390794714</v>
      </c>
      <c r="H61" s="27">
        <f ca="1">SQRT(SUM($G$2:G61)/(COUNT($G$2:G61)-1))</f>
        <v>143.26937556784665</v>
      </c>
    </row>
    <row r="62" spans="1:8" x14ac:dyDescent="0.2">
      <c r="A62" s="59">
        <f>ArdiData!A63</f>
        <v>61</v>
      </c>
      <c r="B62" s="36">
        <f ca="1">ArdiData!C63</f>
        <v>4058</v>
      </c>
      <c r="C62" s="49">
        <f t="shared" ca="1" si="4"/>
        <v>3892.6955368528706</v>
      </c>
      <c r="D62" s="26">
        <f t="shared" ca="1" si="1"/>
        <v>165.30446314712935</v>
      </c>
      <c r="E62" s="26">
        <f t="shared" ca="1" si="2"/>
        <v>165.30446314712935</v>
      </c>
      <c r="F62" s="45">
        <f ca="1">SUM($E$2:E62)/COUNT($E$2:E62)</f>
        <v>131.93300243020101</v>
      </c>
      <c r="G62" s="26">
        <f t="shared" ca="1" si="3"/>
        <v>27325.565536360646</v>
      </c>
      <c r="H62" s="27">
        <f ca="1">SQRT(SUM($G$2:G62)/(COUNT($G$2:G62)-1))</f>
        <v>143.66432461916224</v>
      </c>
    </row>
    <row r="63" spans="1:8" x14ac:dyDescent="0.2">
      <c r="A63" s="59">
        <f>ArdiData!A64</f>
        <v>62</v>
      </c>
      <c r="B63" s="36">
        <f ca="1">ArdiData!C64</f>
        <v>4124</v>
      </c>
      <c r="C63" s="49">
        <f t="shared" ca="1" si="4"/>
        <v>3953.4205347919542</v>
      </c>
      <c r="D63" s="26">
        <f t="shared" ca="1" si="1"/>
        <v>170.5794652080458</v>
      </c>
      <c r="E63" s="26">
        <f t="shared" ca="1" si="2"/>
        <v>170.5794652080458</v>
      </c>
      <c r="F63" s="45">
        <f ca="1">SUM($E$2:E63)/COUNT($E$2:E63)</f>
        <v>132.55633247500495</v>
      </c>
      <c r="G63" s="26">
        <f t="shared" ca="1" si="3"/>
        <v>29097.353950662909</v>
      </c>
      <c r="H63" s="27">
        <f ca="1">SQRT(SUM($G$2:G63)/(COUNT($G$2:G63)-1))</f>
        <v>144.14608050643719</v>
      </c>
    </row>
    <row r="64" spans="1:8" x14ac:dyDescent="0.2">
      <c r="A64" s="59">
        <f>ArdiData!A65</f>
        <v>63</v>
      </c>
      <c r="B64" s="36">
        <f ca="1">ArdiData!C65</f>
        <v>4286</v>
      </c>
      <c r="C64" s="49">
        <f t="shared" ca="1" si="4"/>
        <v>4016.0833176110059</v>
      </c>
      <c r="D64" s="26">
        <f t="shared" ca="1" si="1"/>
        <v>269.9166823889941</v>
      </c>
      <c r="E64" s="26">
        <f t="shared" ca="1" si="2"/>
        <v>269.9166823889941</v>
      </c>
      <c r="F64" s="45">
        <f ca="1">SUM($E$2:E64)/COUNT($E$2:E64)</f>
        <v>134.73665548951271</v>
      </c>
      <c r="G64" s="26">
        <f t="shared" ca="1" si="3"/>
        <v>72855.015431881126</v>
      </c>
      <c r="H64" s="27">
        <f ca="1">SQRT(SUM($G$2:G64)/(COUNT($G$2:G64)-1))</f>
        <v>147.030754928444</v>
      </c>
    </row>
    <row r="65" spans="1:8" x14ac:dyDescent="0.2">
      <c r="A65" s="59">
        <f>ArdiData!A66</f>
        <v>64</v>
      </c>
      <c r="B65" s="36">
        <f ca="1">ArdiData!C66</f>
        <v>4440</v>
      </c>
      <c r="C65" s="49">
        <f t="shared" ca="1" si="4"/>
        <v>4115.2378695798016</v>
      </c>
      <c r="D65" s="26">
        <f t="shared" ca="1" si="1"/>
        <v>324.76213042019845</v>
      </c>
      <c r="E65" s="26">
        <f t="shared" ca="1" si="2"/>
        <v>324.76213042019845</v>
      </c>
      <c r="F65" s="45">
        <f ca="1">SUM($E$2:E65)/COUNT($E$2:E65)</f>
        <v>137.70580353530468</v>
      </c>
      <c r="G65" s="26">
        <f t="shared" ca="1" si="3"/>
        <v>105470.44135506598</v>
      </c>
      <c r="H65" s="27">
        <f ca="1">SQRT(SUM($G$2:G65)/(COUNT($G$2:G65)-1))</f>
        <v>151.48938361013276</v>
      </c>
    </row>
    <row r="66" spans="1:8" x14ac:dyDescent="0.2">
      <c r="A66" s="59">
        <f>ArdiData!A67</f>
        <v>65</v>
      </c>
      <c r="B66" s="36">
        <f ca="1">ArdiData!C67</f>
        <v>4468</v>
      </c>
      <c r="C66" s="49">
        <f t="shared" ca="1" si="4"/>
        <v>4234.5400307253603</v>
      </c>
      <c r="D66" s="26">
        <f t="shared" ca="1" si="1"/>
        <v>233.45996927463966</v>
      </c>
      <c r="E66" s="26">
        <f t="shared" ca="1" si="2"/>
        <v>233.45996927463966</v>
      </c>
      <c r="F66" s="45">
        <f ca="1">SUM($E$2:E66)/COUNT($E$2:E66)</f>
        <v>139.17894454667908</v>
      </c>
      <c r="G66" s="26">
        <f t="shared" ca="1" si="3"/>
        <v>54503.557253715691</v>
      </c>
      <c r="H66" s="27">
        <f ca="1">SQRT(SUM($G$2:G66)/(COUNT($G$2:G66)-1))</f>
        <v>153.10804284108326</v>
      </c>
    </row>
    <row r="67" spans="1:8" x14ac:dyDescent="0.2">
      <c r="A67" s="59">
        <f>ArdiData!A68</f>
        <v>66</v>
      </c>
      <c r="B67" s="36">
        <f ca="1">ArdiData!C68</f>
        <v>4628</v>
      </c>
      <c r="C67" s="49">
        <f t="shared" ref="C67:C77" ca="1" si="5">$J$1*B66+(1-$J$1)*C66</f>
        <v>4320.302120164185</v>
      </c>
      <c r="D67" s="26">
        <f t="shared" ref="D67:D76" ca="1" si="6">B67-C67</f>
        <v>307.697879835815</v>
      </c>
      <c r="E67" s="26">
        <f t="shared" ref="E67:E76" ca="1" si="7">ABS(D67)</f>
        <v>307.697879835815</v>
      </c>
      <c r="F67" s="45">
        <f ca="1">SUM($E$2:E67)/COUNT($E$2:E67)</f>
        <v>141.7322617480296</v>
      </c>
      <c r="G67" s="26">
        <f t="shared" ref="G67:G76" ca="1" si="8">D67^2</f>
        <v>94677.985255455642</v>
      </c>
      <c r="H67" s="27">
        <f ca="1">SQRT(SUM($G$2:G67)/(COUNT($G$2:G67)-1))</f>
        <v>156.64612953275795</v>
      </c>
    </row>
    <row r="68" spans="1:8" x14ac:dyDescent="0.2">
      <c r="A68" s="59">
        <f>ArdiData!A69</f>
        <v>67</v>
      </c>
      <c r="B68" s="36">
        <f ca="1">ArdiData!C69</f>
        <v>4731</v>
      </c>
      <c r="C68" s="49">
        <f t="shared" ca="1" si="5"/>
        <v>4433.3356872146978</v>
      </c>
      <c r="D68" s="26">
        <f t="shared" ca="1" si="6"/>
        <v>297.66431278530217</v>
      </c>
      <c r="E68" s="26">
        <f t="shared" ca="1" si="7"/>
        <v>297.66431278530217</v>
      </c>
      <c r="F68" s="45">
        <f ca="1">SUM($E$2:E68)/COUNT($E$2:E68)</f>
        <v>144.05960579336201</v>
      </c>
      <c r="G68" s="26">
        <f t="shared" ca="1" si="8"/>
        <v>88604.043105946213</v>
      </c>
      <c r="H68" s="27">
        <f ca="1">SQRT(SUM($G$2:G68)/(COUNT($G$2:G68)-1))</f>
        <v>159.71445573412385</v>
      </c>
    </row>
    <row r="69" spans="1:8" x14ac:dyDescent="0.2">
      <c r="A69" s="59">
        <f>ArdiData!A70</f>
        <v>68</v>
      </c>
      <c r="B69" s="36">
        <f ca="1">ArdiData!C70</f>
        <v>4873</v>
      </c>
      <c r="C69" s="49">
        <f t="shared" ca="1" si="5"/>
        <v>4542.6833989237148</v>
      </c>
      <c r="D69" s="26">
        <f t="shared" ca="1" si="6"/>
        <v>330.31660107628522</v>
      </c>
      <c r="E69" s="26">
        <f t="shared" ca="1" si="7"/>
        <v>330.31660107628522</v>
      </c>
      <c r="F69" s="45">
        <f ca="1">SUM($E$2:E69)/COUNT($E$2:E69)</f>
        <v>146.798679253405</v>
      </c>
      <c r="G69" s="26">
        <f t="shared" ca="1" si="8"/>
        <v>109109.05694658976</v>
      </c>
      <c r="H69" s="27">
        <f ca="1">SQRT(SUM($G$2:G69)/(COUNT($G$2:G69)-1))</f>
        <v>163.57406206985146</v>
      </c>
    </row>
    <row r="70" spans="1:8" x14ac:dyDescent="0.2">
      <c r="A70" s="59">
        <f>ArdiData!A71</f>
        <v>69</v>
      </c>
      <c r="B70" s="36">
        <f ca="1">ArdiData!C71</f>
        <v>4884</v>
      </c>
      <c r="C70" s="49">
        <f t="shared" ca="1" si="5"/>
        <v>4664.0260084196807</v>
      </c>
      <c r="D70" s="26">
        <f t="shared" ca="1" si="6"/>
        <v>219.97399158031931</v>
      </c>
      <c r="E70" s="26">
        <f t="shared" ca="1" si="7"/>
        <v>219.97399158031931</v>
      </c>
      <c r="F70" s="45">
        <f ca="1">SUM($E$2:E70)/COUNT($E$2:E70)</f>
        <v>147.85919102625886</v>
      </c>
      <c r="G70" s="26">
        <f t="shared" ca="1" si="8"/>
        <v>48388.556971778387</v>
      </c>
      <c r="H70" s="27">
        <f ca="1">SQRT(SUM($G$2:G70)/(COUNT($G$2:G70)-1))</f>
        <v>164.54358891330006</v>
      </c>
    </row>
    <row r="71" spans="1:8" x14ac:dyDescent="0.2">
      <c r="A71" s="59">
        <f>ArdiData!A72</f>
        <v>70</v>
      </c>
      <c r="B71" s="36">
        <f ca="1">ArdiData!C72</f>
        <v>4949</v>
      </c>
      <c r="C71" s="49">
        <f t="shared" ca="1" si="5"/>
        <v>4744.8339910418899</v>
      </c>
      <c r="D71" s="26">
        <f t="shared" ca="1" si="6"/>
        <v>204.16600895811007</v>
      </c>
      <c r="E71" s="26">
        <f t="shared" ca="1" si="7"/>
        <v>204.16600895811007</v>
      </c>
      <c r="F71" s="45">
        <f ca="1">SUM($E$2:E71)/COUNT($E$2:E71)</f>
        <v>148.66357413957101</v>
      </c>
      <c r="G71" s="26">
        <f t="shared" ca="1" si="8"/>
        <v>41683.759213883081</v>
      </c>
      <c r="H71" s="27">
        <f ca="1">SQRT(SUM($G$2:G71)/(COUNT($G$2:G71)-1))</f>
        <v>165.18571277227269</v>
      </c>
    </row>
    <row r="72" spans="1:8" x14ac:dyDescent="0.2">
      <c r="A72" s="59">
        <f>ArdiData!A73</f>
        <v>71</v>
      </c>
      <c r="B72" s="36">
        <f ca="1">ArdiData!C73</f>
        <v>5037</v>
      </c>
      <c r="C72" s="49">
        <f t="shared" ca="1" si="5"/>
        <v>4819.8348726707018</v>
      </c>
      <c r="D72" s="26">
        <f t="shared" ca="1" si="6"/>
        <v>217.16512732929823</v>
      </c>
      <c r="E72" s="26">
        <f t="shared" ca="1" si="7"/>
        <v>217.16512732929823</v>
      </c>
      <c r="F72" s="45">
        <f ca="1">SUM($E$2:E72)/COUNT($E$2:E72)</f>
        <v>149.62838474787702</v>
      </c>
      <c r="G72" s="26">
        <f t="shared" ca="1" si="8"/>
        <v>47160.692527950312</v>
      </c>
      <c r="H72" s="27">
        <f ca="1">SQRT(SUM($G$2:G72)/(COUNT($G$2:G72)-1))</f>
        <v>166.04288396632145</v>
      </c>
    </row>
    <row r="73" spans="1:8" x14ac:dyDescent="0.2">
      <c r="A73" s="59">
        <f>ArdiData!A74</f>
        <v>72</v>
      </c>
      <c r="B73" s="36">
        <f ca="1">ArdiData!C74</f>
        <v>5074</v>
      </c>
      <c r="C73" s="49">
        <f t="shared" ca="1" si="5"/>
        <v>4899.6110121556658</v>
      </c>
      <c r="D73" s="26">
        <f t="shared" ca="1" si="6"/>
        <v>174.38898784433422</v>
      </c>
      <c r="E73" s="26">
        <f t="shared" ca="1" si="7"/>
        <v>174.38898784433422</v>
      </c>
      <c r="F73" s="45">
        <f ca="1">SUM($E$2:E73)/COUNT($E$2:E73)</f>
        <v>149.9722820131056</v>
      </c>
      <c r="G73" s="26">
        <f t="shared" ca="1" si="8"/>
        <v>30411.519081371349</v>
      </c>
      <c r="H73" s="27">
        <f ca="1">SQRT(SUM($G$2:G73)/(COUNT($G$2:G73)-1))</f>
        <v>166.16334535847471</v>
      </c>
    </row>
    <row r="74" spans="1:8" x14ac:dyDescent="0.2">
      <c r="A74" s="59">
        <f>ArdiData!A75</f>
        <v>73</v>
      </c>
      <c r="B74" s="36">
        <f ca="1">ArdiData!C75</f>
        <v>5197</v>
      </c>
      <c r="C74" s="49">
        <f t="shared" ca="1" si="5"/>
        <v>4963.6732324117547</v>
      </c>
      <c r="D74" s="26">
        <f t="shared" ca="1" si="6"/>
        <v>233.32676758824527</v>
      </c>
      <c r="E74" s="26">
        <f t="shared" ca="1" si="7"/>
        <v>233.32676758824527</v>
      </c>
      <c r="F74" s="45">
        <f ca="1">SUM($E$2:E74)/COUNT($E$2:E74)</f>
        <v>151.1141242812582</v>
      </c>
      <c r="G74" s="26">
        <f t="shared" ca="1" si="8"/>
        <v>54441.380473179022</v>
      </c>
      <c r="H74" s="27">
        <f ca="1">SQRT(SUM($G$2:G74)/(COUNT($G$2:G74)-1))</f>
        <v>167.2809368358229</v>
      </c>
    </row>
    <row r="75" spans="1:8" ht="13.5" thickBot="1" x14ac:dyDescent="0.25">
      <c r="A75" s="59">
        <f>ArdiData!A76</f>
        <v>74</v>
      </c>
      <c r="B75" s="36">
        <f ca="1">ArdiData!C76</f>
        <v>5304</v>
      </c>
      <c r="C75" s="49">
        <f t="shared" ca="1" si="5"/>
        <v>5049.3863898860227</v>
      </c>
      <c r="D75" s="26">
        <f t="shared" ca="1" si="6"/>
        <v>254.6136101139773</v>
      </c>
      <c r="E75" s="26">
        <f t="shared" ca="1" si="7"/>
        <v>254.6136101139773</v>
      </c>
      <c r="F75" s="45">
        <f ca="1">SUM($E$2:E75)/COUNT($E$2:E75)</f>
        <v>152.51276598170034</v>
      </c>
      <c r="G75" s="26">
        <f t="shared" ca="1" si="8"/>
        <v>64828.090455272446</v>
      </c>
      <c r="H75" s="27">
        <f ca="1">SQRT(SUM($G$2:G75)/(COUNT($G$2:G75)-1))</f>
        <v>168.78281992847371</v>
      </c>
    </row>
    <row r="76" spans="1:8" ht="13.5" thickBot="1" x14ac:dyDescent="0.25">
      <c r="A76" s="59">
        <f>ArdiData!A77</f>
        <v>75</v>
      </c>
      <c r="B76" s="36">
        <f ca="1">ArdiData!C77</f>
        <v>5781</v>
      </c>
      <c r="C76" s="49">
        <f t="shared" ca="1" si="5"/>
        <v>5142.9193209096238</v>
      </c>
      <c r="D76" s="26">
        <f t="shared" ca="1" si="6"/>
        <v>638.08067909037618</v>
      </c>
      <c r="E76" s="26">
        <f t="shared" ca="1" si="7"/>
        <v>638.08067909037618</v>
      </c>
      <c r="F76" s="46">
        <f ca="1">SUM($E$2:E76)/COUNT($E$2:E76)</f>
        <v>158.98700482314936</v>
      </c>
      <c r="G76" s="26">
        <f t="shared" ca="1" si="8"/>
        <v>407146.95302843564</v>
      </c>
      <c r="H76" s="27">
        <f ca="1">SQRT(SUM($G$2:G76)/(COUNT($G$2:G76)-1))</f>
        <v>183.31573321060142</v>
      </c>
    </row>
    <row r="77" spans="1:8" x14ac:dyDescent="0.2">
      <c r="A77" s="59">
        <f>ArdiData!A78</f>
        <v>0</v>
      </c>
      <c r="B77" s="9"/>
      <c r="C77" s="49">
        <f t="shared" ca="1" si="5"/>
        <v>5377.31981551844</v>
      </c>
      <c r="D77" s="9"/>
      <c r="E77" s="9"/>
      <c r="F77" s="50">
        <f ca="1">F76*1.25</f>
        <v>198.73375602893671</v>
      </c>
      <c r="G77" s="9"/>
      <c r="H77" s="27">
        <f ca="1">SQRT(SUM($G$2:G77)/(COUNT($G$2:G77)-1))</f>
        <v>183.31573321060142</v>
      </c>
    </row>
  </sheetData>
  <conditionalFormatting sqref="J4:J13">
    <cfRule type="cellIs" dxfId="0" priority="2" operator="equal">
      <formula>$J$15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selection activeCell="L3" sqref="L3"/>
    </sheetView>
  </sheetViews>
  <sheetFormatPr defaultRowHeight="12.75" x14ac:dyDescent="0.2"/>
  <cols>
    <col min="2" max="2" width="11.140625" bestFit="1" customWidth="1"/>
  </cols>
  <sheetData>
    <row r="1" spans="1:13" ht="13.5" thickBot="1" x14ac:dyDescent="0.25">
      <c r="B1" s="8" t="s">
        <v>15</v>
      </c>
      <c r="C1" s="8" t="s">
        <v>62</v>
      </c>
      <c r="D1" s="8" t="s">
        <v>44</v>
      </c>
      <c r="E1" s="8" t="s">
        <v>10</v>
      </c>
      <c r="F1" s="8" t="s">
        <v>12</v>
      </c>
      <c r="G1" s="8" t="s">
        <v>11</v>
      </c>
      <c r="H1" s="8" t="s">
        <v>13</v>
      </c>
      <c r="I1" s="8" t="s">
        <v>14</v>
      </c>
      <c r="L1" s="8">
        <v>0.4</v>
      </c>
      <c r="M1" t="str">
        <f>"StdDev="&amp;ROUND(I77,0)&amp;", Fnext="&amp;ROUND(C77,0)</f>
        <v>StdDev=94, Fnext=944</v>
      </c>
    </row>
    <row r="2" spans="1:13" x14ac:dyDescent="0.2">
      <c r="A2">
        <v>1</v>
      </c>
      <c r="B2" s="3">
        <v>176</v>
      </c>
      <c r="C2" s="1">
        <f>Stat.S.T.Reg.Office2!$B$17+Stat.S.T.Reg.Office2!$B$18*Setr2Reg!A2</f>
        <v>165.92350877192999</v>
      </c>
      <c r="D2" s="1">
        <f>TREND($B$2:$B$76,$A$2:$A$76,A2)</f>
        <v>165.92350877192999</v>
      </c>
      <c r="E2" s="1">
        <f>B2-C2</f>
        <v>10.076491228070012</v>
      </c>
      <c r="F2">
        <f>ABS(E2)</f>
        <v>10.076491228070012</v>
      </c>
      <c r="G2">
        <f>SUM($F$2:F2)/COUNT($F$2:F2)</f>
        <v>10.076491228070012</v>
      </c>
      <c r="H2" s="1">
        <f>E2^2</f>
        <v>101.5356754693719</v>
      </c>
      <c r="I2" s="1">
        <f>SUM($H$2:H2)</f>
        <v>101.5356754693719</v>
      </c>
    </row>
    <row r="3" spans="1:13" x14ac:dyDescent="0.2">
      <c r="A3">
        <v>2</v>
      </c>
      <c r="B3" s="6">
        <v>204</v>
      </c>
      <c r="C3" s="1">
        <f>Stat.S.T.Reg.Office2!$B$17+Stat.S.T.Reg.Office2!$B$18*Setr2Reg!A3</f>
        <v>176.29494547178774</v>
      </c>
      <c r="D3" s="1">
        <f t="shared" ref="D3:D66" si="0">TREND($B$2:$B$76,$A$2:$A$76,A3)</f>
        <v>176.29494547178774</v>
      </c>
      <c r="E3" s="1">
        <f t="shared" ref="E3:E66" si="1">B3-C3</f>
        <v>27.705054528212258</v>
      </c>
      <c r="F3">
        <f t="shared" ref="F3:F66" si="2">ABS(E3)</f>
        <v>27.705054528212258</v>
      </c>
      <c r="G3">
        <f>SUM($F$2:F3)/COUNT($F$2:F3)</f>
        <v>18.890772878141135</v>
      </c>
      <c r="H3" s="1">
        <f t="shared" ref="H3:H66" si="3">E3^2</f>
        <v>767.57004641121455</v>
      </c>
      <c r="I3" s="1">
        <f>SUM($H$2:H3)/(COUNT($H$2:H3)-1)</f>
        <v>869.10572188058643</v>
      </c>
    </row>
    <row r="4" spans="1:13" x14ac:dyDescent="0.2">
      <c r="A4">
        <v>3</v>
      </c>
      <c r="B4" s="6">
        <v>218</v>
      </c>
      <c r="C4" s="1">
        <f>Stat.S.T.Reg.Office2!$B$17+Stat.S.T.Reg.Office2!$B$18*Setr2Reg!A4</f>
        <v>186.66638217164547</v>
      </c>
      <c r="D4" s="1">
        <f t="shared" si="0"/>
        <v>186.66638217164547</v>
      </c>
      <c r="E4" s="1">
        <f t="shared" si="1"/>
        <v>31.333617828354534</v>
      </c>
      <c r="F4">
        <f t="shared" si="2"/>
        <v>31.333617828354534</v>
      </c>
      <c r="G4">
        <f>SUM($F$2:F4)/COUNT($F$2:F4)</f>
        <v>23.038387861545601</v>
      </c>
      <c r="H4" s="1">
        <f t="shared" si="3"/>
        <v>981.79560621337703</v>
      </c>
      <c r="I4" s="1">
        <f>SUM($H$2:H4)/(COUNT($H$2:H4)-1)</f>
        <v>925.45066404698173</v>
      </c>
    </row>
    <row r="5" spans="1:13" x14ac:dyDescent="0.2">
      <c r="A5">
        <v>4</v>
      </c>
      <c r="B5" s="6">
        <v>439</v>
      </c>
      <c r="C5" s="1">
        <f>Stat.S.T.Reg.Office2!$B$17+Stat.S.T.Reg.Office2!$B$18*Setr2Reg!A5</f>
        <v>197.03781887150322</v>
      </c>
      <c r="D5" s="1">
        <f t="shared" si="0"/>
        <v>197.03781887150322</v>
      </c>
      <c r="E5" s="1">
        <f t="shared" si="1"/>
        <v>241.96218112849678</v>
      </c>
      <c r="F5">
        <f t="shared" si="2"/>
        <v>241.96218112849678</v>
      </c>
      <c r="G5">
        <f>SUM($F$2:F5)/COUNT($F$2:F5)</f>
        <v>77.769336178283396</v>
      </c>
      <c r="H5" s="1">
        <f t="shared" si="3"/>
        <v>58545.69709645948</v>
      </c>
      <c r="I5" s="1">
        <f>SUM($H$2:H5)/(COUNT($H$2:H5)-1)</f>
        <v>20132.199474851146</v>
      </c>
    </row>
    <row r="6" spans="1:13" x14ac:dyDescent="0.2">
      <c r="A6">
        <v>5</v>
      </c>
      <c r="B6" s="6">
        <v>229</v>
      </c>
      <c r="C6" s="1">
        <f>Stat.S.T.Reg.Office2!$B$17+Stat.S.T.Reg.Office2!$B$18*Setr2Reg!A6</f>
        <v>207.40925557136097</v>
      </c>
      <c r="D6" s="1">
        <f t="shared" si="0"/>
        <v>207.40925557136097</v>
      </c>
      <c r="E6" s="1">
        <f t="shared" si="1"/>
        <v>21.590744428639027</v>
      </c>
      <c r="F6">
        <f t="shared" si="2"/>
        <v>21.590744428639027</v>
      </c>
      <c r="G6">
        <f>SUM($F$2:F6)/COUNT($F$2:F6)</f>
        <v>66.533617828354522</v>
      </c>
      <c r="H6" s="1">
        <f t="shared" si="3"/>
        <v>466.16024498280717</v>
      </c>
      <c r="I6" s="1">
        <f>SUM($H$2:H6)/(COUNT($H$2:H6)-1)</f>
        <v>15215.689667384062</v>
      </c>
    </row>
    <row r="7" spans="1:13" x14ac:dyDescent="0.2">
      <c r="A7">
        <v>6</v>
      </c>
      <c r="B7" s="6">
        <v>249</v>
      </c>
      <c r="C7" s="1">
        <f>Stat.S.T.Reg.Office2!$B$17+Stat.S.T.Reg.Office2!$B$18*Setr2Reg!A7</f>
        <v>217.78069227121873</v>
      </c>
      <c r="D7" s="1">
        <f t="shared" si="0"/>
        <v>217.78069227121873</v>
      </c>
      <c r="E7" s="1">
        <f t="shared" si="1"/>
        <v>31.219307728781274</v>
      </c>
      <c r="F7">
        <f t="shared" si="2"/>
        <v>31.219307728781274</v>
      </c>
      <c r="G7">
        <f>SUM($F$2:F7)/COUNT($F$2:F7)</f>
        <v>60.647899478425643</v>
      </c>
      <c r="H7" s="1">
        <f t="shared" si="3"/>
        <v>974.6451750643422</v>
      </c>
      <c r="I7" s="1">
        <f>SUM($H$2:H7)/(COUNT($H$2:H7)-1)</f>
        <v>12367.480768920117</v>
      </c>
    </row>
    <row r="8" spans="1:13" x14ac:dyDescent="0.2">
      <c r="A8">
        <v>7</v>
      </c>
      <c r="B8" s="6">
        <v>227</v>
      </c>
      <c r="C8" s="1">
        <f>Stat.S.T.Reg.Office2!$B$17+Stat.S.T.Reg.Office2!$B$18*Setr2Reg!A8</f>
        <v>228.15212897107648</v>
      </c>
      <c r="D8" s="1">
        <f t="shared" si="0"/>
        <v>228.15212897107648</v>
      </c>
      <c r="E8" s="1">
        <f t="shared" si="1"/>
        <v>-1.152128971076479</v>
      </c>
      <c r="F8">
        <f t="shared" si="2"/>
        <v>1.152128971076479</v>
      </c>
      <c r="G8">
        <f>SUM($F$2:F8)/COUNT($F$2:F8)</f>
        <v>52.148503691661475</v>
      </c>
      <c r="H8" s="1">
        <f t="shared" si="3"/>
        <v>1.3274011659937464</v>
      </c>
      <c r="I8" s="1">
        <f>SUM($H$2:H8)/(COUNT($H$2:H8)-1)</f>
        <v>10306.455207627763</v>
      </c>
    </row>
    <row r="9" spans="1:13" x14ac:dyDescent="0.2">
      <c r="A9">
        <v>8</v>
      </c>
      <c r="B9" s="6">
        <v>256</v>
      </c>
      <c r="C9" s="1">
        <f>Stat.S.T.Reg.Office2!$B$17+Stat.S.T.Reg.Office2!$B$18*Setr2Reg!A9</f>
        <v>238.5235656709342</v>
      </c>
      <c r="D9" s="1">
        <f t="shared" si="0"/>
        <v>238.5235656709342</v>
      </c>
      <c r="E9" s="1">
        <f t="shared" si="1"/>
        <v>17.476434329065796</v>
      </c>
      <c r="F9">
        <f t="shared" si="2"/>
        <v>17.476434329065796</v>
      </c>
      <c r="G9">
        <f>SUM($F$2:F9)/COUNT($F$2:F9)</f>
        <v>47.814495021337017</v>
      </c>
      <c r="H9" s="1">
        <f t="shared" si="3"/>
        <v>305.42575685814944</v>
      </c>
      <c r="I9" s="1">
        <f>SUM($H$2:H9)/(COUNT($H$2:H9)-1)</f>
        <v>8877.7367146606757</v>
      </c>
    </row>
    <row r="10" spans="1:13" x14ac:dyDescent="0.2">
      <c r="A10">
        <v>9</v>
      </c>
      <c r="B10" s="6">
        <v>304</v>
      </c>
      <c r="C10" s="1">
        <f>Stat.S.T.Reg.Office2!$B$17+Stat.S.T.Reg.Office2!$B$18*Setr2Reg!A10</f>
        <v>248.89500237079199</v>
      </c>
      <c r="D10" s="1">
        <f t="shared" si="0"/>
        <v>248.89500237079199</v>
      </c>
      <c r="E10" s="1">
        <f t="shared" si="1"/>
        <v>55.104997629208015</v>
      </c>
      <c r="F10">
        <f t="shared" si="2"/>
        <v>55.104997629208015</v>
      </c>
      <c r="G10">
        <f>SUM($F$2:F10)/COUNT($F$2:F10)</f>
        <v>48.624550866656016</v>
      </c>
      <c r="H10" s="1">
        <f t="shared" si="3"/>
        <v>3036.560763715021</v>
      </c>
      <c r="I10" s="1">
        <f>SUM($H$2:H10)/(COUNT($H$2:H10)-1)</f>
        <v>8147.58972079247</v>
      </c>
    </row>
    <row r="11" spans="1:13" x14ac:dyDescent="0.2">
      <c r="A11">
        <v>10</v>
      </c>
      <c r="B11" s="6">
        <v>354</v>
      </c>
      <c r="C11" s="1">
        <f>Stat.S.T.Reg.Office2!$B$17+Stat.S.T.Reg.Office2!$B$18*Setr2Reg!A11</f>
        <v>259.26643907064971</v>
      </c>
      <c r="D11" s="1">
        <f t="shared" si="0"/>
        <v>259.26643907064971</v>
      </c>
      <c r="E11" s="1">
        <f t="shared" si="1"/>
        <v>94.73356092935029</v>
      </c>
      <c r="F11">
        <f t="shared" si="2"/>
        <v>94.73356092935029</v>
      </c>
      <c r="G11">
        <f>SUM($F$2:F11)/COUNT($F$2:F11)</f>
        <v>53.235451872925445</v>
      </c>
      <c r="H11" s="1">
        <f t="shared" si="3"/>
        <v>8974.4475663549238</v>
      </c>
      <c r="I11" s="1">
        <f>SUM($H$2:H11)/(COUNT($H$2:H11)-1)</f>
        <v>8239.4628147438543</v>
      </c>
    </row>
    <row r="12" spans="1:13" x14ac:dyDescent="0.2">
      <c r="A12">
        <v>11</v>
      </c>
      <c r="B12" s="6">
        <v>289</v>
      </c>
      <c r="C12" s="1">
        <f>Stat.S.T.Reg.Office2!$B$17+Stat.S.T.Reg.Office2!$B$18*Setr2Reg!A12</f>
        <v>269.63787577050743</v>
      </c>
      <c r="D12" s="1">
        <f t="shared" si="0"/>
        <v>269.63787577050743</v>
      </c>
      <c r="E12" s="1">
        <f t="shared" si="1"/>
        <v>19.362124229492565</v>
      </c>
      <c r="F12">
        <f t="shared" si="2"/>
        <v>19.362124229492565</v>
      </c>
      <c r="G12">
        <f>SUM($F$2:F12)/COUNT($F$2:F12)</f>
        <v>50.156058450795179</v>
      </c>
      <c r="H12" s="1">
        <f t="shared" si="3"/>
        <v>374.89185467830305</v>
      </c>
      <c r="I12" s="1">
        <f>SUM($H$2:H12)/(COUNT($H$2:H12)-1)</f>
        <v>7453.0057187372995</v>
      </c>
    </row>
    <row r="13" spans="1:13" x14ac:dyDescent="0.2">
      <c r="A13">
        <v>12</v>
      </c>
      <c r="B13" s="6">
        <v>273</v>
      </c>
      <c r="C13" s="1">
        <f>Stat.S.T.Reg.Office2!$B$17+Stat.S.T.Reg.Office2!$B$18*Setr2Reg!A13</f>
        <v>280.00931247036522</v>
      </c>
      <c r="D13" s="1">
        <f t="shared" si="0"/>
        <v>280.00931247036522</v>
      </c>
      <c r="E13" s="1">
        <f t="shared" si="1"/>
        <v>-7.0093124703652165</v>
      </c>
      <c r="F13">
        <f t="shared" si="2"/>
        <v>7.0093124703652165</v>
      </c>
      <c r="G13">
        <f>SUM($F$2:F13)/COUNT($F$2:F13)</f>
        <v>46.560496285759349</v>
      </c>
      <c r="H13" s="1">
        <f t="shared" si="3"/>
        <v>49.130461307217331</v>
      </c>
      <c r="I13" s="1">
        <f>SUM($H$2:H13)/(COUNT($H$2:H13)-1)</f>
        <v>6779.9261498800188</v>
      </c>
    </row>
    <row r="14" spans="1:13" x14ac:dyDescent="0.2">
      <c r="A14">
        <v>13</v>
      </c>
      <c r="B14" s="6">
        <v>315</v>
      </c>
      <c r="C14" s="1">
        <f>Stat.S.T.Reg.Office2!$B$17+Stat.S.T.Reg.Office2!$B$18*Setr2Reg!A14</f>
        <v>290.380749170223</v>
      </c>
      <c r="D14" s="1">
        <f t="shared" si="0"/>
        <v>290.380749170223</v>
      </c>
      <c r="E14" s="1">
        <f t="shared" si="1"/>
        <v>24.619250829777002</v>
      </c>
      <c r="F14">
        <f t="shared" si="2"/>
        <v>24.619250829777002</v>
      </c>
      <c r="G14">
        <f>SUM($F$2:F14)/COUNT($F$2:F14)</f>
        <v>44.872708173760707</v>
      </c>
      <c r="H14" s="1">
        <f t="shared" si="3"/>
        <v>606.1075114194756</v>
      </c>
      <c r="I14" s="1">
        <f>SUM($H$2:H14)/(COUNT($H$2:H14)-1)</f>
        <v>6265.4412633416405</v>
      </c>
    </row>
    <row r="15" spans="1:13" x14ac:dyDescent="0.2">
      <c r="A15">
        <v>14</v>
      </c>
      <c r="B15" s="6">
        <v>346</v>
      </c>
      <c r="C15" s="1">
        <f>Stat.S.T.Reg.Office2!$B$17+Stat.S.T.Reg.Office2!$B$18*Setr2Reg!A15</f>
        <v>300.75218587008067</v>
      </c>
      <c r="D15" s="1">
        <f t="shared" si="0"/>
        <v>300.75218587008067</v>
      </c>
      <c r="E15" s="1">
        <f t="shared" si="1"/>
        <v>45.247814129919334</v>
      </c>
      <c r="F15">
        <f t="shared" si="2"/>
        <v>45.247814129919334</v>
      </c>
      <c r="G15">
        <f>SUM($F$2:F15)/COUNT($F$2:F15)</f>
        <v>44.899501456343465</v>
      </c>
      <c r="H15" s="1">
        <f t="shared" si="3"/>
        <v>2047.3646835357276</v>
      </c>
      <c r="I15" s="1">
        <f>SUM($H$2:H15)/(COUNT($H$2:H15)-1)</f>
        <v>5940.9738341258007</v>
      </c>
    </row>
    <row r="16" spans="1:13" x14ac:dyDescent="0.2">
      <c r="A16">
        <v>15</v>
      </c>
      <c r="B16" s="6">
        <v>318</v>
      </c>
      <c r="C16" s="1">
        <f>Stat.S.T.Reg.Office2!$B$17+Stat.S.T.Reg.Office2!$B$18*Setr2Reg!A16</f>
        <v>311.12362256993845</v>
      </c>
      <c r="D16" s="1">
        <f t="shared" si="0"/>
        <v>311.12362256993845</v>
      </c>
      <c r="E16" s="1">
        <f t="shared" si="1"/>
        <v>6.8763774300615523</v>
      </c>
      <c r="F16">
        <f t="shared" si="2"/>
        <v>6.8763774300615523</v>
      </c>
      <c r="G16">
        <f>SUM($F$2:F16)/COUNT($F$2:F16)</f>
        <v>42.36462652125801</v>
      </c>
      <c r="H16" s="1">
        <f t="shared" si="3"/>
        <v>47.284566560659918</v>
      </c>
      <c r="I16" s="1">
        <f>SUM($H$2:H16)/(COUNT($H$2:H16)-1)</f>
        <v>5519.9960292997193</v>
      </c>
    </row>
    <row r="17" spans="1:9" x14ac:dyDescent="0.2">
      <c r="A17">
        <v>16</v>
      </c>
      <c r="B17" s="6">
        <v>330</v>
      </c>
      <c r="C17" s="1">
        <f>Stat.S.T.Reg.Office2!$B$17+Stat.S.T.Reg.Office2!$B$18*Setr2Reg!A17</f>
        <v>321.49505926979623</v>
      </c>
      <c r="D17" s="1">
        <f t="shared" si="0"/>
        <v>321.49505926979623</v>
      </c>
      <c r="E17" s="1">
        <f t="shared" si="1"/>
        <v>8.5049407302037707</v>
      </c>
      <c r="F17">
        <f t="shared" si="2"/>
        <v>8.5049407302037707</v>
      </c>
      <c r="G17">
        <f>SUM($F$2:F17)/COUNT($F$2:F17)</f>
        <v>40.248396159317117</v>
      </c>
      <c r="H17" s="1">
        <f t="shared" si="3"/>
        <v>72.334016824279047</v>
      </c>
      <c r="I17" s="1">
        <f>SUM($H$2:H17)/(COUNT($H$2:H17)-1)</f>
        <v>5156.8185618013558</v>
      </c>
    </row>
    <row r="18" spans="1:9" x14ac:dyDescent="0.2">
      <c r="A18">
        <v>17</v>
      </c>
      <c r="B18" s="6">
        <v>359</v>
      </c>
      <c r="C18" s="1">
        <f>Stat.S.T.Reg.Office2!$B$17+Stat.S.T.Reg.Office2!$B$18*Setr2Reg!A18</f>
        <v>331.86649596965395</v>
      </c>
      <c r="D18" s="1">
        <f t="shared" si="0"/>
        <v>331.86649596965395</v>
      </c>
      <c r="E18" s="1">
        <f t="shared" si="1"/>
        <v>27.133504030346046</v>
      </c>
      <c r="F18">
        <f t="shared" si="2"/>
        <v>27.133504030346046</v>
      </c>
      <c r="G18">
        <f>SUM($F$2:F18)/COUNT($F$2:F18)</f>
        <v>39.476931916436463</v>
      </c>
      <c r="H18" s="1">
        <f t="shared" si="3"/>
        <v>736.22704096480516</v>
      </c>
      <c r="I18" s="1">
        <f>SUM($H$2:H18)/(COUNT($H$2:H18)-1)</f>
        <v>4880.5315917490716</v>
      </c>
    </row>
    <row r="19" spans="1:9" x14ac:dyDescent="0.2">
      <c r="A19">
        <v>18</v>
      </c>
      <c r="B19" s="6">
        <v>370</v>
      </c>
      <c r="C19" s="1">
        <f>Stat.S.T.Reg.Office2!$B$17+Stat.S.T.Reg.Office2!$B$18*Setr2Reg!A19</f>
        <v>342.23793266951168</v>
      </c>
      <c r="D19" s="1">
        <f t="shared" si="0"/>
        <v>342.23793266951168</v>
      </c>
      <c r="E19" s="1">
        <f t="shared" si="1"/>
        <v>27.762067330488321</v>
      </c>
      <c r="F19">
        <f t="shared" si="2"/>
        <v>27.762067330488321</v>
      </c>
      <c r="G19">
        <f>SUM($F$2:F19)/COUNT($F$2:F19)</f>
        <v>38.82610610610601</v>
      </c>
      <c r="H19" s="1">
        <f t="shared" si="3"/>
        <v>770.73238246256699</v>
      </c>
      <c r="I19" s="1">
        <f>SUM($H$2:H19)/(COUNT($H$2:H19)-1)</f>
        <v>4638.7786970851594</v>
      </c>
    </row>
    <row r="20" spans="1:9" x14ac:dyDescent="0.2">
      <c r="A20">
        <v>19</v>
      </c>
      <c r="B20" s="6">
        <v>348</v>
      </c>
      <c r="C20" s="1">
        <f>Stat.S.T.Reg.Office2!$B$17+Stat.S.T.Reg.Office2!$B$18*Setr2Reg!A20</f>
        <v>352.60936936936946</v>
      </c>
      <c r="D20" s="1">
        <f t="shared" si="0"/>
        <v>352.60936936936946</v>
      </c>
      <c r="E20" s="1">
        <f t="shared" si="1"/>
        <v>-4.6093693693694604</v>
      </c>
      <c r="F20">
        <f t="shared" si="2"/>
        <v>4.6093693693694604</v>
      </c>
      <c r="G20">
        <f>SUM($F$2:F20)/COUNT($F$2:F20)</f>
        <v>37.025225225225142</v>
      </c>
      <c r="H20" s="1">
        <f t="shared" si="3"/>
        <v>21.246285983281417</v>
      </c>
      <c r="I20" s="1">
        <f>SUM($H$2:H20)/(COUNT($H$2:H20)-1)</f>
        <v>4382.2491186906109</v>
      </c>
    </row>
    <row r="21" spans="1:9" x14ac:dyDescent="0.2">
      <c r="A21">
        <v>20</v>
      </c>
      <c r="B21" s="6">
        <v>281</v>
      </c>
      <c r="C21" s="1">
        <f>Stat.S.T.Reg.Office2!$B$17+Stat.S.T.Reg.Office2!$B$18*Setr2Reg!A21</f>
        <v>362.98080606922719</v>
      </c>
      <c r="D21" s="1">
        <f t="shared" si="0"/>
        <v>362.98080606922719</v>
      </c>
      <c r="E21" s="1">
        <f t="shared" si="1"/>
        <v>-81.980806069227185</v>
      </c>
      <c r="F21">
        <f t="shared" si="2"/>
        <v>81.980806069227185</v>
      </c>
      <c r="G21">
        <f>SUM($F$2:F21)/COUNT($F$2:F21)</f>
        <v>39.273004267425243</v>
      </c>
      <c r="H21" s="1">
        <f t="shared" si="3"/>
        <v>6720.852563760237</v>
      </c>
      <c r="I21" s="1">
        <f>SUM($H$2:H21)/(COUNT($H$2:H21)-1)</f>
        <v>4505.3335105363813</v>
      </c>
    </row>
    <row r="22" spans="1:9" x14ac:dyDescent="0.2">
      <c r="A22">
        <v>21</v>
      </c>
      <c r="B22" s="6">
        <v>356</v>
      </c>
      <c r="C22" s="1">
        <f>Stat.S.T.Reg.Office2!$B$17+Stat.S.T.Reg.Office2!$B$18*Setr2Reg!A22</f>
        <v>373.35224276908491</v>
      </c>
      <c r="D22" s="1">
        <f t="shared" si="0"/>
        <v>373.35224276908491</v>
      </c>
      <c r="E22" s="1">
        <f t="shared" si="1"/>
        <v>-17.35224276908491</v>
      </c>
      <c r="F22">
        <f t="shared" si="2"/>
        <v>17.35224276908491</v>
      </c>
      <c r="G22">
        <f>SUM($F$2:F22)/COUNT($F$2:F22)</f>
        <v>38.229158481789987</v>
      </c>
      <c r="H22" s="1">
        <f t="shared" si="3"/>
        <v>301.10032911725955</v>
      </c>
      <c r="I22" s="1">
        <f>SUM($H$2:H22)/(COUNT($H$2:H22)-1)</f>
        <v>4295.1218514654247</v>
      </c>
    </row>
    <row r="23" spans="1:9" x14ac:dyDescent="0.2">
      <c r="A23">
        <v>22</v>
      </c>
      <c r="B23" s="6">
        <v>372</v>
      </c>
      <c r="C23" s="1">
        <f>Stat.S.T.Reg.Office2!$B$17+Stat.S.T.Reg.Office2!$B$18*Setr2Reg!A23</f>
        <v>383.72367946894269</v>
      </c>
      <c r="D23" s="1">
        <f t="shared" si="0"/>
        <v>383.72367946894269</v>
      </c>
      <c r="E23" s="1">
        <f t="shared" si="1"/>
        <v>-11.723679468942692</v>
      </c>
      <c r="F23">
        <f t="shared" si="2"/>
        <v>11.723679468942692</v>
      </c>
      <c r="G23">
        <f>SUM($F$2:F23)/COUNT($F$2:F23)</f>
        <v>37.024363981206022</v>
      </c>
      <c r="H23" s="1">
        <f t="shared" si="3"/>
        <v>137.44466029050838</v>
      </c>
      <c r="I23" s="1">
        <f>SUM($H$2:H23)/(COUNT($H$2:H23)-1)</f>
        <v>4097.1372233142383</v>
      </c>
    </row>
    <row r="24" spans="1:9" x14ac:dyDescent="0.2">
      <c r="A24">
        <v>23</v>
      </c>
      <c r="B24" s="6">
        <v>377</v>
      </c>
      <c r="C24" s="1">
        <f>Stat.S.T.Reg.Office2!$B$17+Stat.S.T.Reg.Office2!$B$18*Setr2Reg!A24</f>
        <v>394.09511616880047</v>
      </c>
      <c r="D24" s="1">
        <f t="shared" si="0"/>
        <v>394.09511616880047</v>
      </c>
      <c r="E24" s="1">
        <f t="shared" si="1"/>
        <v>-17.095116168800473</v>
      </c>
      <c r="F24">
        <f t="shared" si="2"/>
        <v>17.095116168800473</v>
      </c>
      <c r="G24">
        <f>SUM($F$2:F24)/COUNT($F$2:F24)</f>
        <v>36.157874945884039</v>
      </c>
      <c r="H24" s="1">
        <f t="shared" si="3"/>
        <v>292.24299682478335</v>
      </c>
      <c r="I24" s="1">
        <f>SUM($H$2:H24)/(COUNT($H$2:H24)-1)</f>
        <v>3924.1874857465359</v>
      </c>
    </row>
    <row r="25" spans="1:9" x14ac:dyDescent="0.2">
      <c r="A25">
        <v>24</v>
      </c>
      <c r="B25" s="6">
        <v>412</v>
      </c>
      <c r="C25" s="1">
        <f>Stat.S.T.Reg.Office2!$B$17+Stat.S.T.Reg.Office2!$B$18*Setr2Reg!A25</f>
        <v>404.4665528686582</v>
      </c>
      <c r="D25" s="1">
        <f t="shared" si="0"/>
        <v>404.4665528686582</v>
      </c>
      <c r="E25" s="1">
        <f t="shared" si="1"/>
        <v>7.5334471313418021</v>
      </c>
      <c r="F25">
        <f t="shared" si="2"/>
        <v>7.5334471313418021</v>
      </c>
      <c r="G25">
        <f>SUM($F$2:F25)/COUNT($F$2:F25)</f>
        <v>34.965190453611449</v>
      </c>
      <c r="H25" s="1">
        <f t="shared" si="3"/>
        <v>56.752825680722026</v>
      </c>
      <c r="I25" s="1">
        <f>SUM($H$2:H25)/(COUNT($H$2:H25)-1)</f>
        <v>3756.0381527001964</v>
      </c>
    </row>
    <row r="26" spans="1:9" x14ac:dyDescent="0.2">
      <c r="A26">
        <v>25</v>
      </c>
      <c r="B26" s="6">
        <v>503</v>
      </c>
      <c r="C26" s="1">
        <f>Stat.S.T.Reg.Office2!$B$17+Stat.S.T.Reg.Office2!$B$18*Setr2Reg!A26</f>
        <v>414.83798956851592</v>
      </c>
      <c r="D26" s="1">
        <f t="shared" si="0"/>
        <v>414.83798956851592</v>
      </c>
      <c r="E26" s="1">
        <f t="shared" si="1"/>
        <v>88.162010431484077</v>
      </c>
      <c r="F26">
        <f t="shared" si="2"/>
        <v>88.162010431484077</v>
      </c>
      <c r="G26">
        <f>SUM($F$2:F26)/COUNT($F$2:F26)</f>
        <v>37.093063252726353</v>
      </c>
      <c r="H26" s="1">
        <f t="shared" si="3"/>
        <v>7772.540083321107</v>
      </c>
      <c r="I26" s="1">
        <f>SUM($H$2:H26)/(COUNT($H$2:H26)-1)</f>
        <v>3923.392399809401</v>
      </c>
    </row>
    <row r="27" spans="1:9" x14ac:dyDescent="0.2">
      <c r="A27">
        <v>26</v>
      </c>
      <c r="B27" s="6">
        <v>381</v>
      </c>
      <c r="C27" s="1">
        <f>Stat.S.T.Reg.Office2!$B$17+Stat.S.T.Reg.Office2!$B$18*Setr2Reg!A27</f>
        <v>425.2094262683737</v>
      </c>
      <c r="D27" s="1">
        <f t="shared" si="0"/>
        <v>425.2094262683737</v>
      </c>
      <c r="E27" s="1">
        <f t="shared" si="1"/>
        <v>-44.209426268373704</v>
      </c>
      <c r="F27">
        <f t="shared" si="2"/>
        <v>44.209426268373704</v>
      </c>
      <c r="G27">
        <f>SUM($F$2:F27)/COUNT($F$2:F27)</f>
        <v>37.36676952255894</v>
      </c>
      <c r="H27" s="1">
        <f t="shared" si="3"/>
        <v>1954.4733709787708</v>
      </c>
      <c r="I27" s="1">
        <f>SUM($H$2:H27)/(COUNT($H$2:H27)-1)</f>
        <v>3844.6356386561756</v>
      </c>
    </row>
    <row r="28" spans="1:9" x14ac:dyDescent="0.2">
      <c r="A28">
        <v>27</v>
      </c>
      <c r="B28" s="6">
        <v>434</v>
      </c>
      <c r="C28" s="1">
        <f>Stat.S.T.Reg.Office2!$B$17+Stat.S.T.Reg.Office2!$B$18*Setr2Reg!A28</f>
        <v>435.58086296823143</v>
      </c>
      <c r="D28" s="1">
        <f t="shared" si="0"/>
        <v>435.58086296823143</v>
      </c>
      <c r="E28" s="1">
        <f t="shared" si="1"/>
        <v>-1.580862968231429</v>
      </c>
      <c r="F28">
        <f t="shared" si="2"/>
        <v>1.580862968231429</v>
      </c>
      <c r="G28">
        <f>SUM($F$2:F28)/COUNT($F$2:F28)</f>
        <v>36.041365576102365</v>
      </c>
      <c r="H28" s="1">
        <f t="shared" si="3"/>
        <v>2.4991277243254841</v>
      </c>
      <c r="I28" s="1">
        <f>SUM($H$2:H28)/(COUNT($H$2:H28)-1)</f>
        <v>3696.8611574664892</v>
      </c>
    </row>
    <row r="29" spans="1:9" x14ac:dyDescent="0.2">
      <c r="A29">
        <v>28</v>
      </c>
      <c r="B29" s="6">
        <v>229</v>
      </c>
      <c r="C29" s="1">
        <f>Stat.S.T.Reg.Office2!$B$17+Stat.S.T.Reg.Office2!$B$18*Setr2Reg!A29</f>
        <v>445.95229966808915</v>
      </c>
      <c r="D29" s="1">
        <f t="shared" si="0"/>
        <v>445.95229966808915</v>
      </c>
      <c r="E29" s="1">
        <f t="shared" si="1"/>
        <v>-216.95229966808915</v>
      </c>
      <c r="F29">
        <f t="shared" si="2"/>
        <v>216.95229966808915</v>
      </c>
      <c r="G29">
        <f>SUM($F$2:F29)/COUNT($F$2:F29)</f>
        <v>42.502470365101892</v>
      </c>
      <c r="H29" s="1">
        <f t="shared" si="3"/>
        <v>47068.300331272359</v>
      </c>
      <c r="I29" s="1">
        <f>SUM($H$2:H29)/(COUNT($H$2:H29)-1)</f>
        <v>5303.2107564963362</v>
      </c>
    </row>
    <row r="30" spans="1:9" x14ac:dyDescent="0.2">
      <c r="A30">
        <v>29</v>
      </c>
      <c r="B30" s="6">
        <v>446</v>
      </c>
      <c r="C30" s="1">
        <f>Stat.S.T.Reg.Office2!$B$17+Stat.S.T.Reg.Office2!$B$18*Setr2Reg!A30</f>
        <v>456.32373636794694</v>
      </c>
      <c r="D30" s="1">
        <f t="shared" si="0"/>
        <v>456.32373636794694</v>
      </c>
      <c r="E30" s="1">
        <f t="shared" si="1"/>
        <v>-10.323736367946935</v>
      </c>
      <c r="F30">
        <f t="shared" si="2"/>
        <v>10.323736367946935</v>
      </c>
      <c r="G30">
        <f>SUM($F$2:F30)/COUNT($F$2:F30)</f>
        <v>41.392858847958621</v>
      </c>
      <c r="H30" s="1">
        <f t="shared" si="3"/>
        <v>106.57953259487019</v>
      </c>
      <c r="I30" s="1">
        <f>SUM($H$2:H30)/(COUNT($H$2:H30)-1)</f>
        <v>5117.6167842141413</v>
      </c>
    </row>
    <row r="31" spans="1:9" x14ac:dyDescent="0.2">
      <c r="A31">
        <v>30</v>
      </c>
      <c r="B31" s="6">
        <v>450</v>
      </c>
      <c r="C31" s="1">
        <f>Stat.S.T.Reg.Office2!$B$17+Stat.S.T.Reg.Office2!$B$18*Setr2Reg!A31</f>
        <v>466.69517306780466</v>
      </c>
      <c r="D31" s="1">
        <f t="shared" si="0"/>
        <v>466.69517306780466</v>
      </c>
      <c r="E31" s="1">
        <f t="shared" si="1"/>
        <v>-16.69517306780466</v>
      </c>
      <c r="F31">
        <f t="shared" si="2"/>
        <v>16.69517306780466</v>
      </c>
      <c r="G31">
        <f>SUM($F$2:F31)/COUNT($F$2:F31)</f>
        <v>40.569602655286829</v>
      </c>
      <c r="H31" s="1">
        <f t="shared" si="3"/>
        <v>278.72880376395005</v>
      </c>
      <c r="I31" s="1">
        <f>SUM($H$2:H31)/(COUNT($H$2:H31)-1)</f>
        <v>4950.7585779917208</v>
      </c>
    </row>
    <row r="32" spans="1:9" x14ac:dyDescent="0.2">
      <c r="A32">
        <v>31</v>
      </c>
      <c r="B32" s="6">
        <v>455</v>
      </c>
      <c r="C32" s="1">
        <f>Stat.S.T.Reg.Office2!$B$17+Stat.S.T.Reg.Office2!$B$18*Setr2Reg!A32</f>
        <v>477.06660976766244</v>
      </c>
      <c r="D32" s="1">
        <f t="shared" si="0"/>
        <v>477.06660976766244</v>
      </c>
      <c r="E32" s="1">
        <f t="shared" si="1"/>
        <v>-22.066609767662442</v>
      </c>
      <c r="F32">
        <f t="shared" si="2"/>
        <v>22.066609767662442</v>
      </c>
      <c r="G32">
        <f>SUM($F$2:F32)/COUNT($F$2:F32)</f>
        <v>39.972731916976358</v>
      </c>
      <c r="H32" s="1">
        <f t="shared" si="3"/>
        <v>486.9352666382955</v>
      </c>
      <c r="I32" s="1">
        <f>SUM($H$2:H32)/(COUNT($H$2:H32)-1)</f>
        <v>4801.964467613273</v>
      </c>
    </row>
    <row r="33" spans="1:9" x14ac:dyDescent="0.2">
      <c r="A33">
        <v>32</v>
      </c>
      <c r="B33" s="6">
        <v>465</v>
      </c>
      <c r="C33" s="1">
        <f>Stat.S.T.Reg.Office2!$B$17+Stat.S.T.Reg.Office2!$B$18*Setr2Reg!A33</f>
        <v>487.43804646752017</v>
      </c>
      <c r="D33" s="1">
        <f t="shared" si="0"/>
        <v>487.43804646752017</v>
      </c>
      <c r="E33" s="1">
        <f t="shared" si="1"/>
        <v>-22.438046467520167</v>
      </c>
      <c r="F33">
        <f t="shared" si="2"/>
        <v>22.438046467520167</v>
      </c>
      <c r="G33">
        <f>SUM($F$2:F33)/COUNT($F$2:F33)</f>
        <v>39.424772996680858</v>
      </c>
      <c r="H33" s="1">
        <f t="shared" si="3"/>
        <v>503.46592927859422</v>
      </c>
      <c r="I33" s="1">
        <f>SUM($H$2:H33)/(COUNT($H$2:H33)-1)</f>
        <v>4663.3032244411861</v>
      </c>
    </row>
    <row r="34" spans="1:9" x14ac:dyDescent="0.2">
      <c r="A34">
        <v>33</v>
      </c>
      <c r="B34" s="6">
        <v>495</v>
      </c>
      <c r="C34" s="1">
        <f>Stat.S.T.Reg.Office2!$B$17+Stat.S.T.Reg.Office2!$B$18*Setr2Reg!A34</f>
        <v>497.80948316737789</v>
      </c>
      <c r="D34" s="1">
        <f t="shared" si="0"/>
        <v>497.80948316737789</v>
      </c>
      <c r="E34" s="1">
        <f t="shared" si="1"/>
        <v>-2.8094831673778913</v>
      </c>
      <c r="F34">
        <f t="shared" si="2"/>
        <v>2.8094831673778913</v>
      </c>
      <c r="G34">
        <f>SUM($F$2:F34)/COUNT($F$2:F34)</f>
        <v>38.315218759429257</v>
      </c>
      <c r="H34" s="1">
        <f t="shared" si="3"/>
        <v>7.8931956677797084</v>
      </c>
      <c r="I34" s="1">
        <f>SUM($H$2:H34)/(COUNT($H$2:H34)-1)</f>
        <v>4517.8216610420168</v>
      </c>
    </row>
    <row r="35" spans="1:9" x14ac:dyDescent="0.2">
      <c r="A35">
        <v>34</v>
      </c>
      <c r="B35" s="6">
        <v>500</v>
      </c>
      <c r="C35" s="1">
        <f>Stat.S.T.Reg.Office2!$B$17+Stat.S.T.Reg.Office2!$B$18*Setr2Reg!A35</f>
        <v>508.18091986723567</v>
      </c>
      <c r="D35" s="1">
        <f t="shared" si="0"/>
        <v>508.18091986723567</v>
      </c>
      <c r="E35" s="1">
        <f t="shared" si="1"/>
        <v>-8.1809198672356729</v>
      </c>
      <c r="F35">
        <f t="shared" si="2"/>
        <v>8.1809198672356729</v>
      </c>
      <c r="G35">
        <f>SUM($F$2:F35)/COUNT($F$2:F35)</f>
        <v>37.428915850835324</v>
      </c>
      <c r="H35" s="1">
        <f t="shared" si="3"/>
        <v>66.927449874131341</v>
      </c>
      <c r="I35" s="1">
        <f>SUM($H$2:H35)/(COUNT($H$2:H35)-1)</f>
        <v>4382.9460788854149</v>
      </c>
    </row>
    <row r="36" spans="1:9" x14ac:dyDescent="0.2">
      <c r="A36">
        <v>35</v>
      </c>
      <c r="B36" s="6">
        <v>412</v>
      </c>
      <c r="C36" s="1">
        <f>Stat.S.T.Reg.Office2!$B$17+Stat.S.T.Reg.Office2!$B$18*Setr2Reg!A36</f>
        <v>518.5523565670934</v>
      </c>
      <c r="D36" s="1">
        <f t="shared" si="0"/>
        <v>518.5523565670934</v>
      </c>
      <c r="E36" s="1">
        <f t="shared" si="1"/>
        <v>-106.5523565670934</v>
      </c>
      <c r="F36">
        <f t="shared" si="2"/>
        <v>106.5523565670934</v>
      </c>
      <c r="G36">
        <f>SUM($F$2:F36)/COUNT($F$2:F36)</f>
        <v>39.40387129987127</v>
      </c>
      <c r="H36" s="1">
        <f t="shared" si="3"/>
        <v>11353.404690001011</v>
      </c>
      <c r="I36" s="1">
        <f>SUM($H$2:H36)/(COUNT($H$2:H36)-1)</f>
        <v>4587.9595674476377</v>
      </c>
    </row>
    <row r="37" spans="1:9" x14ac:dyDescent="0.2">
      <c r="A37">
        <v>36</v>
      </c>
      <c r="B37" s="6">
        <v>508</v>
      </c>
      <c r="C37" s="1">
        <f>Stat.S.T.Reg.Office2!$B$17+Stat.S.T.Reg.Office2!$B$18*Setr2Reg!A37</f>
        <v>528.92379326695118</v>
      </c>
      <c r="D37" s="1">
        <f t="shared" si="0"/>
        <v>528.92379326695118</v>
      </c>
      <c r="E37" s="1">
        <f t="shared" si="1"/>
        <v>-20.923793266951179</v>
      </c>
      <c r="F37">
        <f t="shared" si="2"/>
        <v>20.923793266951179</v>
      </c>
      <c r="G37">
        <f>SUM($F$2:F37)/COUNT($F$2:F37)</f>
        <v>38.890535798956826</v>
      </c>
      <c r="H37" s="1">
        <f t="shared" si="3"/>
        <v>437.8051246781115</v>
      </c>
      <c r="I37" s="1">
        <f>SUM($H$2:H37)/(COUNT($H$2:H37)-1)</f>
        <v>4469.383726225652</v>
      </c>
    </row>
    <row r="38" spans="1:9" x14ac:dyDescent="0.2">
      <c r="A38">
        <v>37</v>
      </c>
      <c r="B38" s="6">
        <v>511</v>
      </c>
      <c r="C38" s="1">
        <f>Stat.S.T.Reg.Office2!$B$17+Stat.S.T.Reg.Office2!$B$18*Setr2Reg!A38</f>
        <v>539.29522996680885</v>
      </c>
      <c r="D38" s="1">
        <f t="shared" si="0"/>
        <v>539.29522996680885</v>
      </c>
      <c r="E38" s="1">
        <f t="shared" si="1"/>
        <v>-28.295229966808847</v>
      </c>
      <c r="F38">
        <f t="shared" si="2"/>
        <v>28.295229966808847</v>
      </c>
      <c r="G38">
        <f>SUM($F$2:F38)/COUNT($F$2:F38)</f>
        <v>38.604176181871743</v>
      </c>
      <c r="H38" s="1">
        <f t="shared" si="3"/>
        <v>800.62003887459741</v>
      </c>
      <c r="I38" s="1">
        <f>SUM($H$2:H38)/(COUNT($H$2:H38)-1)</f>
        <v>4367.4736237992338</v>
      </c>
    </row>
    <row r="39" spans="1:9" x14ac:dyDescent="0.2">
      <c r="A39">
        <v>38</v>
      </c>
      <c r="B39" s="6">
        <v>612</v>
      </c>
      <c r="C39" s="1">
        <f>Stat.S.T.Reg.Office2!$B$17+Stat.S.T.Reg.Office2!$B$18*Setr2Reg!A39</f>
        <v>549.66666666666663</v>
      </c>
      <c r="D39" s="1">
        <f t="shared" si="0"/>
        <v>549.66666666666663</v>
      </c>
      <c r="E39" s="1">
        <f t="shared" si="1"/>
        <v>62.333333333333371</v>
      </c>
      <c r="F39">
        <f t="shared" si="2"/>
        <v>62.333333333333371</v>
      </c>
      <c r="G39">
        <f>SUM($F$2:F39)/COUNT($F$2:F39)</f>
        <v>39.228627685857575</v>
      </c>
      <c r="H39" s="1">
        <f t="shared" si="3"/>
        <v>3885.4444444444493</v>
      </c>
      <c r="I39" s="1">
        <f>SUM($H$2:H39)/(COUNT($H$2:H39)-1)</f>
        <v>4354.4458081409957</v>
      </c>
    </row>
    <row r="40" spans="1:9" x14ac:dyDescent="0.2">
      <c r="A40">
        <v>39</v>
      </c>
      <c r="B40" s="6">
        <v>511</v>
      </c>
      <c r="C40" s="1">
        <f>Stat.S.T.Reg.Office2!$B$17+Stat.S.T.Reg.Office2!$B$18*Setr2Reg!A40</f>
        <v>560.03810336652441</v>
      </c>
      <c r="D40" s="1">
        <f t="shared" si="0"/>
        <v>560.03810336652441</v>
      </c>
      <c r="E40" s="1">
        <f t="shared" si="1"/>
        <v>-49.03810336652441</v>
      </c>
      <c r="F40">
        <f t="shared" si="2"/>
        <v>49.03810336652441</v>
      </c>
      <c r="G40">
        <f>SUM($F$2:F40)/COUNT($F$2:F40)</f>
        <v>39.480152703310573</v>
      </c>
      <c r="H40" s="1">
        <f t="shared" si="3"/>
        <v>2404.7355817859329</v>
      </c>
      <c r="I40" s="1">
        <f>SUM($H$2:H40)/(COUNT($H$2:H40)-1)</f>
        <v>4303.1376442895471</v>
      </c>
    </row>
    <row r="41" spans="1:9" x14ac:dyDescent="0.2">
      <c r="A41">
        <v>40</v>
      </c>
      <c r="B41" s="6">
        <v>514</v>
      </c>
      <c r="C41" s="1">
        <f>Stat.S.T.Reg.Office2!$B$17+Stat.S.T.Reg.Office2!$B$18*Setr2Reg!A41</f>
        <v>570.40954006638208</v>
      </c>
      <c r="D41" s="1">
        <f t="shared" si="0"/>
        <v>570.40954006638208</v>
      </c>
      <c r="E41" s="1">
        <f t="shared" si="1"/>
        <v>-56.409540066382078</v>
      </c>
      <c r="F41">
        <f t="shared" si="2"/>
        <v>56.409540066382078</v>
      </c>
      <c r="G41">
        <f>SUM($F$2:F41)/COUNT($F$2:F41)</f>
        <v>39.903387387387355</v>
      </c>
      <c r="H41" s="1">
        <f t="shared" si="3"/>
        <v>3182.0362105007648</v>
      </c>
      <c r="I41" s="1">
        <f>SUM($H$2:H41)/(COUNT($H$2:H41)-1)</f>
        <v>4274.3914536795783</v>
      </c>
    </row>
    <row r="42" spans="1:9" x14ac:dyDescent="0.2">
      <c r="A42">
        <v>41</v>
      </c>
      <c r="B42" s="6">
        <v>520</v>
      </c>
      <c r="C42" s="1">
        <f>Stat.S.T.Reg.Office2!$B$17+Stat.S.T.Reg.Office2!$B$18*Setr2Reg!A42</f>
        <v>580.78097676623997</v>
      </c>
      <c r="D42" s="1">
        <f t="shared" si="0"/>
        <v>580.78097676623997</v>
      </c>
      <c r="E42" s="1">
        <f t="shared" si="1"/>
        <v>-60.780976766239974</v>
      </c>
      <c r="F42">
        <f t="shared" si="2"/>
        <v>60.780976766239974</v>
      </c>
      <c r="G42">
        <f>SUM($F$2:F42)/COUNT($F$2:F42)</f>
        <v>40.412596884432546</v>
      </c>
      <c r="H42" s="1">
        <f t="shared" si="3"/>
        <v>3694.3271366582035</v>
      </c>
      <c r="I42" s="1">
        <f>SUM($H$2:H42)/(COUNT($H$2:H42)-1)</f>
        <v>4259.8898457540436</v>
      </c>
    </row>
    <row r="43" spans="1:9" x14ac:dyDescent="0.2">
      <c r="A43">
        <v>42</v>
      </c>
      <c r="B43" s="6">
        <v>710</v>
      </c>
      <c r="C43" s="1">
        <f>Stat.S.T.Reg.Office2!$B$17+Stat.S.T.Reg.Office2!$B$18*Setr2Reg!A43</f>
        <v>591.15241346609764</v>
      </c>
      <c r="D43" s="1">
        <f t="shared" si="0"/>
        <v>591.15241346609764</v>
      </c>
      <c r="E43" s="1">
        <f t="shared" si="1"/>
        <v>118.84758653390236</v>
      </c>
      <c r="F43">
        <f t="shared" si="2"/>
        <v>118.84758653390236</v>
      </c>
      <c r="G43">
        <f>SUM($F$2:F43)/COUNT($F$2:F43)</f>
        <v>42.280096637991349</v>
      </c>
      <c r="H43" s="1">
        <f t="shared" si="3"/>
        <v>14124.748824933409</v>
      </c>
      <c r="I43" s="1">
        <f>SUM($H$2:H43)/(COUNT($H$2:H43)-1)</f>
        <v>4500.4961623193931</v>
      </c>
    </row>
    <row r="44" spans="1:9" x14ac:dyDescent="0.2">
      <c r="A44">
        <v>43</v>
      </c>
      <c r="B44" s="6">
        <v>532</v>
      </c>
      <c r="C44" s="1">
        <f>Stat.S.T.Reg.Office2!$B$17+Stat.S.T.Reg.Office2!$B$18*Setr2Reg!A44</f>
        <v>601.52385016595531</v>
      </c>
      <c r="D44" s="1">
        <f t="shared" si="0"/>
        <v>601.52385016595531</v>
      </c>
      <c r="E44" s="1">
        <f t="shared" si="1"/>
        <v>-69.523850165955309</v>
      </c>
      <c r="F44">
        <f t="shared" si="2"/>
        <v>69.523850165955309</v>
      </c>
      <c r="G44">
        <f>SUM($F$2:F44)/COUNT($F$2:F44)</f>
        <v>42.913672301432371</v>
      </c>
      <c r="H44" s="1">
        <f t="shared" si="3"/>
        <v>4833.5657418982037</v>
      </c>
      <c r="I44" s="1">
        <f>SUM($H$2:H44)/(COUNT($H$2:H44)-1)</f>
        <v>4508.4263904046029</v>
      </c>
    </row>
    <row r="45" spans="1:9" x14ac:dyDescent="0.2">
      <c r="A45">
        <v>44</v>
      </c>
      <c r="B45" s="6">
        <v>540</v>
      </c>
      <c r="C45" s="1">
        <f>Stat.S.T.Reg.Office2!$B$17+Stat.S.T.Reg.Office2!$B$18*Setr2Reg!A45</f>
        <v>611.8952868658132</v>
      </c>
      <c r="D45" s="1">
        <f t="shared" si="0"/>
        <v>611.8952868658132</v>
      </c>
      <c r="E45" s="1">
        <f t="shared" si="1"/>
        <v>-71.895286865813205</v>
      </c>
      <c r="F45">
        <f t="shared" si="2"/>
        <v>71.895286865813205</v>
      </c>
      <c r="G45">
        <f>SUM($F$2:F45)/COUNT($F$2:F45)</f>
        <v>43.572345359713751</v>
      </c>
      <c r="H45" s="1">
        <f t="shared" si="3"/>
        <v>5168.9322735175729</v>
      </c>
      <c r="I45" s="1">
        <f>SUM($H$2:H45)/(COUNT($H$2:H45)-1)</f>
        <v>4523.7869923374628</v>
      </c>
    </row>
    <row r="46" spans="1:9" x14ac:dyDescent="0.2">
      <c r="A46">
        <v>45</v>
      </c>
      <c r="B46" s="6">
        <v>568</v>
      </c>
      <c r="C46" s="1">
        <f>Stat.S.T.Reg.Office2!$B$17+Stat.S.T.Reg.Office2!$B$18*Setr2Reg!A46</f>
        <v>622.26672356567087</v>
      </c>
      <c r="D46" s="1">
        <f t="shared" si="0"/>
        <v>622.26672356567087</v>
      </c>
      <c r="E46" s="1">
        <f t="shared" si="1"/>
        <v>-54.266723565670873</v>
      </c>
      <c r="F46">
        <f t="shared" si="2"/>
        <v>54.266723565670873</v>
      </c>
      <c r="G46">
        <f>SUM($F$2:F46)/COUNT($F$2:F46)</f>
        <v>43.809998208735024</v>
      </c>
      <c r="H46" s="1">
        <f t="shared" si="3"/>
        <v>2944.8772865529386</v>
      </c>
      <c r="I46" s="1">
        <f>SUM($H$2:H46)/(COUNT($H$2:H46)-1)</f>
        <v>4487.9026808423596</v>
      </c>
    </row>
    <row r="47" spans="1:9" x14ac:dyDescent="0.2">
      <c r="A47">
        <v>46</v>
      </c>
      <c r="B47" s="6">
        <v>572</v>
      </c>
      <c r="C47" s="1">
        <f>Stat.S.T.Reg.Office2!$B$17+Stat.S.T.Reg.Office2!$B$18*Setr2Reg!A47</f>
        <v>632.63816026552865</v>
      </c>
      <c r="D47" s="1">
        <f t="shared" si="0"/>
        <v>632.63816026552865</v>
      </c>
      <c r="E47" s="1">
        <f t="shared" si="1"/>
        <v>-60.638160265528654</v>
      </c>
      <c r="F47">
        <f t="shared" si="2"/>
        <v>60.638160265528654</v>
      </c>
      <c r="G47">
        <f>SUM($F$2:F47)/COUNT($F$2:F47)</f>
        <v>44.175827818665319</v>
      </c>
      <c r="H47" s="1">
        <f t="shared" si="3"/>
        <v>3676.9864803879382</v>
      </c>
      <c r="I47" s="1">
        <f>SUM($H$2:H47)/(COUNT($H$2:H47)-1)</f>
        <v>4469.8823208322619</v>
      </c>
    </row>
    <row r="48" spans="1:9" x14ac:dyDescent="0.2">
      <c r="A48">
        <v>47</v>
      </c>
      <c r="B48" s="6">
        <v>576</v>
      </c>
      <c r="C48" s="1">
        <f>Stat.S.T.Reg.Office2!$B$17+Stat.S.T.Reg.Office2!$B$18*Setr2Reg!A48</f>
        <v>643.00959696538644</v>
      </c>
      <c r="D48" s="1">
        <f t="shared" si="0"/>
        <v>643.00959696538644</v>
      </c>
      <c r="E48" s="1">
        <f t="shared" si="1"/>
        <v>-67.009596965386436</v>
      </c>
      <c r="F48">
        <f t="shared" si="2"/>
        <v>67.009596965386436</v>
      </c>
      <c r="G48">
        <f>SUM($F$2:F48)/COUNT($F$2:F48)</f>
        <v>44.661652694127469</v>
      </c>
      <c r="H48" s="1">
        <f t="shared" si="3"/>
        <v>4490.2860854635273</v>
      </c>
      <c r="I48" s="1">
        <f>SUM($H$2:H48)/(COUNT($H$2:H48)-1)</f>
        <v>4470.3258809329418</v>
      </c>
    </row>
    <row r="49" spans="1:9" x14ac:dyDescent="0.2">
      <c r="A49">
        <v>48</v>
      </c>
      <c r="B49" s="6">
        <v>577</v>
      </c>
      <c r="C49" s="1">
        <f>Stat.S.T.Reg.Office2!$B$17+Stat.S.T.Reg.Office2!$B$18*Setr2Reg!A49</f>
        <v>653.3810336652441</v>
      </c>
      <c r="D49" s="1">
        <f t="shared" si="0"/>
        <v>653.3810336652441</v>
      </c>
      <c r="E49" s="1">
        <f t="shared" si="1"/>
        <v>-76.381033665244104</v>
      </c>
      <c r="F49">
        <f t="shared" si="2"/>
        <v>76.381033665244104</v>
      </c>
      <c r="G49">
        <f>SUM($F$2:F49)/COUNT($F$2:F49)</f>
        <v>45.322473131025731</v>
      </c>
      <c r="H49" s="1">
        <f t="shared" si="3"/>
        <v>5834.062303771153</v>
      </c>
      <c r="I49" s="1">
        <f>SUM($H$2:H49)/(COUNT($H$2:H49)-1)</f>
        <v>4499.3415495039671</v>
      </c>
    </row>
    <row r="50" spans="1:9" x14ac:dyDescent="0.2">
      <c r="A50">
        <v>49</v>
      </c>
      <c r="B50" s="6">
        <v>836</v>
      </c>
      <c r="C50" s="1">
        <f>Stat.S.T.Reg.Office2!$B$17+Stat.S.T.Reg.Office2!$B$18*Setr2Reg!A50</f>
        <v>663.75247036510189</v>
      </c>
      <c r="D50" s="1">
        <f t="shared" si="0"/>
        <v>663.75247036510189</v>
      </c>
      <c r="E50" s="1">
        <f t="shared" si="1"/>
        <v>172.24752963489811</v>
      </c>
      <c r="F50">
        <f t="shared" si="2"/>
        <v>172.24752963489811</v>
      </c>
      <c r="G50">
        <f>SUM($F$2:F50)/COUNT($F$2:F50)</f>
        <v>47.912780406614964</v>
      </c>
      <c r="H50" s="1">
        <f t="shared" si="3"/>
        <v>29669.211465325105</v>
      </c>
      <c r="I50" s="1">
        <f>SUM($H$2:H50)/(COUNT($H$2:H50)-1)</f>
        <v>5023.7138394169078</v>
      </c>
    </row>
    <row r="51" spans="1:9" x14ac:dyDescent="0.2">
      <c r="A51">
        <v>50</v>
      </c>
      <c r="B51" s="6">
        <v>603</v>
      </c>
      <c r="C51" s="1">
        <f>Stat.S.T.Reg.Office2!$B$17+Stat.S.T.Reg.Office2!$B$18*Setr2Reg!A51</f>
        <v>674.12390706495967</v>
      </c>
      <c r="D51" s="1">
        <f t="shared" si="0"/>
        <v>674.12390706495967</v>
      </c>
      <c r="E51" s="1">
        <f t="shared" si="1"/>
        <v>-71.123907064959667</v>
      </c>
      <c r="F51">
        <f t="shared" si="2"/>
        <v>71.123907064959667</v>
      </c>
      <c r="G51">
        <f>SUM($F$2:F51)/COUNT($F$2:F51)</f>
        <v>48.377002939781853</v>
      </c>
      <c r="H51" s="1">
        <f t="shared" si="3"/>
        <v>5058.6101561850201</v>
      </c>
      <c r="I51" s="1">
        <f>SUM($H$2:H51)/(COUNT($H$2:H51)-1)</f>
        <v>5024.4260091468686</v>
      </c>
    </row>
    <row r="52" spans="1:9" x14ac:dyDescent="0.2">
      <c r="A52">
        <v>51</v>
      </c>
      <c r="B52" s="6">
        <v>608</v>
      </c>
      <c r="C52" s="1">
        <f>Stat.S.T.Reg.Office2!$B$17+Stat.S.T.Reg.Office2!$B$18*Setr2Reg!A52</f>
        <v>684.49534376481733</v>
      </c>
      <c r="D52" s="1">
        <f t="shared" si="0"/>
        <v>684.49534376481733</v>
      </c>
      <c r="E52" s="1">
        <f t="shared" si="1"/>
        <v>-76.495343764817335</v>
      </c>
      <c r="F52">
        <f t="shared" si="2"/>
        <v>76.495343764817335</v>
      </c>
      <c r="G52">
        <f>SUM($F$2:F52)/COUNT($F$2:F52)</f>
        <v>48.928342955959018</v>
      </c>
      <c r="H52" s="1">
        <f t="shared" si="3"/>
        <v>5851.5376176975788</v>
      </c>
      <c r="I52" s="1">
        <f>SUM($H$2:H52)/(COUNT($H$2:H52)-1)</f>
        <v>5040.9682413178834</v>
      </c>
    </row>
    <row r="53" spans="1:9" x14ac:dyDescent="0.2">
      <c r="A53">
        <v>52</v>
      </c>
      <c r="B53" s="6">
        <v>511</v>
      </c>
      <c r="C53" s="1">
        <f>Stat.S.T.Reg.Office2!$B$17+Stat.S.T.Reg.Office2!$B$18*Setr2Reg!A53</f>
        <v>694.86678046467523</v>
      </c>
      <c r="D53" s="1">
        <f t="shared" si="0"/>
        <v>694.86678046467523</v>
      </c>
      <c r="E53" s="1">
        <f t="shared" si="1"/>
        <v>-183.86678046467523</v>
      </c>
      <c r="F53">
        <f t="shared" si="2"/>
        <v>183.86678046467523</v>
      </c>
      <c r="G53">
        <f>SUM($F$2:F53)/COUNT($F$2:F53)</f>
        <v>51.523312908049711</v>
      </c>
      <c r="H53" s="1">
        <f t="shared" si="3"/>
        <v>33806.99295844508</v>
      </c>
      <c r="I53" s="1">
        <f>SUM($H$2:H53)/(COUNT($H$2:H53)-1)</f>
        <v>5605.007941653711</v>
      </c>
    </row>
    <row r="54" spans="1:9" x14ac:dyDescent="0.2">
      <c r="A54">
        <v>53</v>
      </c>
      <c r="B54" s="6">
        <v>676</v>
      </c>
      <c r="C54" s="1">
        <f>Stat.S.T.Reg.Office2!$B$17+Stat.S.T.Reg.Office2!$B$18*Setr2Reg!A54</f>
        <v>705.2382171645329</v>
      </c>
      <c r="D54" s="1">
        <f t="shared" si="0"/>
        <v>705.2382171645329</v>
      </c>
      <c r="E54" s="1">
        <f t="shared" si="1"/>
        <v>-29.238217164532898</v>
      </c>
      <c r="F54">
        <f t="shared" si="2"/>
        <v>29.238217164532898</v>
      </c>
      <c r="G54">
        <f>SUM($F$2:F54)/COUNT($F$2:F54)</f>
        <v>51.10283940345505</v>
      </c>
      <c r="H54" s="1">
        <f t="shared" si="3"/>
        <v>854.87334296038614</v>
      </c>
      <c r="I54" s="1">
        <f>SUM($H$2:H54)/(COUNT($H$2:H54)-1)</f>
        <v>5513.6591993711472</v>
      </c>
    </row>
    <row r="55" spans="1:9" x14ac:dyDescent="0.2">
      <c r="A55">
        <v>54</v>
      </c>
      <c r="B55" s="6">
        <v>681</v>
      </c>
      <c r="C55" s="1">
        <f>Stat.S.T.Reg.Office2!$B$17+Stat.S.T.Reg.Office2!$B$18*Setr2Reg!A55</f>
        <v>715.60965386439057</v>
      </c>
      <c r="D55" s="1">
        <f t="shared" si="0"/>
        <v>715.60965386439057</v>
      </c>
      <c r="E55" s="1">
        <f t="shared" si="1"/>
        <v>-34.609653864390566</v>
      </c>
      <c r="F55">
        <f t="shared" si="2"/>
        <v>34.609653864390566</v>
      </c>
      <c r="G55">
        <f>SUM($F$2:F55)/COUNT($F$2:F55)</f>
        <v>50.797410041620523</v>
      </c>
      <c r="H55" s="1">
        <f t="shared" si="3"/>
        <v>1197.8281406129249</v>
      </c>
      <c r="I55" s="1">
        <f>SUM($H$2:H55)/(COUNT($H$2:H55)-1)</f>
        <v>5432.2284246775953</v>
      </c>
    </row>
    <row r="56" spans="1:9" x14ac:dyDescent="0.2">
      <c r="A56">
        <v>55</v>
      </c>
      <c r="B56" s="6">
        <v>529</v>
      </c>
      <c r="C56" s="1">
        <f>Stat.S.T.Reg.Office2!$B$17+Stat.S.T.Reg.Office2!$B$18*Setr2Reg!A56</f>
        <v>725.98109056424846</v>
      </c>
      <c r="D56" s="1">
        <f t="shared" si="0"/>
        <v>725.98109056424846</v>
      </c>
      <c r="E56" s="1">
        <f t="shared" si="1"/>
        <v>-196.98109056424846</v>
      </c>
      <c r="F56">
        <f t="shared" si="2"/>
        <v>196.98109056424846</v>
      </c>
      <c r="G56">
        <f>SUM($F$2:F56)/COUNT($F$2:F56)</f>
        <v>53.455295142031943</v>
      </c>
      <c r="H56" s="1">
        <f t="shared" si="3"/>
        <v>38801.550039880654</v>
      </c>
      <c r="I56" s="1">
        <f>SUM($H$2:H56)/(COUNT($H$2:H56)-1)</f>
        <v>6050.1788249591345</v>
      </c>
    </row>
    <row r="57" spans="1:9" x14ac:dyDescent="0.2">
      <c r="A57">
        <v>56</v>
      </c>
      <c r="B57" s="6">
        <v>718</v>
      </c>
      <c r="C57" s="1">
        <f>Stat.S.T.Reg.Office2!$B$17+Stat.S.T.Reg.Office2!$B$18*Setr2Reg!A57</f>
        <v>736.35252726410613</v>
      </c>
      <c r="D57" s="1">
        <f t="shared" si="0"/>
        <v>736.35252726410613</v>
      </c>
      <c r="E57" s="1">
        <f t="shared" si="1"/>
        <v>-18.352527264106129</v>
      </c>
      <c r="F57">
        <f t="shared" si="2"/>
        <v>18.352527264106129</v>
      </c>
      <c r="G57">
        <f>SUM($F$2:F57)/COUNT($F$2:F57)</f>
        <v>52.828460001354692</v>
      </c>
      <c r="H57" s="1">
        <f t="shared" si="3"/>
        <v>336.81525697975883</v>
      </c>
      <c r="I57" s="1">
        <f>SUM($H$2:H57)/(COUNT($H$2:H57)-1)</f>
        <v>5946.2994873595098</v>
      </c>
    </row>
    <row r="58" spans="1:9" x14ac:dyDescent="0.2">
      <c r="A58">
        <v>57</v>
      </c>
      <c r="B58" s="6">
        <v>719</v>
      </c>
      <c r="C58" s="1">
        <f>Stat.S.T.Reg.Office2!$B$17+Stat.S.T.Reg.Office2!$B$18*Setr2Reg!A58</f>
        <v>746.7239639639638</v>
      </c>
      <c r="D58" s="1">
        <f t="shared" si="0"/>
        <v>746.7239639639638</v>
      </c>
      <c r="E58" s="1">
        <f t="shared" si="1"/>
        <v>-27.723963963963797</v>
      </c>
      <c r="F58">
        <f t="shared" si="2"/>
        <v>27.723963963963797</v>
      </c>
      <c r="G58">
        <f>SUM($F$2:F58)/COUNT($F$2:F58)</f>
        <v>52.388030246312745</v>
      </c>
      <c r="H58" s="1">
        <f t="shared" si="3"/>
        <v>768.61817787516327</v>
      </c>
      <c r="I58" s="1">
        <f>SUM($H$2:H58)/(COUNT($H$2:H58)-1)</f>
        <v>5853.8408925472895</v>
      </c>
    </row>
    <row r="59" spans="1:9" x14ac:dyDescent="0.2">
      <c r="A59">
        <v>58</v>
      </c>
      <c r="B59" s="6">
        <v>730</v>
      </c>
      <c r="C59" s="1">
        <f>Stat.S.T.Reg.Office2!$B$17+Stat.S.T.Reg.Office2!$B$18*Setr2Reg!A59</f>
        <v>757.09540066382169</v>
      </c>
      <c r="D59" s="1">
        <f t="shared" si="0"/>
        <v>757.09540066382169</v>
      </c>
      <c r="E59" s="1">
        <f t="shared" si="1"/>
        <v>-27.095400663821692</v>
      </c>
      <c r="F59">
        <f t="shared" si="2"/>
        <v>27.095400663821692</v>
      </c>
      <c r="G59">
        <f>SUM($F$2:F59)/COUNT($F$2:F59)</f>
        <v>51.95195042592497</v>
      </c>
      <c r="H59" s="1">
        <f t="shared" si="3"/>
        <v>734.16073713302899</v>
      </c>
      <c r="I59" s="1">
        <f>SUM($H$2:H59)/(COUNT($H$2:H59)-1)</f>
        <v>5764.021942452302</v>
      </c>
    </row>
    <row r="60" spans="1:9" x14ac:dyDescent="0.2">
      <c r="A60">
        <v>59</v>
      </c>
      <c r="B60" s="6">
        <v>866</v>
      </c>
      <c r="C60" s="1">
        <f>Stat.S.T.Reg.Office2!$B$17+Stat.S.T.Reg.Office2!$B$18*Setr2Reg!A60</f>
        <v>767.46683736367936</v>
      </c>
      <c r="D60" s="1">
        <f t="shared" si="0"/>
        <v>767.46683736367936</v>
      </c>
      <c r="E60" s="1">
        <f t="shared" si="1"/>
        <v>98.53316263632064</v>
      </c>
      <c r="F60">
        <f t="shared" si="2"/>
        <v>98.53316263632064</v>
      </c>
      <c r="G60">
        <f>SUM($F$2:F60)/COUNT($F$2:F60)</f>
        <v>52.741462497287614</v>
      </c>
      <c r="H60" s="1">
        <f t="shared" si="3"/>
        <v>9708.7841391156144</v>
      </c>
      <c r="I60" s="1">
        <f>SUM($H$2:H60)/(COUNT($H$2:H60)-1)</f>
        <v>5832.0350837740825</v>
      </c>
    </row>
    <row r="61" spans="1:9" x14ac:dyDescent="0.2">
      <c r="A61">
        <v>60</v>
      </c>
      <c r="B61" s="6">
        <v>755</v>
      </c>
      <c r="C61" s="1">
        <f>Stat.S.T.Reg.Office2!$B$17+Stat.S.T.Reg.Office2!$B$18*Setr2Reg!A61</f>
        <v>777.83827406353703</v>
      </c>
      <c r="D61" s="1">
        <f t="shared" si="0"/>
        <v>777.83827406353703</v>
      </c>
      <c r="E61" s="1">
        <f t="shared" si="1"/>
        <v>-22.838274063537028</v>
      </c>
      <c r="F61">
        <f t="shared" si="2"/>
        <v>22.838274063537028</v>
      </c>
      <c r="G61">
        <f>SUM($F$2:F61)/COUNT($F$2:F61)</f>
        <v>52.243076023391765</v>
      </c>
      <c r="H61" s="1">
        <f t="shared" si="3"/>
        <v>521.58676220122811</v>
      </c>
      <c r="I61" s="1">
        <f>SUM($H$2:H61)/(COUNT($H$2:H61)-1)</f>
        <v>5742.0274851033564</v>
      </c>
    </row>
    <row r="62" spans="1:9" x14ac:dyDescent="0.2">
      <c r="A62">
        <v>61</v>
      </c>
      <c r="B62" s="6">
        <v>775</v>
      </c>
      <c r="C62" s="1">
        <f>Stat.S.T.Reg.Office2!$B$17+Stat.S.T.Reg.Office2!$B$18*Setr2Reg!A62</f>
        <v>788.20971076339492</v>
      </c>
      <c r="D62" s="1">
        <f t="shared" si="0"/>
        <v>788.20971076339492</v>
      </c>
      <c r="E62" s="1">
        <f t="shared" si="1"/>
        <v>-13.209710763394924</v>
      </c>
      <c r="F62">
        <f t="shared" si="2"/>
        <v>13.209710763394924</v>
      </c>
      <c r="G62">
        <f>SUM($F$2:F62)/COUNT($F$2:F62)</f>
        <v>51.603184789621331</v>
      </c>
      <c r="H62" s="1">
        <f t="shared" si="3"/>
        <v>174.49645845255171</v>
      </c>
      <c r="I62" s="1">
        <f>SUM($H$2:H62)/(COUNT($H$2:H62)-1)</f>
        <v>5649.2353013258426</v>
      </c>
    </row>
    <row r="63" spans="1:9" x14ac:dyDescent="0.2">
      <c r="A63">
        <v>62</v>
      </c>
      <c r="B63" s="6">
        <v>802</v>
      </c>
      <c r="C63" s="1">
        <f>Stat.S.T.Reg.Office2!$B$17+Stat.S.T.Reg.Office2!$B$18*Setr2Reg!A63</f>
        <v>798.58114746325259</v>
      </c>
      <c r="D63" s="1">
        <f t="shared" si="0"/>
        <v>798.58114746325259</v>
      </c>
      <c r="E63" s="1">
        <f t="shared" si="1"/>
        <v>3.4188525367474085</v>
      </c>
      <c r="F63">
        <f t="shared" si="2"/>
        <v>3.4188525367474085</v>
      </c>
      <c r="G63">
        <f>SUM($F$2:F63)/COUNT($F$2:F63)</f>
        <v>50.826018140381429</v>
      </c>
      <c r="H63" s="1">
        <f t="shared" si="3"/>
        <v>11.68855266802419</v>
      </c>
      <c r="I63" s="1">
        <f>SUM($H$2:H63)/(COUNT($H$2:H63)-1)</f>
        <v>5556.8165021675177</v>
      </c>
    </row>
    <row r="64" spans="1:9" x14ac:dyDescent="0.2">
      <c r="A64">
        <v>63</v>
      </c>
      <c r="B64" s="6">
        <v>597</v>
      </c>
      <c r="C64" s="1">
        <f>Stat.S.T.Reg.Office2!$B$17+Stat.S.T.Reg.Office2!$B$18*Setr2Reg!A64</f>
        <v>808.95258416311026</v>
      </c>
      <c r="D64" s="1">
        <f t="shared" si="0"/>
        <v>808.95258416311026</v>
      </c>
      <c r="E64" s="1">
        <f t="shared" si="1"/>
        <v>-211.95258416311026</v>
      </c>
      <c r="F64">
        <f t="shared" si="2"/>
        <v>211.95258416311026</v>
      </c>
      <c r="G64">
        <f>SUM($F$2:F64)/COUNT($F$2:F64)</f>
        <v>53.383582680424745</v>
      </c>
      <c r="H64" s="1">
        <f t="shared" si="3"/>
        <v>44923.89793342034</v>
      </c>
      <c r="I64" s="1">
        <f>SUM($H$2:H64)/(COUNT($H$2:H64)-1)</f>
        <v>6191.7694284780473</v>
      </c>
    </row>
    <row r="65" spans="1:9" x14ac:dyDescent="0.2">
      <c r="A65">
        <v>64</v>
      </c>
      <c r="B65" s="6">
        <v>842</v>
      </c>
      <c r="C65" s="1">
        <f>Stat.S.T.Reg.Office2!$B$17+Stat.S.T.Reg.Office2!$B$18*Setr2Reg!A65</f>
        <v>819.32402086296815</v>
      </c>
      <c r="D65" s="1">
        <f t="shared" si="0"/>
        <v>819.32402086296815</v>
      </c>
      <c r="E65" s="1">
        <f t="shared" si="1"/>
        <v>22.675979137031845</v>
      </c>
      <c r="F65">
        <f t="shared" si="2"/>
        <v>22.675979137031845</v>
      </c>
      <c r="G65">
        <f>SUM($F$2:F65)/COUNT($F$2:F65)</f>
        <v>52.90377637505923</v>
      </c>
      <c r="H65" s="1">
        <f t="shared" si="3"/>
        <v>514.20002982310348</v>
      </c>
      <c r="I65" s="1">
        <f>SUM($H$2:H65)/(COUNT($H$2:H65)-1)</f>
        <v>6101.6492792930476</v>
      </c>
    </row>
    <row r="66" spans="1:9" x14ac:dyDescent="0.2">
      <c r="A66">
        <v>65</v>
      </c>
      <c r="B66" s="6">
        <v>851</v>
      </c>
      <c r="C66" s="1">
        <f>Stat.S.T.Reg.Office2!$B$17+Stat.S.T.Reg.Office2!$B$18*Setr2Reg!A66</f>
        <v>829.69545756282582</v>
      </c>
      <c r="D66" s="1">
        <f t="shared" si="0"/>
        <v>829.69545756282582</v>
      </c>
      <c r="E66" s="1">
        <f t="shared" si="1"/>
        <v>21.304542437174177</v>
      </c>
      <c r="F66">
        <f t="shared" si="2"/>
        <v>21.304542437174177</v>
      </c>
      <c r="G66">
        <f>SUM($F$2:F66)/COUNT($F$2:F66)</f>
        <v>52.417634314476388</v>
      </c>
      <c r="H66" s="1">
        <f t="shared" si="3"/>
        <v>453.88352845735545</v>
      </c>
      <c r="I66" s="1">
        <f>SUM($H$2:H66)/(COUNT($H$2:H66)-1)</f>
        <v>6013.4029394362406</v>
      </c>
    </row>
    <row r="67" spans="1:9" x14ac:dyDescent="0.2">
      <c r="A67">
        <v>66</v>
      </c>
      <c r="B67" s="6">
        <v>843</v>
      </c>
      <c r="C67" s="1">
        <f>Stat.S.T.Reg.Office2!$B$17+Stat.S.T.Reg.Office2!$B$18*Setr2Reg!A67</f>
        <v>840.06689426268349</v>
      </c>
      <c r="D67" s="1">
        <f t="shared" ref="D67:D77" si="4">TREND($B$2:$B$76,$A$2:$A$76,A67)</f>
        <v>840.06689426268349</v>
      </c>
      <c r="E67" s="1">
        <f t="shared" ref="E67:E76" si="5">B67-C67</f>
        <v>2.9331057373165095</v>
      </c>
      <c r="F67">
        <f t="shared" ref="F67:F76" si="6">ABS(E67)</f>
        <v>2.9331057373165095</v>
      </c>
      <c r="G67">
        <f>SUM($F$2:F67)/COUNT($F$2:F67)</f>
        <v>51.667868729973968</v>
      </c>
      <c r="H67" s="1">
        <f t="shared" ref="H67:H76" si="7">E67^2</f>
        <v>8.6031092662790254</v>
      </c>
      <c r="I67" s="1">
        <f>SUM($H$2:H67)/(COUNT($H$2:H67)-1)</f>
        <v>5921.0214035874715</v>
      </c>
    </row>
    <row r="68" spans="1:9" x14ac:dyDescent="0.2">
      <c r="A68">
        <v>67</v>
      </c>
      <c r="B68" s="6">
        <v>842</v>
      </c>
      <c r="C68" s="1">
        <f>Stat.S.T.Reg.Office2!$B$17+Stat.S.T.Reg.Office2!$B$18*Setr2Reg!A68</f>
        <v>850.43833096254139</v>
      </c>
      <c r="D68" s="1">
        <f t="shared" si="4"/>
        <v>850.43833096254139</v>
      </c>
      <c r="E68" s="1">
        <f t="shared" si="5"/>
        <v>-8.4383309625413858</v>
      </c>
      <c r="F68">
        <f t="shared" si="6"/>
        <v>8.4383309625413858</v>
      </c>
      <c r="G68">
        <f>SUM($F$2:F68)/COUNT($F$2:F68)</f>
        <v>51.022651748370492</v>
      </c>
      <c r="H68" s="1">
        <f t="shared" si="7"/>
        <v>71.205429433384637</v>
      </c>
      <c r="I68" s="1">
        <f>SUM($H$2:H68)/(COUNT($H$2:H68)-1)</f>
        <v>5832.387828221501</v>
      </c>
    </row>
    <row r="69" spans="1:9" x14ac:dyDescent="0.2">
      <c r="A69">
        <v>68</v>
      </c>
      <c r="B69" s="6">
        <v>856</v>
      </c>
      <c r="C69" s="1">
        <f>Stat.S.T.Reg.Office2!$B$17+Stat.S.T.Reg.Office2!$B$18*Setr2Reg!A69</f>
        <v>860.80976766239905</v>
      </c>
      <c r="D69" s="1">
        <f t="shared" si="4"/>
        <v>860.80976766239905</v>
      </c>
      <c r="E69" s="1">
        <f t="shared" si="5"/>
        <v>-4.8097676623990537</v>
      </c>
      <c r="F69">
        <f t="shared" si="6"/>
        <v>4.8097676623990537</v>
      </c>
      <c r="G69">
        <f>SUM($F$2:F69)/COUNT($F$2:F69)</f>
        <v>50.343050511812088</v>
      </c>
      <c r="H69" s="1">
        <f t="shared" si="7"/>
        <v>23.133864966259658</v>
      </c>
      <c r="I69" s="1">
        <f>SUM($H$2:H69)/(COUNT($H$2:H69)-1)</f>
        <v>5745.6825451878403</v>
      </c>
    </row>
    <row r="70" spans="1:9" x14ac:dyDescent="0.2">
      <c r="A70">
        <v>69</v>
      </c>
      <c r="B70" s="6">
        <v>744</v>
      </c>
      <c r="C70" s="1">
        <f>Stat.S.T.Reg.Office2!$B$17+Stat.S.T.Reg.Office2!$B$18*Setr2Reg!A70</f>
        <v>871.18120436225695</v>
      </c>
      <c r="D70" s="1">
        <f t="shared" si="4"/>
        <v>871.18120436225695</v>
      </c>
      <c r="E70" s="1">
        <f t="shared" si="5"/>
        <v>-127.18120436225695</v>
      </c>
      <c r="F70">
        <f t="shared" si="6"/>
        <v>127.18120436225695</v>
      </c>
      <c r="G70">
        <f>SUM($F$2:F70)/COUNT($F$2:F70)</f>
        <v>51.456646944427227</v>
      </c>
      <c r="H70" s="1">
        <f t="shared" si="7"/>
        <v>16175.058743034166</v>
      </c>
      <c r="I70" s="1">
        <f>SUM($H$2:H70)/(COUNT($H$2:H70)-1)</f>
        <v>5899.0557245679329</v>
      </c>
    </row>
    <row r="71" spans="1:9" x14ac:dyDescent="0.2">
      <c r="A71">
        <v>70</v>
      </c>
      <c r="B71" s="6">
        <v>926</v>
      </c>
      <c r="C71" s="1">
        <f>Stat.S.T.Reg.Office2!$B$17+Stat.S.T.Reg.Office2!$B$18*Setr2Reg!A71</f>
        <v>881.55264106211462</v>
      </c>
      <c r="D71" s="1">
        <f t="shared" si="4"/>
        <v>881.55264106211462</v>
      </c>
      <c r="E71" s="1">
        <f t="shared" si="5"/>
        <v>44.447358937885383</v>
      </c>
      <c r="F71">
        <f t="shared" si="6"/>
        <v>44.447358937885383</v>
      </c>
      <c r="G71">
        <f>SUM($F$2:F71)/COUNT($F$2:F71)</f>
        <v>51.356514258619484</v>
      </c>
      <c r="H71" s="1">
        <f t="shared" si="7"/>
        <v>1975.5677165532197</v>
      </c>
      <c r="I71" s="1">
        <f>SUM($H$2:H71)/(COUNT($H$2:H71)-1)</f>
        <v>5842.1935795242416</v>
      </c>
    </row>
    <row r="72" spans="1:9" x14ac:dyDescent="0.2">
      <c r="A72">
        <v>71</v>
      </c>
      <c r="B72" s="6">
        <v>939</v>
      </c>
      <c r="C72" s="1">
        <f>Stat.S.T.Reg.Office2!$B$17+Stat.S.T.Reg.Office2!$B$18*Setr2Reg!A72</f>
        <v>891.92407776197228</v>
      </c>
      <c r="D72" s="1">
        <f t="shared" si="4"/>
        <v>891.92407776197228</v>
      </c>
      <c r="E72" s="1">
        <f t="shared" si="5"/>
        <v>47.075922238027715</v>
      </c>
      <c r="F72">
        <f t="shared" si="6"/>
        <v>47.075922238027715</v>
      </c>
      <c r="G72">
        <f>SUM($F$2:F72)/COUNT($F$2:F72)</f>
        <v>51.296224230160448</v>
      </c>
      <c r="H72" s="1">
        <f t="shared" si="7"/>
        <v>2216.1424545608324</v>
      </c>
      <c r="I72" s="1">
        <f>SUM($H$2:H72)/(COUNT($H$2:H72)-1)</f>
        <v>5790.3928491676215</v>
      </c>
    </row>
    <row r="73" spans="1:9" x14ac:dyDescent="0.2">
      <c r="A73">
        <v>72</v>
      </c>
      <c r="B73" s="6">
        <v>1045</v>
      </c>
      <c r="C73" s="1">
        <f>Stat.S.T.Reg.Office2!$B$17+Stat.S.T.Reg.Office2!$B$18*Setr2Reg!A73</f>
        <v>902.29551446183018</v>
      </c>
      <c r="D73" s="1">
        <f t="shared" si="4"/>
        <v>902.29551446183018</v>
      </c>
      <c r="E73" s="1">
        <f t="shared" si="5"/>
        <v>142.70448553816982</v>
      </c>
      <c r="F73">
        <f t="shared" si="6"/>
        <v>142.70448553816982</v>
      </c>
      <c r="G73">
        <f>SUM($F$2:F73)/COUNT($F$2:F73)</f>
        <v>52.565783414993916</v>
      </c>
      <c r="H73" s="1">
        <f t="shared" si="7"/>
        <v>20364.57019271372</v>
      </c>
      <c r="I73" s="1">
        <f>SUM($H$2:H73)/(COUNT($H$2:H73)-1)</f>
        <v>5995.6629525978478</v>
      </c>
    </row>
    <row r="74" spans="1:9" x14ac:dyDescent="0.2">
      <c r="A74">
        <v>73</v>
      </c>
      <c r="B74" s="6">
        <v>1330</v>
      </c>
      <c r="C74" s="1">
        <f>Stat.S.T.Reg.Office2!$B$17+Stat.S.T.Reg.Office2!$B$18*Setr2Reg!A74</f>
        <v>912.66695116168785</v>
      </c>
      <c r="D74" s="1">
        <f t="shared" si="4"/>
        <v>912.66695116168785</v>
      </c>
      <c r="E74" s="1">
        <f t="shared" si="5"/>
        <v>417.33304883831215</v>
      </c>
      <c r="F74">
        <f t="shared" si="6"/>
        <v>417.33304883831215</v>
      </c>
      <c r="G74">
        <f>SUM($F$2:F74)/COUNT($F$2:F74)</f>
        <v>57.562595270107856</v>
      </c>
      <c r="H74" s="1">
        <f t="shared" si="7"/>
        <v>174166.87365268104</v>
      </c>
      <c r="I74" s="1">
        <f>SUM($H$2:H74)/(COUNT($H$2:H74)-1)</f>
        <v>8331.3742123212251</v>
      </c>
    </row>
    <row r="75" spans="1:9" ht="13.5" thickBot="1" x14ac:dyDescent="0.25">
      <c r="A75">
        <v>74</v>
      </c>
      <c r="B75" s="6">
        <v>1133</v>
      </c>
      <c r="C75" s="1">
        <f>Stat.S.T.Reg.Office2!$B$17+Stat.S.T.Reg.Office2!$B$18*Setr2Reg!A75</f>
        <v>923.03838786154552</v>
      </c>
      <c r="D75" s="1">
        <f t="shared" si="4"/>
        <v>923.03838786154552</v>
      </c>
      <c r="E75" s="1">
        <f t="shared" si="5"/>
        <v>209.96161213845448</v>
      </c>
      <c r="F75">
        <f t="shared" si="6"/>
        <v>209.96161213845448</v>
      </c>
      <c r="G75">
        <f>SUM($F$2:F75)/COUNT($F$2:F75)</f>
        <v>59.622041444004431</v>
      </c>
      <c r="H75" s="1">
        <f t="shared" si="7"/>
        <v>44083.878571778798</v>
      </c>
      <c r="I75" s="1">
        <f>SUM($H$2:H75)/(COUNT($H$2:H75)-1)</f>
        <v>8821.1345460124248</v>
      </c>
    </row>
    <row r="76" spans="1:9" ht="13.5" thickBot="1" x14ac:dyDescent="0.25">
      <c r="A76">
        <v>75</v>
      </c>
      <c r="B76" s="6">
        <v>1045</v>
      </c>
      <c r="C76" s="1">
        <f>Stat.S.T.Reg.Office2!$B$17+Stat.S.T.Reg.Office2!$B$18*Setr2Reg!A76</f>
        <v>933.40982456140341</v>
      </c>
      <c r="D76" s="1">
        <f t="shared" si="4"/>
        <v>933.40982456140341</v>
      </c>
      <c r="E76" s="1">
        <f t="shared" si="5"/>
        <v>111.59017543859659</v>
      </c>
      <c r="F76">
        <f t="shared" si="6"/>
        <v>111.59017543859659</v>
      </c>
      <c r="G76" s="20">
        <f>SUM($F$2:F76)/COUNT($F$2:F76)</f>
        <v>60.314949897265663</v>
      </c>
      <c r="H76" s="1">
        <f t="shared" si="7"/>
        <v>12452.367254416766</v>
      </c>
      <c r="I76" s="1">
        <f>SUM($H$2:H76)/(COUNT($H$2:H76)-1)</f>
        <v>8870.2052582881588</v>
      </c>
    </row>
    <row r="77" spans="1:9" x14ac:dyDescent="0.2">
      <c r="A77">
        <v>76</v>
      </c>
      <c r="C77" s="1">
        <f>Stat.S.T.Reg.Office2!$B$17+Stat.S.T.Reg.Office2!$B$18*Setr2Reg!A77</f>
        <v>943.78126126126108</v>
      </c>
      <c r="D77" s="1">
        <f t="shared" si="4"/>
        <v>943.78126126126108</v>
      </c>
      <c r="G77" s="21">
        <f>G76*1.25</f>
        <v>75.393687371582075</v>
      </c>
      <c r="I77" s="1">
        <f>SQRT(I76)</f>
        <v>94.181767122347836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5" sqref="G25"/>
    </sheetView>
  </sheetViews>
  <sheetFormatPr defaultRowHeight="12.75" x14ac:dyDescent="0.2"/>
  <cols>
    <col min="1" max="1" width="17" customWidth="1"/>
    <col min="2" max="2" width="11.140625" customWidth="1"/>
    <col min="3" max="3" width="13.7109375" bestFit="1" customWidth="1"/>
    <col min="5" max="5" width="12.42578125" bestFit="1" customWidth="1"/>
    <col min="6" max="6" width="13.5703125" bestFit="1" customWidth="1"/>
    <col min="7" max="7" width="12" bestFit="1" customWidth="1"/>
    <col min="8" max="8" width="12.140625" bestFit="1" customWidth="1"/>
    <col min="9" max="9" width="12.28515625" bestFit="1" customWidth="1"/>
  </cols>
  <sheetData>
    <row r="1" spans="1:9" x14ac:dyDescent="0.2">
      <c r="A1" t="s">
        <v>16</v>
      </c>
    </row>
    <row r="2" spans="1:9" ht="13.5" thickBot="1" x14ac:dyDescent="0.25"/>
    <row r="3" spans="1:9" x14ac:dyDescent="0.2">
      <c r="A3" s="25" t="s">
        <v>17</v>
      </c>
      <c r="B3" s="25"/>
    </row>
    <row r="4" spans="1:9" x14ac:dyDescent="0.2">
      <c r="A4" s="22" t="s">
        <v>18</v>
      </c>
      <c r="B4" s="54">
        <v>0.9230793281355929</v>
      </c>
    </row>
    <row r="5" spans="1:9" x14ac:dyDescent="0.2">
      <c r="A5" s="22" t="s">
        <v>19</v>
      </c>
      <c r="B5" s="58">
        <v>0.85207544603125751</v>
      </c>
    </row>
    <row r="6" spans="1:9" x14ac:dyDescent="0.2">
      <c r="A6" s="22" t="s">
        <v>20</v>
      </c>
      <c r="B6" s="54">
        <v>0.85004908227826104</v>
      </c>
    </row>
    <row r="7" spans="1:9" x14ac:dyDescent="0.2">
      <c r="A7" s="22" t="s">
        <v>21</v>
      </c>
      <c r="B7" s="58">
        <v>94.824653542001428</v>
      </c>
    </row>
    <row r="8" spans="1:9" ht="13.5" thickBot="1" x14ac:dyDescent="0.25">
      <c r="A8" s="23" t="s">
        <v>22</v>
      </c>
      <c r="B8" s="23">
        <v>75</v>
      </c>
      <c r="D8" s="57"/>
    </row>
    <row r="10" spans="1:9" ht="13.5" thickBot="1" x14ac:dyDescent="0.25">
      <c r="A10" t="s">
        <v>23</v>
      </c>
    </row>
    <row r="11" spans="1:9" x14ac:dyDescent="0.2">
      <c r="A11" s="24"/>
      <c r="B11" s="24" t="s">
        <v>28</v>
      </c>
      <c r="C11" s="24" t="s">
        <v>29</v>
      </c>
      <c r="D11" s="24" t="s">
        <v>30</v>
      </c>
      <c r="E11" s="24" t="s">
        <v>31</v>
      </c>
      <c r="F11" s="24" t="s">
        <v>32</v>
      </c>
    </row>
    <row r="12" spans="1:9" x14ac:dyDescent="0.2">
      <c r="A12" s="22" t="s">
        <v>24</v>
      </c>
      <c r="B12" s="22">
        <v>1</v>
      </c>
      <c r="C12" s="22">
        <v>3780969.477553342</v>
      </c>
      <c r="D12" s="22">
        <v>3780969.477553342</v>
      </c>
      <c r="E12" s="22">
        <v>420.49481233132832</v>
      </c>
      <c r="F12" s="22">
        <v>5.117082761429133E-32</v>
      </c>
    </row>
    <row r="13" spans="1:9" x14ac:dyDescent="0.2">
      <c r="A13" s="22" t="s">
        <v>25</v>
      </c>
      <c r="B13" s="22">
        <v>73</v>
      </c>
      <c r="C13" s="22">
        <v>656395.18911332404</v>
      </c>
      <c r="D13" s="22">
        <v>8991.7149193606037</v>
      </c>
      <c r="E13" s="22"/>
      <c r="F13" s="22"/>
    </row>
    <row r="14" spans="1:9" ht="13.5" thickBot="1" x14ac:dyDescent="0.25">
      <c r="A14" s="23" t="s">
        <v>26</v>
      </c>
      <c r="B14" s="23">
        <v>74</v>
      </c>
      <c r="C14" s="23">
        <v>4437364.666666666</v>
      </c>
      <c r="D14" s="23"/>
      <c r="E14" s="23"/>
      <c r="F14" s="23"/>
    </row>
    <row r="15" spans="1:9" ht="13.5" thickBot="1" x14ac:dyDescent="0.25"/>
    <row r="16" spans="1:9" x14ac:dyDescent="0.2">
      <c r="A16" s="24"/>
      <c r="B16" s="24" t="s">
        <v>33</v>
      </c>
      <c r="C16" s="24" t="s">
        <v>21</v>
      </c>
      <c r="D16" s="24" t="s">
        <v>34</v>
      </c>
      <c r="E16" s="24" t="s">
        <v>35</v>
      </c>
      <c r="F16" s="24" t="s">
        <v>36</v>
      </c>
      <c r="G16" s="24" t="s">
        <v>37</v>
      </c>
      <c r="H16" s="24" t="s">
        <v>38</v>
      </c>
      <c r="I16" s="24" t="s">
        <v>39</v>
      </c>
    </row>
    <row r="17" spans="1:9" x14ac:dyDescent="0.2">
      <c r="A17" s="22" t="s">
        <v>27</v>
      </c>
      <c r="B17" s="55">
        <v>155.55207207207224</v>
      </c>
      <c r="C17" s="22">
        <v>22.119649678924862</v>
      </c>
      <c r="D17" s="22">
        <v>7.0323026960177852</v>
      </c>
      <c r="E17" s="22">
        <v>9.0754760941121246E-10</v>
      </c>
      <c r="F17" s="22">
        <v>111.46767383628449</v>
      </c>
      <c r="G17" s="22">
        <v>199.63647030785998</v>
      </c>
      <c r="H17" s="22">
        <v>111.46767383628449</v>
      </c>
      <c r="I17" s="22">
        <v>199.63647030785998</v>
      </c>
    </row>
    <row r="18" spans="1:9" ht="13.5" thickBot="1" x14ac:dyDescent="0.25">
      <c r="A18" s="23" t="s">
        <v>40</v>
      </c>
      <c r="B18" s="56">
        <v>10.371436699857748</v>
      </c>
      <c r="C18" s="23">
        <v>0.50577644546191103</v>
      </c>
      <c r="D18" s="23">
        <v>20.505970163133664</v>
      </c>
      <c r="E18" s="56">
        <v>5.1170827614292053E-32</v>
      </c>
      <c r="F18" s="23">
        <v>9.3634256977093706</v>
      </c>
      <c r="G18" s="23">
        <v>11.379447702006125</v>
      </c>
      <c r="H18" s="23">
        <v>9.3634256977093706</v>
      </c>
      <c r="I18" s="23">
        <v>11.379447702006125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B1" workbookViewId="0">
      <selection activeCell="J45" sqref="J45"/>
    </sheetView>
  </sheetViews>
  <sheetFormatPr defaultRowHeight="12.75" x14ac:dyDescent="0.2"/>
  <cols>
    <col min="1" max="1" width="4" customWidth="1"/>
    <col min="2" max="2" width="7.28515625" bestFit="1" customWidth="1"/>
    <col min="6" max="6" width="5.42578125" customWidth="1"/>
  </cols>
  <sheetData>
    <row r="1" spans="1:10" x14ac:dyDescent="0.2">
      <c r="A1" s="59" t="str">
        <f>BookData!A1</f>
        <v>Per.</v>
      </c>
      <c r="B1" s="36" t="str">
        <f>BookData!D1</f>
        <v>Office 3</v>
      </c>
      <c r="H1">
        <v>1</v>
      </c>
      <c r="I1" s="10">
        <f ca="1">AVERAGEIF($F$4:$F$76,"="&amp;H1,$E$4:$E$76)</f>
        <v>0.79012053678451777</v>
      </c>
      <c r="J1">
        <f ca="1">I1/$I$6</f>
        <v>0.79175122111957907</v>
      </c>
    </row>
    <row r="2" spans="1:10" x14ac:dyDescent="0.2">
      <c r="A2" s="59">
        <f>BookData!A3</f>
        <v>1</v>
      </c>
      <c r="B2" s="36">
        <f ca="1">ArdiData!D3</f>
        <v>997</v>
      </c>
      <c r="D2" s="10"/>
      <c r="E2" s="10"/>
      <c r="F2" s="10"/>
      <c r="H2">
        <v>2</v>
      </c>
      <c r="I2" s="10">
        <f ca="1">AVERAGEIF($F$4:$F$76,"="&amp;H2,$E$4:$E$76)</f>
        <v>0.89944889188449306</v>
      </c>
      <c r="J2">
        <f t="shared" ref="J2:J5" ca="1" si="0">I2/$I$6</f>
        <v>0.90130521272403641</v>
      </c>
    </row>
    <row r="3" spans="1:10" x14ac:dyDescent="0.2">
      <c r="A3" s="59">
        <f>BookData!A4</f>
        <v>2</v>
      </c>
      <c r="B3" s="36">
        <f ca="1">ArdiData!D4</f>
        <v>1092</v>
      </c>
      <c r="D3" s="10"/>
      <c r="E3" s="10"/>
      <c r="F3" s="10"/>
      <c r="H3">
        <v>3</v>
      </c>
      <c r="I3" s="10">
        <f ca="1">AVERAGEIF($F$4:$F$76,"="&amp;H3,$E$4:$E$76)</f>
        <v>1.017100902884573</v>
      </c>
      <c r="J3">
        <f t="shared" ca="1" si="0"/>
        <v>1.0192000389433069</v>
      </c>
    </row>
    <row r="4" spans="1:10" x14ac:dyDescent="0.2">
      <c r="A4" s="59">
        <f>BookData!A5</f>
        <v>3</v>
      </c>
      <c r="B4" s="36">
        <f ca="1">ArdiData!D5</f>
        <v>1333</v>
      </c>
      <c r="C4" s="1">
        <f ca="1">AVERAGE(B2:B6)</f>
        <v>1275.4000000000001</v>
      </c>
      <c r="D4" s="10">
        <f ca="1">TREND($C$4:$C$76,$A$4:$A$76,A4)</f>
        <v>1294.2629643341975</v>
      </c>
      <c r="E4" s="10">
        <f ca="1">B4/D4</f>
        <v>1.0299298030873734</v>
      </c>
      <c r="F4" s="27">
        <f t="shared" ref="F4:F35" si="1">IF(MOD(A4,5)&lt;&gt;0,MOD(A4,5),5)</f>
        <v>3</v>
      </c>
      <c r="G4">
        <f ca="1">VLOOKUP(F4,$H$1:$J$5,3)*D4</f>
        <v>1319.112863652294</v>
      </c>
      <c r="H4">
        <v>4</v>
      </c>
      <c r="I4" s="10">
        <f ca="1">AVERAGEIF($F$4:$F$76,"="&amp;H4,$E$4:$E$76)</f>
        <v>1.116770798333045</v>
      </c>
      <c r="J4">
        <f t="shared" ca="1" si="0"/>
        <v>1.1190756373568562</v>
      </c>
    </row>
    <row r="5" spans="1:10" x14ac:dyDescent="0.2">
      <c r="A5" s="59">
        <f>BookData!A6</f>
        <v>4</v>
      </c>
      <c r="B5" s="36">
        <f ca="1">ArdiData!D6</f>
        <v>1368</v>
      </c>
      <c r="C5" s="1">
        <f t="shared" ref="C5:C68" ca="1" si="2">AVERAGE(B3:B7)</f>
        <v>1311.6</v>
      </c>
      <c r="D5" s="10">
        <f t="shared" ref="D5:D68" ca="1" si="3">TREND($C$4:$C$76,$A$4:$A$76,A5)</f>
        <v>1343.4040108601755</v>
      </c>
      <c r="E5" s="10">
        <f t="shared" ref="E5:E68" ca="1" si="4">B5/D5</f>
        <v>1.0183087060489537</v>
      </c>
      <c r="F5" s="27">
        <f t="shared" si="1"/>
        <v>4</v>
      </c>
      <c r="G5">
        <f t="shared" ref="G5:G68" ca="1" si="5">VLOOKUP(F5,$H$1:$J$5,3)*D5</f>
        <v>1503.3706996811079</v>
      </c>
      <c r="H5">
        <v>5</v>
      </c>
      <c r="I5" s="10">
        <f ca="1">AVERAGEIF($F$4:$F$76,"="&amp;H5,$E$4:$E$76)</f>
        <v>1.1662609110350424</v>
      </c>
      <c r="J5">
        <f t="shared" ca="1" si="0"/>
        <v>1.1686678898562217</v>
      </c>
    </row>
    <row r="6" spans="1:10" x14ac:dyDescent="0.2">
      <c r="A6" s="59">
        <f>BookData!A7</f>
        <v>5</v>
      </c>
      <c r="B6" s="36">
        <f ca="1">ArdiData!D7</f>
        <v>1587</v>
      </c>
      <c r="C6" s="1">
        <f t="shared" ca="1" si="2"/>
        <v>1345.8</v>
      </c>
      <c r="D6" s="10">
        <f t="shared" ca="1" si="3"/>
        <v>1392.5450573861535</v>
      </c>
      <c r="E6" s="10">
        <f t="shared" ca="1" si="4"/>
        <v>1.1396399646693256</v>
      </c>
      <c r="F6" s="27">
        <f t="shared" si="1"/>
        <v>5</v>
      </c>
      <c r="G6">
        <f t="shared" ca="1" si="5"/>
        <v>1627.4226937451872</v>
      </c>
      <c r="I6" s="10">
        <f ca="1">AVERAGE(I1:I5)</f>
        <v>0.99794040818433416</v>
      </c>
      <c r="J6" s="10">
        <f ca="1">AVERAGE(J1:J5)</f>
        <v>1</v>
      </c>
    </row>
    <row r="7" spans="1:10" x14ac:dyDescent="0.2">
      <c r="A7" s="59">
        <f>BookData!A8</f>
        <v>6</v>
      </c>
      <c r="B7" s="36">
        <f ca="1">ArdiData!D8</f>
        <v>1178</v>
      </c>
      <c r="C7" s="1">
        <f t="shared" ca="1" si="2"/>
        <v>1425.4</v>
      </c>
      <c r="D7" s="10">
        <f t="shared" ca="1" si="3"/>
        <v>1441.6861039121313</v>
      </c>
      <c r="E7" s="10">
        <f ca="1">B7/D7</f>
        <v>0.81709881006926688</v>
      </c>
      <c r="F7" s="27">
        <f t="shared" si="1"/>
        <v>1</v>
      </c>
      <c r="G7">
        <f t="shared" ca="1" si="5"/>
        <v>1141.4567332435583</v>
      </c>
    </row>
    <row r="8" spans="1:10" x14ac:dyDescent="0.2">
      <c r="A8" s="59">
        <f>BookData!A9</f>
        <v>7</v>
      </c>
      <c r="B8" s="36">
        <f ca="1">ArdiData!D9</f>
        <v>1263</v>
      </c>
      <c r="C8" s="1">
        <f t="shared" ca="1" si="2"/>
        <v>1472.4</v>
      </c>
      <c r="D8" s="10">
        <f t="shared" ca="1" si="3"/>
        <v>1490.8271504381096</v>
      </c>
      <c r="E8" s="10">
        <f t="shared" ca="1" si="4"/>
        <v>0.84718070745414187</v>
      </c>
      <c r="F8" s="27">
        <f t="shared" si="1"/>
        <v>2</v>
      </c>
      <c r="G8">
        <f t="shared" ca="1" si="5"/>
        <v>1343.6902819603895</v>
      </c>
    </row>
    <row r="9" spans="1:10" x14ac:dyDescent="0.2">
      <c r="A9" s="59">
        <f>BookData!A10</f>
        <v>8</v>
      </c>
      <c r="B9" s="36">
        <f ca="1">ArdiData!D10</f>
        <v>1731</v>
      </c>
      <c r="C9" s="1">
        <f t="shared" ca="1" si="2"/>
        <v>1542</v>
      </c>
      <c r="D9" s="10">
        <f t="shared" ca="1" si="3"/>
        <v>1539.9681969640874</v>
      </c>
      <c r="E9" s="10">
        <f t="shared" ca="1" si="4"/>
        <v>1.124049187127705</v>
      </c>
      <c r="F9" s="27">
        <f t="shared" si="1"/>
        <v>3</v>
      </c>
      <c r="G9">
        <f t="shared" ca="1" si="5"/>
        <v>1569.535646317252</v>
      </c>
    </row>
    <row r="10" spans="1:10" x14ac:dyDescent="0.2">
      <c r="A10" s="59">
        <f>BookData!A11</f>
        <v>9</v>
      </c>
      <c r="B10" s="36">
        <f ca="1">ArdiData!D11</f>
        <v>1603</v>
      </c>
      <c r="C10" s="1">
        <f t="shared" ca="1" si="2"/>
        <v>1547.6</v>
      </c>
      <c r="D10" s="10">
        <f t="shared" ca="1" si="3"/>
        <v>1589.1092434900656</v>
      </c>
      <c r="E10" s="10">
        <f t="shared" ca="1" si="4"/>
        <v>1.008741221893233</v>
      </c>
      <c r="F10" s="27">
        <f t="shared" si="1"/>
        <v>4</v>
      </c>
      <c r="G10">
        <f t="shared" ca="1" si="5"/>
        <v>1778.3334394883168</v>
      </c>
    </row>
    <row r="11" spans="1:10" x14ac:dyDescent="0.2">
      <c r="A11" s="59">
        <f>BookData!A12</f>
        <v>10</v>
      </c>
      <c r="B11" s="36">
        <f ca="1">ArdiData!D12</f>
        <v>1935</v>
      </c>
      <c r="C11" s="1">
        <f t="shared" ca="1" si="2"/>
        <v>1649.2</v>
      </c>
      <c r="D11" s="10">
        <f t="shared" ca="1" si="3"/>
        <v>1638.2502900160434</v>
      </c>
      <c r="E11" s="10">
        <f t="shared" ca="1" si="4"/>
        <v>1.1811382007941231</v>
      </c>
      <c r="F11" s="27">
        <f t="shared" si="1"/>
        <v>5</v>
      </c>
      <c r="G11">
        <f t="shared" ca="1" si="5"/>
        <v>1914.5705094893926</v>
      </c>
    </row>
    <row r="12" spans="1:10" x14ac:dyDescent="0.2">
      <c r="A12" s="59">
        <f>BookData!A13</f>
        <v>11</v>
      </c>
      <c r="B12" s="36">
        <f ca="1">ArdiData!D13</f>
        <v>1206</v>
      </c>
      <c r="C12" s="1">
        <f t="shared" ca="1" si="2"/>
        <v>1741</v>
      </c>
      <c r="D12" s="10">
        <f t="shared" ca="1" si="3"/>
        <v>1687.3913365420217</v>
      </c>
      <c r="E12" s="10">
        <f t="shared" ca="1" si="4"/>
        <v>0.71471268927542375</v>
      </c>
      <c r="F12" s="27">
        <f t="shared" si="1"/>
        <v>1</v>
      </c>
      <c r="G12">
        <f t="shared" ca="1" si="5"/>
        <v>1335.9941512137443</v>
      </c>
    </row>
    <row r="13" spans="1:10" x14ac:dyDescent="0.2">
      <c r="A13" s="59">
        <f>BookData!A14</f>
        <v>12</v>
      </c>
      <c r="B13" s="36">
        <f ca="1">ArdiData!D14</f>
        <v>1771</v>
      </c>
      <c r="C13" s="1">
        <f t="shared" ca="1" si="2"/>
        <v>1804.4</v>
      </c>
      <c r="D13" s="10">
        <f t="shared" ca="1" si="3"/>
        <v>1736.5323830679995</v>
      </c>
      <c r="E13" s="10">
        <f t="shared" ca="1" si="4"/>
        <v>1.0198485310542296</v>
      </c>
      <c r="F13" s="27">
        <f t="shared" si="1"/>
        <v>2</v>
      </c>
      <c r="G13">
        <f t="shared" ca="1" si="5"/>
        <v>1565.1456889232811</v>
      </c>
    </row>
    <row r="14" spans="1:10" x14ac:dyDescent="0.2">
      <c r="A14" s="59">
        <f>BookData!A15</f>
        <v>13</v>
      </c>
      <c r="B14" s="36">
        <f ca="1">ArdiData!D15</f>
        <v>2190</v>
      </c>
      <c r="C14" s="1">
        <f t="shared" ca="1" si="2"/>
        <v>1877.6</v>
      </c>
      <c r="D14" s="10">
        <f t="shared" ca="1" si="3"/>
        <v>1785.6734295939775</v>
      </c>
      <c r="E14" s="10">
        <f t="shared" ca="1" si="4"/>
        <v>1.2264280599717259</v>
      </c>
      <c r="F14" s="27">
        <f t="shared" si="1"/>
        <v>3</v>
      </c>
      <c r="G14">
        <f t="shared" ca="1" si="5"/>
        <v>1819.9584289822103</v>
      </c>
    </row>
    <row r="15" spans="1:10" x14ac:dyDescent="0.2">
      <c r="A15" s="59">
        <f>BookData!A16</f>
        <v>14</v>
      </c>
      <c r="B15" s="36">
        <f ca="1">ArdiData!D16</f>
        <v>1920</v>
      </c>
      <c r="C15" s="1">
        <f t="shared" ca="1" si="2"/>
        <v>1920.6</v>
      </c>
      <c r="D15" s="10">
        <f t="shared" ca="1" si="3"/>
        <v>1834.8144761199555</v>
      </c>
      <c r="E15" s="10">
        <f t="shared" ca="1" si="4"/>
        <v>1.046427322755914</v>
      </c>
      <c r="F15" s="27">
        <f t="shared" si="1"/>
        <v>4</v>
      </c>
      <c r="G15">
        <f t="shared" ca="1" si="5"/>
        <v>2053.2961792955257</v>
      </c>
    </row>
    <row r="16" spans="1:10" x14ac:dyDescent="0.2">
      <c r="A16" s="59">
        <f>BookData!A17</f>
        <v>15</v>
      </c>
      <c r="B16" s="36">
        <f ca="1">ArdiData!D17</f>
        <v>2301</v>
      </c>
      <c r="C16" s="1">
        <f t="shared" ca="1" si="2"/>
        <v>1880</v>
      </c>
      <c r="D16" s="10">
        <f t="shared" ca="1" si="3"/>
        <v>1883.9555226459336</v>
      </c>
      <c r="E16" s="10">
        <f t="shared" ca="1" si="4"/>
        <v>1.2213664135596713</v>
      </c>
      <c r="F16" s="27">
        <f t="shared" si="1"/>
        <v>5</v>
      </c>
      <c r="G16">
        <f t="shared" ca="1" si="5"/>
        <v>2201.7183252335985</v>
      </c>
    </row>
    <row r="17" spans="1:7" x14ac:dyDescent="0.2">
      <c r="A17" s="59">
        <f>BookData!A18</f>
        <v>16</v>
      </c>
      <c r="B17" s="36">
        <f ca="1">ArdiData!D18</f>
        <v>1421</v>
      </c>
      <c r="C17" s="1">
        <f t="shared" ca="1" si="2"/>
        <v>1871.2</v>
      </c>
      <c r="D17" s="10">
        <f t="shared" ca="1" si="3"/>
        <v>1933.0965691719116</v>
      </c>
      <c r="E17" s="10">
        <f t="shared" ca="1" si="4"/>
        <v>0.7350900222272494</v>
      </c>
      <c r="F17" s="27">
        <f t="shared" si="1"/>
        <v>1</v>
      </c>
      <c r="G17">
        <f t="shared" ca="1" si="5"/>
        <v>1530.5315691839298</v>
      </c>
    </row>
    <row r="18" spans="1:7" x14ac:dyDescent="0.2">
      <c r="A18" s="59">
        <f>BookData!A19</f>
        <v>17</v>
      </c>
      <c r="B18" s="36">
        <f ca="1">ArdiData!D19</f>
        <v>1568</v>
      </c>
      <c r="C18" s="1">
        <f t="shared" ca="1" si="2"/>
        <v>1963</v>
      </c>
      <c r="D18" s="10">
        <f t="shared" ca="1" si="3"/>
        <v>1982.2376156978896</v>
      </c>
      <c r="E18" s="10">
        <f t="shared" ca="1" si="4"/>
        <v>0.79102524721686895</v>
      </c>
      <c r="F18" s="27">
        <f t="shared" si="1"/>
        <v>2</v>
      </c>
      <c r="G18">
        <f t="shared" ca="1" si="5"/>
        <v>1786.6010958861732</v>
      </c>
    </row>
    <row r="19" spans="1:7" x14ac:dyDescent="0.2">
      <c r="A19" s="59">
        <f>BookData!A20</f>
        <v>18</v>
      </c>
      <c r="B19" s="36">
        <f ca="1">ArdiData!D20</f>
        <v>2146</v>
      </c>
      <c r="C19" s="1">
        <f t="shared" ca="1" si="2"/>
        <v>1989.8</v>
      </c>
      <c r="D19" s="10">
        <f t="shared" ca="1" si="3"/>
        <v>2031.3786622238677</v>
      </c>
      <c r="E19" s="10">
        <f t="shared" ca="1" si="4"/>
        <v>1.0564253922263069</v>
      </c>
      <c r="F19" s="27">
        <f t="shared" si="1"/>
        <v>3</v>
      </c>
      <c r="G19">
        <f t="shared" ca="1" si="5"/>
        <v>2070.3812116471686</v>
      </c>
    </row>
    <row r="20" spans="1:7" x14ac:dyDescent="0.2">
      <c r="A20" s="59">
        <f>BookData!A21</f>
        <v>19</v>
      </c>
      <c r="B20" s="36">
        <f ca="1">ArdiData!D21</f>
        <v>2379</v>
      </c>
      <c r="C20" s="1">
        <f t="shared" ca="1" si="2"/>
        <v>2065.6</v>
      </c>
      <c r="D20" s="10">
        <f t="shared" ca="1" si="3"/>
        <v>2080.5197087498454</v>
      </c>
      <c r="E20" s="10">
        <f t="shared" ca="1" si="4"/>
        <v>1.1434642940390636</v>
      </c>
      <c r="F20" s="27">
        <f t="shared" si="1"/>
        <v>4</v>
      </c>
      <c r="G20">
        <f t="shared" ca="1" si="5"/>
        <v>2328.2589191027341</v>
      </c>
    </row>
    <row r="21" spans="1:7" x14ac:dyDescent="0.2">
      <c r="A21" s="59">
        <f>BookData!A22</f>
        <v>20</v>
      </c>
      <c r="B21" s="36">
        <f ca="1">ArdiData!D22</f>
        <v>2435</v>
      </c>
      <c r="C21" s="1">
        <f t="shared" ca="1" si="2"/>
        <v>2179.8000000000002</v>
      </c>
      <c r="D21" s="10">
        <f t="shared" ca="1" si="3"/>
        <v>2129.6607552758237</v>
      </c>
      <c r="E21" s="10">
        <f t="shared" ca="1" si="4"/>
        <v>1.1433745933326505</v>
      </c>
      <c r="F21" s="27">
        <f t="shared" si="1"/>
        <v>5</v>
      </c>
      <c r="G21">
        <f t="shared" ca="1" si="5"/>
        <v>2488.8661409778042</v>
      </c>
    </row>
    <row r="22" spans="1:7" x14ac:dyDescent="0.2">
      <c r="A22" s="59">
        <f>BookData!A23</f>
        <v>21</v>
      </c>
      <c r="B22" s="36">
        <f ca="1">ArdiData!D23</f>
        <v>1800</v>
      </c>
      <c r="C22" s="1">
        <f t="shared" ca="1" si="2"/>
        <v>2249.1999999999998</v>
      </c>
      <c r="D22" s="10">
        <f t="shared" ca="1" si="3"/>
        <v>2178.801801801802</v>
      </c>
      <c r="E22" s="10">
        <f t="shared" ca="1" si="4"/>
        <v>0.8261421477214933</v>
      </c>
      <c r="F22" s="27">
        <f t="shared" si="1"/>
        <v>1</v>
      </c>
      <c r="G22">
        <f t="shared" ca="1" si="5"/>
        <v>1725.0689871541158</v>
      </c>
    </row>
    <row r="23" spans="1:7" x14ac:dyDescent="0.2">
      <c r="A23" s="59">
        <f>BookData!A24</f>
        <v>22</v>
      </c>
      <c r="B23" s="36">
        <f ca="1">ArdiData!D24</f>
        <v>2139</v>
      </c>
      <c r="C23" s="1">
        <f t="shared" ca="1" si="2"/>
        <v>2259</v>
      </c>
      <c r="D23" s="10">
        <f t="shared" ca="1" si="3"/>
        <v>2227.9428483277798</v>
      </c>
      <c r="E23" s="10">
        <f t="shared" ca="1" si="4"/>
        <v>0.96007848747352864</v>
      </c>
      <c r="F23" s="27">
        <f t="shared" si="1"/>
        <v>2</v>
      </c>
      <c r="G23">
        <f t="shared" ca="1" si="5"/>
        <v>2008.0565028490651</v>
      </c>
    </row>
    <row r="24" spans="1:7" x14ac:dyDescent="0.2">
      <c r="A24" s="59">
        <f>BookData!A25</f>
        <v>23</v>
      </c>
      <c r="B24" s="36">
        <f ca="1">ArdiData!D25</f>
        <v>2493</v>
      </c>
      <c r="C24" s="1">
        <f t="shared" ca="1" si="2"/>
        <v>2353.1999999999998</v>
      </c>
      <c r="D24" s="10">
        <f t="shared" ca="1" si="3"/>
        <v>2277.0838948537576</v>
      </c>
      <c r="E24" s="10">
        <f t="shared" ca="1" si="4"/>
        <v>1.09482132196983</v>
      </c>
      <c r="F24" s="27">
        <f t="shared" si="1"/>
        <v>3</v>
      </c>
      <c r="G24">
        <f t="shared" ca="1" si="5"/>
        <v>2320.8039943121266</v>
      </c>
    </row>
    <row r="25" spans="1:7" x14ac:dyDescent="0.2">
      <c r="A25" s="59">
        <f>BookData!A26</f>
        <v>24</v>
      </c>
      <c r="B25" s="36">
        <f ca="1">ArdiData!D26</f>
        <v>2428</v>
      </c>
      <c r="C25" s="1">
        <f t="shared" ca="1" si="2"/>
        <v>2391.4</v>
      </c>
      <c r="D25" s="10">
        <f t="shared" ca="1" si="3"/>
        <v>2326.2249413797354</v>
      </c>
      <c r="E25" s="10">
        <f t="shared" ca="1" si="4"/>
        <v>1.0437511681737448</v>
      </c>
      <c r="F25" s="27">
        <f t="shared" si="1"/>
        <v>4</v>
      </c>
      <c r="G25">
        <f t="shared" ca="1" si="5"/>
        <v>2603.221658909943</v>
      </c>
    </row>
    <row r="26" spans="1:7" x14ac:dyDescent="0.2">
      <c r="A26" s="59">
        <f>BookData!A27</f>
        <v>25</v>
      </c>
      <c r="B26" s="36">
        <f ca="1">ArdiData!D27</f>
        <v>2906</v>
      </c>
      <c r="C26" s="1">
        <f t="shared" ca="1" si="2"/>
        <v>2343.8000000000002</v>
      </c>
      <c r="D26" s="10">
        <f t="shared" ca="1" si="3"/>
        <v>2375.3659879057136</v>
      </c>
      <c r="E26" s="10">
        <f t="shared" ca="1" si="4"/>
        <v>1.2233904226952959</v>
      </c>
      <c r="F26" s="27">
        <f t="shared" si="1"/>
        <v>5</v>
      </c>
      <c r="G26">
        <f t="shared" ca="1" si="5"/>
        <v>2776.0139567220099</v>
      </c>
    </row>
    <row r="27" spans="1:7" x14ac:dyDescent="0.2">
      <c r="A27" s="59">
        <f>BookData!A28</f>
        <v>26</v>
      </c>
      <c r="B27" s="36">
        <f ca="1">ArdiData!D28</f>
        <v>1991</v>
      </c>
      <c r="C27" s="1">
        <f t="shared" ca="1" si="2"/>
        <v>2271.8000000000002</v>
      </c>
      <c r="D27" s="10">
        <f t="shared" ca="1" si="3"/>
        <v>2424.5070344316919</v>
      </c>
      <c r="E27" s="10">
        <f t="shared" ca="1" si="4"/>
        <v>0.82119786485449131</v>
      </c>
      <c r="F27" s="27">
        <f t="shared" si="1"/>
        <v>1</v>
      </c>
      <c r="G27">
        <f t="shared" ca="1" si="5"/>
        <v>1919.6064051243013</v>
      </c>
    </row>
    <row r="28" spans="1:7" x14ac:dyDescent="0.2">
      <c r="A28" s="59">
        <f>BookData!A29</f>
        <v>27</v>
      </c>
      <c r="B28" s="36">
        <f ca="1">ArdiData!D29</f>
        <v>1901</v>
      </c>
      <c r="C28" s="1">
        <f t="shared" ca="1" si="2"/>
        <v>2420.6</v>
      </c>
      <c r="D28" s="10">
        <f t="shared" ca="1" si="3"/>
        <v>2473.6480809576697</v>
      </c>
      <c r="E28" s="10">
        <f t="shared" ca="1" si="4"/>
        <v>0.76850058609146632</v>
      </c>
      <c r="F28" s="27">
        <f t="shared" si="1"/>
        <v>2</v>
      </c>
      <c r="G28">
        <f t="shared" ca="1" si="5"/>
        <v>2229.5119098119567</v>
      </c>
    </row>
    <row r="29" spans="1:7" x14ac:dyDescent="0.2">
      <c r="A29" s="59">
        <f>BookData!A30</f>
        <v>28</v>
      </c>
      <c r="B29" s="36">
        <f ca="1">ArdiData!D30</f>
        <v>2133</v>
      </c>
      <c r="C29" s="1">
        <f t="shared" ca="1" si="2"/>
        <v>2488.8000000000002</v>
      </c>
      <c r="D29" s="10">
        <f t="shared" ca="1" si="3"/>
        <v>2522.7891274836475</v>
      </c>
      <c r="E29" s="10">
        <f t="shared" ca="1" si="4"/>
        <v>0.84549278287383378</v>
      </c>
      <c r="F29" s="27">
        <f t="shared" si="1"/>
        <v>3</v>
      </c>
      <c r="G29">
        <f t="shared" ca="1" si="5"/>
        <v>2571.2267769770847</v>
      </c>
    </row>
    <row r="30" spans="1:7" x14ac:dyDescent="0.2">
      <c r="A30" s="59">
        <f>BookData!A31</f>
        <v>29</v>
      </c>
      <c r="B30" s="36">
        <f ca="1">ArdiData!D31</f>
        <v>3172</v>
      </c>
      <c r="C30" s="1">
        <f t="shared" ca="1" si="2"/>
        <v>2475</v>
      </c>
      <c r="D30" s="10">
        <f t="shared" ca="1" si="3"/>
        <v>2571.9301740096257</v>
      </c>
      <c r="E30" s="10">
        <f t="shared" ca="1" si="4"/>
        <v>1.2333149756763686</v>
      </c>
      <c r="F30" s="27">
        <f t="shared" si="1"/>
        <v>4</v>
      </c>
      <c r="G30">
        <f t="shared" ca="1" si="5"/>
        <v>2878.1843987171519</v>
      </c>
    </row>
    <row r="31" spans="1:7" x14ac:dyDescent="0.2">
      <c r="A31" s="59">
        <f>BookData!A32</f>
        <v>30</v>
      </c>
      <c r="B31" s="36">
        <f ca="1">ArdiData!D32</f>
        <v>3247</v>
      </c>
      <c r="C31" s="1">
        <f t="shared" ca="1" si="2"/>
        <v>2587.4</v>
      </c>
      <c r="D31" s="10">
        <f t="shared" ca="1" si="3"/>
        <v>2621.071220535604</v>
      </c>
      <c r="E31" s="10">
        <f t="shared" ca="1" si="4"/>
        <v>1.2388064752153092</v>
      </c>
      <c r="F31" s="27">
        <f t="shared" si="1"/>
        <v>5</v>
      </c>
      <c r="G31">
        <f t="shared" ca="1" si="5"/>
        <v>3063.161772466216</v>
      </c>
    </row>
    <row r="32" spans="1:7" x14ac:dyDescent="0.2">
      <c r="A32" s="59">
        <f>BookData!A33</f>
        <v>31</v>
      </c>
      <c r="B32" s="36">
        <f ca="1">ArdiData!D33</f>
        <v>1922</v>
      </c>
      <c r="C32" s="1">
        <f t="shared" ca="1" si="2"/>
        <v>2708</v>
      </c>
      <c r="D32" s="10">
        <f t="shared" ca="1" si="3"/>
        <v>2670.2122670615818</v>
      </c>
      <c r="E32" s="10">
        <f t="shared" ca="1" si="4"/>
        <v>0.71979296316957331</v>
      </c>
      <c r="F32" s="27">
        <f t="shared" si="1"/>
        <v>1</v>
      </c>
      <c r="G32">
        <f t="shared" ca="1" si="5"/>
        <v>2114.1438230944868</v>
      </c>
    </row>
    <row r="33" spans="1:7" x14ac:dyDescent="0.2">
      <c r="A33" s="59">
        <f>BookData!A34</f>
        <v>32</v>
      </c>
      <c r="B33" s="36">
        <f ca="1">ArdiData!D34</f>
        <v>2463</v>
      </c>
      <c r="C33" s="1">
        <f t="shared" ca="1" si="2"/>
        <v>2657.4</v>
      </c>
      <c r="D33" s="10">
        <f t="shared" ca="1" si="3"/>
        <v>2719.3533135875596</v>
      </c>
      <c r="E33" s="10">
        <f t="shared" ca="1" si="4"/>
        <v>0.90573004533590362</v>
      </c>
      <c r="F33" s="27">
        <f t="shared" si="1"/>
        <v>2</v>
      </c>
      <c r="G33">
        <f t="shared" ca="1" si="5"/>
        <v>2450.9673167748488</v>
      </c>
    </row>
    <row r="34" spans="1:7" x14ac:dyDescent="0.2">
      <c r="A34" s="59">
        <f>BookData!A35</f>
        <v>33</v>
      </c>
      <c r="B34" s="36">
        <f ca="1">ArdiData!D35</f>
        <v>2736</v>
      </c>
      <c r="C34" s="1">
        <f t="shared" ca="1" si="2"/>
        <v>2732.6</v>
      </c>
      <c r="D34" s="10">
        <f t="shared" ca="1" si="3"/>
        <v>2768.4943601135378</v>
      </c>
      <c r="E34" s="10">
        <f t="shared" ca="1" si="4"/>
        <v>0.98826280429474844</v>
      </c>
      <c r="F34" s="27">
        <f t="shared" si="1"/>
        <v>3</v>
      </c>
      <c r="G34">
        <f t="shared" ca="1" si="5"/>
        <v>2821.6495596420432</v>
      </c>
    </row>
    <row r="35" spans="1:7" x14ac:dyDescent="0.2">
      <c r="A35" s="59">
        <f>BookData!A36</f>
        <v>34</v>
      </c>
      <c r="B35" s="36">
        <f ca="1">ArdiData!D36</f>
        <v>2919</v>
      </c>
      <c r="C35" s="1">
        <f t="shared" ca="1" si="2"/>
        <v>2850.4</v>
      </c>
      <c r="D35" s="10">
        <f t="shared" ca="1" si="3"/>
        <v>2817.6354066395161</v>
      </c>
      <c r="E35" s="10">
        <f t="shared" ca="1" si="4"/>
        <v>1.0359750566455925</v>
      </c>
      <c r="F35" s="27">
        <f t="shared" si="1"/>
        <v>4</v>
      </c>
      <c r="G35">
        <f t="shared" ca="1" si="5"/>
        <v>3153.1471385243613</v>
      </c>
    </row>
    <row r="36" spans="1:7" x14ac:dyDescent="0.2">
      <c r="A36" s="59">
        <f>BookData!A37</f>
        <v>35</v>
      </c>
      <c r="B36" s="36">
        <f ca="1">ArdiData!D37</f>
        <v>3623</v>
      </c>
      <c r="C36" s="1">
        <f t="shared" ca="1" si="2"/>
        <v>2850.2</v>
      </c>
      <c r="D36" s="10">
        <f t="shared" ca="1" si="3"/>
        <v>2866.7764531654939</v>
      </c>
      <c r="E36" s="10">
        <f t="shared" ca="1" si="4"/>
        <v>1.26378880920397</v>
      </c>
      <c r="F36" s="27">
        <f t="shared" ref="F36:F67" si="6">IF(MOD(A36,5)&lt;&gt;0,MOD(A36,5),5)</f>
        <v>5</v>
      </c>
      <c r="G36">
        <f t="shared" ca="1" si="5"/>
        <v>3350.3095882104212</v>
      </c>
    </row>
    <row r="37" spans="1:7" x14ac:dyDescent="0.2">
      <c r="A37" s="59">
        <f>BookData!A38</f>
        <v>36</v>
      </c>
      <c r="B37" s="36">
        <f ca="1">ArdiData!D38</f>
        <v>2511</v>
      </c>
      <c r="C37" s="1">
        <f t="shared" ca="1" si="2"/>
        <v>2889.8</v>
      </c>
      <c r="D37" s="10">
        <f t="shared" ca="1" si="3"/>
        <v>2915.9174996914717</v>
      </c>
      <c r="E37" s="10">
        <f t="shared" ca="1" si="4"/>
        <v>0.86113547460299711</v>
      </c>
      <c r="F37" s="27">
        <f t="shared" si="6"/>
        <v>1</v>
      </c>
      <c r="G37">
        <f t="shared" ca="1" si="5"/>
        <v>2308.6812410646726</v>
      </c>
    </row>
    <row r="38" spans="1:7" x14ac:dyDescent="0.2">
      <c r="A38" s="59">
        <f>BookData!A39</f>
        <v>37</v>
      </c>
      <c r="B38" s="36">
        <f ca="1">ArdiData!D39</f>
        <v>2462</v>
      </c>
      <c r="C38" s="1">
        <f t="shared" ca="1" si="2"/>
        <v>3033.6</v>
      </c>
      <c r="D38" s="10">
        <f t="shared" ca="1" si="3"/>
        <v>2965.0585462174499</v>
      </c>
      <c r="E38" s="10">
        <f t="shared" ca="1" si="4"/>
        <v>0.83033773587398263</v>
      </c>
      <c r="F38" s="27">
        <f t="shared" si="6"/>
        <v>2</v>
      </c>
      <c r="G38">
        <f t="shared" ca="1" si="5"/>
        <v>2672.4227237377409</v>
      </c>
    </row>
    <row r="39" spans="1:7" x14ac:dyDescent="0.2">
      <c r="A39" s="59">
        <f>BookData!A40</f>
        <v>38</v>
      </c>
      <c r="B39" s="36">
        <f ca="1">ArdiData!D40</f>
        <v>2934</v>
      </c>
      <c r="C39" s="1">
        <f t="shared" ca="1" si="2"/>
        <v>3083</v>
      </c>
      <c r="D39" s="10">
        <f t="shared" ca="1" si="3"/>
        <v>3014.1995927434282</v>
      </c>
      <c r="E39" s="10">
        <f t="shared" ca="1" si="4"/>
        <v>0.97339273983829544</v>
      </c>
      <c r="F39" s="27">
        <f t="shared" si="6"/>
        <v>3</v>
      </c>
      <c r="G39">
        <f t="shared" ca="1" si="5"/>
        <v>3072.0723423070017</v>
      </c>
    </row>
    <row r="40" spans="1:7" x14ac:dyDescent="0.2">
      <c r="A40" s="59">
        <f>BookData!A41</f>
        <v>39</v>
      </c>
      <c r="B40" s="36">
        <f ca="1">ArdiData!D41</f>
        <v>3638</v>
      </c>
      <c r="C40" s="1">
        <f t="shared" ca="1" si="2"/>
        <v>3021.4</v>
      </c>
      <c r="D40" s="10">
        <f t="shared" ca="1" si="3"/>
        <v>3063.340639269406</v>
      </c>
      <c r="E40" s="10">
        <f t="shared" ca="1" si="4"/>
        <v>1.1875923798235013</v>
      </c>
      <c r="F40" s="27">
        <f t="shared" si="6"/>
        <v>4</v>
      </c>
      <c r="G40">
        <f t="shared" ca="1" si="5"/>
        <v>3428.1098783315697</v>
      </c>
    </row>
    <row r="41" spans="1:7" x14ac:dyDescent="0.2">
      <c r="A41" s="59">
        <f>BookData!A42</f>
        <v>40</v>
      </c>
      <c r="B41" s="36">
        <f ca="1">ArdiData!D42</f>
        <v>3870</v>
      </c>
      <c r="C41" s="1">
        <f t="shared" ca="1" si="2"/>
        <v>3215.2</v>
      </c>
      <c r="D41" s="10">
        <f t="shared" ca="1" si="3"/>
        <v>3112.4816857953838</v>
      </c>
      <c r="E41" s="10">
        <f t="shared" ca="1" si="4"/>
        <v>1.2433808101303045</v>
      </c>
      <c r="F41" s="27">
        <f t="shared" si="6"/>
        <v>5</v>
      </c>
      <c r="G41">
        <f t="shared" ca="1" si="5"/>
        <v>3637.4574039546269</v>
      </c>
    </row>
    <row r="42" spans="1:7" x14ac:dyDescent="0.2">
      <c r="A42" s="59">
        <f>BookData!A43</f>
        <v>41</v>
      </c>
      <c r="B42" s="36">
        <f ca="1">ArdiData!D43</f>
        <v>2203</v>
      </c>
      <c r="C42" s="1">
        <f t="shared" ca="1" si="2"/>
        <v>3226.6</v>
      </c>
      <c r="D42" s="10">
        <f t="shared" ca="1" si="3"/>
        <v>3161.6227323213616</v>
      </c>
      <c r="E42" s="10">
        <f t="shared" ca="1" si="4"/>
        <v>0.69679407902741419</v>
      </c>
      <c r="F42" s="27">
        <f t="shared" si="6"/>
        <v>1</v>
      </c>
      <c r="G42">
        <f t="shared" ca="1" si="5"/>
        <v>2503.2186590348583</v>
      </c>
    </row>
    <row r="43" spans="1:7" x14ac:dyDescent="0.2">
      <c r="A43" s="59">
        <f>BookData!A44</f>
        <v>42</v>
      </c>
      <c r="B43" s="36">
        <f ca="1">ArdiData!D44</f>
        <v>3431</v>
      </c>
      <c r="C43" s="1">
        <f t="shared" ca="1" si="2"/>
        <v>3356.2</v>
      </c>
      <c r="D43" s="10">
        <f t="shared" ca="1" si="3"/>
        <v>3210.7637788473403</v>
      </c>
      <c r="E43" s="10">
        <f t="shared" ca="1" si="4"/>
        <v>1.068593093831314</v>
      </c>
      <c r="F43" s="27">
        <f t="shared" si="6"/>
        <v>2</v>
      </c>
      <c r="G43">
        <f t="shared" ca="1" si="5"/>
        <v>2893.8781307006329</v>
      </c>
    </row>
    <row r="44" spans="1:7" x14ac:dyDescent="0.2">
      <c r="A44" s="59">
        <f>BookData!A45</f>
        <v>43</v>
      </c>
      <c r="B44" s="36">
        <f ca="1">ArdiData!D45</f>
        <v>2991</v>
      </c>
      <c r="C44" s="1">
        <f t="shared" ca="1" si="2"/>
        <v>3247.2</v>
      </c>
      <c r="D44" s="10">
        <f t="shared" ca="1" si="3"/>
        <v>3259.9048253733181</v>
      </c>
      <c r="E44" s="10">
        <f t="shared" ca="1" si="4"/>
        <v>0.91751144902136106</v>
      </c>
      <c r="F44" s="27">
        <f t="shared" si="6"/>
        <v>3</v>
      </c>
      <c r="G44">
        <f t="shared" ca="1" si="5"/>
        <v>3322.4951249719597</v>
      </c>
    </row>
    <row r="45" spans="1:7" x14ac:dyDescent="0.2">
      <c r="A45" s="59">
        <f>BookData!A46</f>
        <v>44</v>
      </c>
      <c r="B45" s="36">
        <f ca="1">ArdiData!D46</f>
        <v>4286</v>
      </c>
      <c r="C45" s="1">
        <f t="shared" ca="1" si="2"/>
        <v>3435.8</v>
      </c>
      <c r="D45" s="10">
        <f t="shared" ca="1" si="3"/>
        <v>3309.0458718992959</v>
      </c>
      <c r="E45" s="10">
        <f t="shared" ca="1" si="4"/>
        <v>1.2952374085826621</v>
      </c>
      <c r="F45" s="27">
        <f t="shared" si="6"/>
        <v>4</v>
      </c>
      <c r="G45">
        <f t="shared" ca="1" si="5"/>
        <v>3703.0726181387786</v>
      </c>
    </row>
    <row r="46" spans="1:7" x14ac:dyDescent="0.2">
      <c r="A46" s="59">
        <f>BookData!A47</f>
        <v>45</v>
      </c>
      <c r="B46" s="36">
        <f ca="1">ArdiData!D47</f>
        <v>3325</v>
      </c>
      <c r="C46" s="1">
        <f t="shared" ca="1" si="2"/>
        <v>3414.6</v>
      </c>
      <c r="D46" s="10">
        <f t="shared" ca="1" si="3"/>
        <v>3358.1869184252737</v>
      </c>
      <c r="E46" s="10">
        <f t="shared" ca="1" si="4"/>
        <v>0.99011760833109441</v>
      </c>
      <c r="F46" s="27">
        <f t="shared" si="6"/>
        <v>5</v>
      </c>
      <c r="G46">
        <f t="shared" ca="1" si="5"/>
        <v>3924.6052196988326</v>
      </c>
    </row>
    <row r="47" spans="1:7" x14ac:dyDescent="0.2">
      <c r="A47" s="59">
        <f>BookData!A48</f>
        <v>46</v>
      </c>
      <c r="B47" s="36">
        <f ca="1">ArdiData!D48</f>
        <v>3146</v>
      </c>
      <c r="C47" s="1">
        <f t="shared" ca="1" si="2"/>
        <v>3566.2</v>
      </c>
      <c r="D47" s="10">
        <f t="shared" ca="1" si="3"/>
        <v>3407.3279649512524</v>
      </c>
      <c r="E47" s="10">
        <f t="shared" ca="1" si="4"/>
        <v>0.92330413519351628</v>
      </c>
      <c r="F47" s="27">
        <f t="shared" si="6"/>
        <v>1</v>
      </c>
      <c r="G47">
        <f t="shared" ca="1" si="5"/>
        <v>2697.7560770050445</v>
      </c>
    </row>
    <row r="48" spans="1:7" x14ac:dyDescent="0.2">
      <c r="A48" s="59">
        <f>BookData!A49</f>
        <v>47</v>
      </c>
      <c r="B48" s="36">
        <f ca="1">ArdiData!D49</f>
        <v>3325</v>
      </c>
      <c r="C48" s="1">
        <f t="shared" ca="1" si="2"/>
        <v>3432.2</v>
      </c>
      <c r="D48" s="10">
        <f t="shared" ca="1" si="3"/>
        <v>3456.4690114772302</v>
      </c>
      <c r="E48" s="10">
        <f t="shared" ca="1" si="4"/>
        <v>0.9619643598595311</v>
      </c>
      <c r="F48" s="27">
        <f t="shared" si="6"/>
        <v>2</v>
      </c>
      <c r="G48">
        <f t="shared" ca="1" si="5"/>
        <v>3115.333537663525</v>
      </c>
    </row>
    <row r="49" spans="1:7" x14ac:dyDescent="0.2">
      <c r="A49" s="59">
        <f>BookData!A50</f>
        <v>48</v>
      </c>
      <c r="B49" s="36">
        <f ca="1">ArdiData!D50</f>
        <v>3749</v>
      </c>
      <c r="C49" s="1">
        <f t="shared" ca="1" si="2"/>
        <v>3536</v>
      </c>
      <c r="D49" s="10">
        <f t="shared" ca="1" si="3"/>
        <v>3505.610058003208</v>
      </c>
      <c r="E49" s="10">
        <f t="shared" ca="1" si="4"/>
        <v>1.0694286979925618</v>
      </c>
      <c r="F49" s="27">
        <f t="shared" si="6"/>
        <v>3</v>
      </c>
      <c r="G49">
        <f t="shared" ca="1" si="5"/>
        <v>3572.9179076369178</v>
      </c>
    </row>
    <row r="50" spans="1:7" x14ac:dyDescent="0.2">
      <c r="A50" s="59">
        <f>BookData!A51</f>
        <v>49</v>
      </c>
      <c r="B50" s="36">
        <f ca="1">ArdiData!D51</f>
        <v>3616</v>
      </c>
      <c r="C50" s="1">
        <f t="shared" ca="1" si="2"/>
        <v>3434</v>
      </c>
      <c r="D50" s="10">
        <f t="shared" ca="1" si="3"/>
        <v>3554.7511045291858</v>
      </c>
      <c r="E50" s="10">
        <f t="shared" ca="1" si="4"/>
        <v>1.0172301502045462</v>
      </c>
      <c r="F50" s="27">
        <f t="shared" si="6"/>
        <v>4</v>
      </c>
      <c r="G50">
        <f t="shared" ca="1" si="5"/>
        <v>3978.035357945987</v>
      </c>
    </row>
    <row r="51" spans="1:7" x14ac:dyDescent="0.2">
      <c r="A51" s="59">
        <f>BookData!A52</f>
        <v>50</v>
      </c>
      <c r="B51" s="36">
        <f ca="1">ArdiData!D52</f>
        <v>3844</v>
      </c>
      <c r="C51" s="1">
        <f t="shared" ca="1" si="2"/>
        <v>3391.8</v>
      </c>
      <c r="D51" s="10">
        <f t="shared" ca="1" si="3"/>
        <v>3603.8921510551636</v>
      </c>
      <c r="E51" s="10">
        <f t="shared" ca="1" si="4"/>
        <v>1.0666245933232315</v>
      </c>
      <c r="F51" s="27">
        <f t="shared" si="6"/>
        <v>5</v>
      </c>
      <c r="G51">
        <f t="shared" ca="1" si="5"/>
        <v>4211.7530354430382</v>
      </c>
    </row>
    <row r="52" spans="1:7" x14ac:dyDescent="0.2">
      <c r="A52" s="59">
        <f>BookData!A53</f>
        <v>51</v>
      </c>
      <c r="B52" s="36">
        <f ca="1">ArdiData!D53</f>
        <v>2636</v>
      </c>
      <c r="C52" s="1">
        <f t="shared" ca="1" si="2"/>
        <v>3365.2</v>
      </c>
      <c r="D52" s="10">
        <f t="shared" ca="1" si="3"/>
        <v>3653.0331975811423</v>
      </c>
      <c r="E52" s="10">
        <f t="shared" ca="1" si="4"/>
        <v>0.72159212835662945</v>
      </c>
      <c r="F52" s="27">
        <f t="shared" si="6"/>
        <v>1</v>
      </c>
      <c r="G52">
        <f t="shared" ca="1" si="5"/>
        <v>2892.2934949752298</v>
      </c>
    </row>
    <row r="53" spans="1:7" x14ac:dyDescent="0.2">
      <c r="A53" s="59">
        <f>BookData!A54</f>
        <v>52</v>
      </c>
      <c r="B53" s="36">
        <f ca="1">ArdiData!D54</f>
        <v>3114</v>
      </c>
      <c r="C53" s="1">
        <f t="shared" ca="1" si="2"/>
        <v>3535.6</v>
      </c>
      <c r="D53" s="10">
        <f t="shared" ca="1" si="3"/>
        <v>3702.1742441071201</v>
      </c>
      <c r="E53" s="10">
        <f t="shared" ca="1" si="4"/>
        <v>0.84112734697905223</v>
      </c>
      <c r="F53" s="27">
        <f t="shared" si="6"/>
        <v>2</v>
      </c>
      <c r="G53">
        <f t="shared" ca="1" si="5"/>
        <v>3336.7889446264167</v>
      </c>
    </row>
    <row r="54" spans="1:7" x14ac:dyDescent="0.2">
      <c r="A54" s="59">
        <f>BookData!A55</f>
        <v>53</v>
      </c>
      <c r="B54" s="36">
        <f ca="1">ArdiData!D55</f>
        <v>3616</v>
      </c>
      <c r="C54" s="1">
        <f t="shared" ca="1" si="2"/>
        <v>3578.4</v>
      </c>
      <c r="D54" s="10">
        <f t="shared" ca="1" si="3"/>
        <v>3751.3152906330979</v>
      </c>
      <c r="E54" s="10">
        <f t="shared" ca="1" si="4"/>
        <v>0.96392857434005208</v>
      </c>
      <c r="F54" s="27">
        <f t="shared" si="6"/>
        <v>3</v>
      </c>
      <c r="G54">
        <f t="shared" ca="1" si="5"/>
        <v>3823.3406903018758</v>
      </c>
    </row>
    <row r="55" spans="1:7" x14ac:dyDescent="0.2">
      <c r="A55" s="59">
        <f>BookData!A56</f>
        <v>54</v>
      </c>
      <c r="B55" s="36">
        <f ca="1">ArdiData!D56</f>
        <v>4468</v>
      </c>
      <c r="C55" s="1">
        <f t="shared" ca="1" si="2"/>
        <v>3665.8</v>
      </c>
      <c r="D55" s="10">
        <f t="shared" ca="1" si="3"/>
        <v>3800.4563371590757</v>
      </c>
      <c r="E55" s="10">
        <f t="shared" ca="1" si="4"/>
        <v>1.1756482915785655</v>
      </c>
      <c r="F55" s="27">
        <f t="shared" si="6"/>
        <v>4</v>
      </c>
      <c r="G55">
        <f t="shared" ca="1" si="5"/>
        <v>4252.9980977531959</v>
      </c>
    </row>
    <row r="56" spans="1:7" x14ac:dyDescent="0.2">
      <c r="A56" s="59">
        <f>BookData!A57</f>
        <v>55</v>
      </c>
      <c r="B56" s="36">
        <f ca="1">ArdiData!D57</f>
        <v>4058</v>
      </c>
      <c r="C56" s="1">
        <f t="shared" ca="1" si="2"/>
        <v>3867.8</v>
      </c>
      <c r="D56" s="10">
        <f t="shared" ca="1" si="3"/>
        <v>3849.5973836850544</v>
      </c>
      <c r="E56" s="10">
        <f t="shared" ca="1" si="4"/>
        <v>1.0541362110225279</v>
      </c>
      <c r="F56" s="27">
        <f t="shared" si="6"/>
        <v>5</v>
      </c>
      <c r="G56">
        <f t="shared" ca="1" si="5"/>
        <v>4498.9008511872444</v>
      </c>
    </row>
    <row r="57" spans="1:7" x14ac:dyDescent="0.2">
      <c r="A57" s="59">
        <f>BookData!A58</f>
        <v>56</v>
      </c>
      <c r="B57" s="36">
        <f ca="1">ArdiData!D58</f>
        <v>3073</v>
      </c>
      <c r="C57" s="1">
        <f t="shared" ca="1" si="2"/>
        <v>3856</v>
      </c>
      <c r="D57" s="10">
        <f t="shared" ca="1" si="3"/>
        <v>3898.7384302110322</v>
      </c>
      <c r="E57" s="10">
        <f t="shared" ca="1" si="4"/>
        <v>0.78820368563008825</v>
      </c>
      <c r="F57" s="27">
        <f t="shared" si="6"/>
        <v>1</v>
      </c>
      <c r="G57">
        <f t="shared" ca="1" si="5"/>
        <v>3086.8309129454155</v>
      </c>
    </row>
    <row r="58" spans="1:7" x14ac:dyDescent="0.2">
      <c r="A58" s="59">
        <f>BookData!A59</f>
        <v>57</v>
      </c>
      <c r="B58" s="36">
        <f ca="1">ArdiData!D59</f>
        <v>4124</v>
      </c>
      <c r="C58" s="1">
        <f t="shared" ca="1" si="2"/>
        <v>3937</v>
      </c>
      <c r="D58" s="10">
        <f t="shared" ca="1" si="3"/>
        <v>3947.87947673701</v>
      </c>
      <c r="E58" s="10">
        <f t="shared" ca="1" si="4"/>
        <v>1.0446114234998269</v>
      </c>
      <c r="F58" s="27">
        <f t="shared" si="6"/>
        <v>2</v>
      </c>
      <c r="G58">
        <f t="shared" ca="1" si="5"/>
        <v>3558.2443515893083</v>
      </c>
    </row>
    <row r="59" spans="1:7" x14ac:dyDescent="0.2">
      <c r="A59" s="59">
        <f>BookData!A60</f>
        <v>58</v>
      </c>
      <c r="B59" s="36">
        <f ca="1">ArdiData!D60</f>
        <v>3557</v>
      </c>
      <c r="C59" s="1">
        <f t="shared" ca="1" si="2"/>
        <v>4132.8</v>
      </c>
      <c r="D59" s="10">
        <f t="shared" ca="1" si="3"/>
        <v>3997.0205232629878</v>
      </c>
      <c r="E59" s="10">
        <f t="shared" ca="1" si="4"/>
        <v>0.88991286867254438</v>
      </c>
      <c r="F59" s="27">
        <f t="shared" si="6"/>
        <v>3</v>
      </c>
      <c r="G59">
        <f t="shared" ca="1" si="5"/>
        <v>4073.7634729668343</v>
      </c>
    </row>
    <row r="60" spans="1:7" x14ac:dyDescent="0.2">
      <c r="A60" s="59">
        <f>BookData!A61</f>
        <v>59</v>
      </c>
      <c r="B60" s="36">
        <f ca="1">ArdiData!D61</f>
        <v>4873</v>
      </c>
      <c r="C60" s="1">
        <f t="shared" ca="1" si="2"/>
        <v>4242.8</v>
      </c>
      <c r="D60" s="10">
        <f t="shared" ca="1" si="3"/>
        <v>4046.1615697889665</v>
      </c>
      <c r="E60" s="10">
        <f t="shared" ca="1" si="4"/>
        <v>1.2043513132013062</v>
      </c>
      <c r="F60" s="27">
        <f t="shared" si="6"/>
        <v>4</v>
      </c>
      <c r="G60">
        <f t="shared" ca="1" si="5"/>
        <v>4527.9608375604057</v>
      </c>
    </row>
    <row r="61" spans="1:7" x14ac:dyDescent="0.2">
      <c r="A61" s="59">
        <f>BookData!A62</f>
        <v>60</v>
      </c>
      <c r="B61" s="36">
        <f ca="1">ArdiData!D62</f>
        <v>5037</v>
      </c>
      <c r="C61" s="1">
        <f t="shared" ca="1" si="2"/>
        <v>4154.6000000000004</v>
      </c>
      <c r="D61" s="10">
        <f t="shared" ca="1" si="3"/>
        <v>4095.3026163149443</v>
      </c>
      <c r="E61" s="10">
        <f t="shared" ca="1" si="4"/>
        <v>1.2299457383035637</v>
      </c>
      <c r="F61" s="27">
        <f t="shared" si="6"/>
        <v>5</v>
      </c>
      <c r="G61">
        <f t="shared" ca="1" si="5"/>
        <v>4786.0486669314496</v>
      </c>
    </row>
    <row r="62" spans="1:7" x14ac:dyDescent="0.2">
      <c r="A62" s="59">
        <f>BookData!A63</f>
        <v>61</v>
      </c>
      <c r="B62" s="36">
        <f ca="1">ArdiData!D63</f>
        <v>3623</v>
      </c>
      <c r="C62" s="1">
        <f t="shared" ca="1" si="2"/>
        <v>4331.2</v>
      </c>
      <c r="D62" s="10">
        <f t="shared" ca="1" si="3"/>
        <v>4144.4436628409221</v>
      </c>
      <c r="E62" s="10">
        <f t="shared" ca="1" si="4"/>
        <v>0.87418247049267783</v>
      </c>
      <c r="F62" s="27">
        <f t="shared" si="6"/>
        <v>1</v>
      </c>
      <c r="G62">
        <f t="shared" ca="1" si="5"/>
        <v>3281.3683309156013</v>
      </c>
    </row>
    <row r="63" spans="1:7" x14ac:dyDescent="0.2">
      <c r="A63" s="59">
        <f>BookData!A64</f>
        <v>62</v>
      </c>
      <c r="B63" s="36">
        <f ca="1">ArdiData!D64</f>
        <v>3683</v>
      </c>
      <c r="C63" s="1">
        <f t="shared" ca="1" si="2"/>
        <v>4333.3999999999996</v>
      </c>
      <c r="D63" s="10">
        <f t="shared" ca="1" si="3"/>
        <v>4193.5847093668999</v>
      </c>
      <c r="E63" s="10">
        <f t="shared" ca="1" si="4"/>
        <v>0.87824623925529754</v>
      </c>
      <c r="F63" s="27">
        <f t="shared" si="6"/>
        <v>2</v>
      </c>
      <c r="G63">
        <f t="shared" ca="1" si="5"/>
        <v>3779.6997585521999</v>
      </c>
    </row>
    <row r="64" spans="1:7" x14ac:dyDescent="0.2">
      <c r="A64" s="59">
        <f>BookData!A65</f>
        <v>63</v>
      </c>
      <c r="B64" s="36">
        <f ca="1">ArdiData!D65</f>
        <v>4440</v>
      </c>
      <c r="C64" s="1">
        <f t="shared" ca="1" si="2"/>
        <v>4340.8</v>
      </c>
      <c r="D64" s="10">
        <f t="shared" ca="1" si="3"/>
        <v>4242.7257558928786</v>
      </c>
      <c r="E64" s="10">
        <f t="shared" ca="1" si="4"/>
        <v>1.0464970529460029</v>
      </c>
      <c r="F64" s="27">
        <f t="shared" si="6"/>
        <v>3</v>
      </c>
      <c r="G64">
        <f t="shared" ca="1" si="5"/>
        <v>4324.1862556317928</v>
      </c>
    </row>
    <row r="65" spans="1:7" x14ac:dyDescent="0.2">
      <c r="A65" s="59">
        <f>BookData!A66</f>
        <v>64</v>
      </c>
      <c r="B65" s="36">
        <f ca="1">ArdiData!D66</f>
        <v>4884</v>
      </c>
      <c r="C65" s="1">
        <f t="shared" ca="1" si="2"/>
        <v>4249.6000000000004</v>
      </c>
      <c r="D65" s="10">
        <f t="shared" ca="1" si="3"/>
        <v>4291.8668024188564</v>
      </c>
      <c r="E65" s="10">
        <f t="shared" ca="1" si="4"/>
        <v>1.1379663500385013</v>
      </c>
      <c r="F65" s="27">
        <f t="shared" si="6"/>
        <v>4</v>
      </c>
      <c r="G65">
        <f t="shared" ca="1" si="5"/>
        <v>4802.9235773676146</v>
      </c>
    </row>
    <row r="66" spans="1:7" x14ac:dyDescent="0.2">
      <c r="A66" s="59">
        <f>BookData!A67</f>
        <v>65</v>
      </c>
      <c r="B66" s="36">
        <f ca="1">ArdiData!D67</f>
        <v>5074</v>
      </c>
      <c r="C66" s="1">
        <f t="shared" ca="1" si="2"/>
        <v>4313.6000000000004</v>
      </c>
      <c r="D66" s="10">
        <f t="shared" ca="1" si="3"/>
        <v>4341.0078489448342</v>
      </c>
      <c r="E66" s="10">
        <f t="shared" ca="1" si="4"/>
        <v>1.1688529891125015</v>
      </c>
      <c r="F66" s="27">
        <f t="shared" si="6"/>
        <v>5</v>
      </c>
      <c r="G66">
        <f t="shared" ca="1" si="5"/>
        <v>5073.1964826756557</v>
      </c>
    </row>
    <row r="67" spans="1:7" x14ac:dyDescent="0.2">
      <c r="A67" s="59">
        <f>BookData!A68</f>
        <v>66</v>
      </c>
      <c r="B67" s="36">
        <f ca="1">ArdiData!D68</f>
        <v>3167</v>
      </c>
      <c r="C67" s="1">
        <f t="shared" ca="1" si="2"/>
        <v>4351.2</v>
      </c>
      <c r="D67" s="10">
        <f t="shared" ca="1" si="3"/>
        <v>4390.148895470812</v>
      </c>
      <c r="E67" s="10">
        <f t="shared" ca="1" si="4"/>
        <v>0.72138783339838453</v>
      </c>
      <c r="F67" s="27">
        <f t="shared" si="6"/>
        <v>1</v>
      </c>
      <c r="G67">
        <f t="shared" ca="1" si="5"/>
        <v>3475.9057488857866</v>
      </c>
    </row>
    <row r="68" spans="1:7" x14ac:dyDescent="0.2">
      <c r="A68" s="59">
        <f>BookData!A69</f>
        <v>67</v>
      </c>
      <c r="B68" s="36">
        <f ca="1">ArdiData!D69</f>
        <v>4003</v>
      </c>
      <c r="C68" s="1">
        <f t="shared" ca="1" si="2"/>
        <v>4435.2</v>
      </c>
      <c r="D68" s="10">
        <f t="shared" ca="1" si="3"/>
        <v>4439.2899419967898</v>
      </c>
      <c r="E68" s="10">
        <f t="shared" ca="1" si="4"/>
        <v>0.90172078244554876</v>
      </c>
      <c r="F68" s="27">
        <f t="shared" ref="F68:F76" si="7">IF(MOD(A68,5)&lt;&gt;0,MOD(A68,5),5)</f>
        <v>2</v>
      </c>
      <c r="G68">
        <f t="shared" ca="1" si="5"/>
        <v>4001.155165515092</v>
      </c>
    </row>
    <row r="69" spans="1:7" x14ac:dyDescent="0.2">
      <c r="A69" s="59">
        <f>BookData!A70</f>
        <v>68</v>
      </c>
      <c r="B69" s="36">
        <f ca="1">ArdiData!D70</f>
        <v>4628</v>
      </c>
      <c r="C69" s="1">
        <f t="shared" ref="C69:C76" ca="1" si="8">AVERAGE(B67:B71)</f>
        <v>4459.8</v>
      </c>
      <c r="D69" s="10">
        <f t="shared" ref="D69:D76" ca="1" si="9">TREND($C$4:$C$76,$A$4:$A$76,A69)</f>
        <v>4488.4309885227685</v>
      </c>
      <c r="E69" s="10">
        <f t="shared" ref="E69:E76" ca="1" si="10">B69/D69</f>
        <v>1.0310952784690506</v>
      </c>
      <c r="F69" s="27">
        <f t="shared" si="7"/>
        <v>3</v>
      </c>
      <c r="G69">
        <f t="shared" ref="G69:G76" ca="1" si="11">VLOOKUP(F69,$H$1:$J$5,3)*D69</f>
        <v>4574.6090382967514</v>
      </c>
    </row>
    <row r="70" spans="1:7" x14ac:dyDescent="0.2">
      <c r="A70" s="59">
        <f>BookData!A71</f>
        <v>69</v>
      </c>
      <c r="B70" s="36">
        <f ca="1">ArdiData!D71</f>
        <v>5304</v>
      </c>
      <c r="C70" s="1">
        <f t="shared" ca="1" si="8"/>
        <v>4606.2</v>
      </c>
      <c r="D70" s="10">
        <f t="shared" ca="1" si="9"/>
        <v>4537.5720350487463</v>
      </c>
      <c r="E70" s="10">
        <f t="shared" ca="1" si="10"/>
        <v>1.1689070628590077</v>
      </c>
      <c r="F70" s="27">
        <f t="shared" si="7"/>
        <v>4</v>
      </c>
      <c r="G70">
        <f t="shared" ca="1" si="11"/>
        <v>5077.8863171748226</v>
      </c>
    </row>
    <row r="71" spans="1:7" x14ac:dyDescent="0.2">
      <c r="A71" s="59">
        <f>BookData!A72</f>
        <v>70</v>
      </c>
      <c r="B71" s="36">
        <f ca="1">ArdiData!D72</f>
        <v>5197</v>
      </c>
      <c r="C71" s="1">
        <f t="shared" ca="1" si="8"/>
        <v>4530.2</v>
      </c>
      <c r="D71" s="10">
        <f t="shared" ca="1" si="9"/>
        <v>4586.7130815747241</v>
      </c>
      <c r="E71" s="10">
        <f t="shared" ca="1" si="10"/>
        <v>1.1330553944777706</v>
      </c>
      <c r="F71" s="27">
        <f t="shared" si="7"/>
        <v>5</v>
      </c>
      <c r="G71">
        <f t="shared" ca="1" si="11"/>
        <v>5360.3442984198609</v>
      </c>
    </row>
    <row r="72" spans="1:7" x14ac:dyDescent="0.2">
      <c r="A72" s="59">
        <f>BookData!A73</f>
        <v>71</v>
      </c>
      <c r="B72" s="36">
        <f ca="1">ArdiData!D73</f>
        <v>3899</v>
      </c>
      <c r="C72" s="1">
        <f t="shared" ca="1" si="8"/>
        <v>4550.8</v>
      </c>
      <c r="D72" s="10">
        <f t="shared" ca="1" si="9"/>
        <v>4635.8541281007019</v>
      </c>
      <c r="E72" s="10">
        <f t="shared" ca="1" si="10"/>
        <v>0.84105321096404095</v>
      </c>
      <c r="F72" s="27">
        <f t="shared" si="7"/>
        <v>1</v>
      </c>
      <c r="G72">
        <f t="shared" ca="1" si="11"/>
        <v>3670.4431668559723</v>
      </c>
    </row>
    <row r="73" spans="1:7" x14ac:dyDescent="0.2">
      <c r="A73" s="59">
        <f>BookData!A74</f>
        <v>72</v>
      </c>
      <c r="B73" s="36">
        <f ca="1">ArdiData!D74</f>
        <v>3623</v>
      </c>
      <c r="C73" s="1">
        <f t="shared" ca="1" si="8"/>
        <v>4479.8</v>
      </c>
      <c r="D73" s="10">
        <f t="shared" ca="1" si="9"/>
        <v>4684.9951746266806</v>
      </c>
      <c r="E73" s="10">
        <f t="shared" ca="1" si="10"/>
        <v>0.77331990001221196</v>
      </c>
      <c r="F73" s="27">
        <f t="shared" si="7"/>
        <v>2</v>
      </c>
      <c r="G73">
        <f t="shared" ca="1" si="11"/>
        <v>4222.6105724779845</v>
      </c>
    </row>
    <row r="74" spans="1:7" x14ac:dyDescent="0.2">
      <c r="A74" s="59">
        <f>BookData!A75</f>
        <v>73</v>
      </c>
      <c r="B74" s="36">
        <f ca="1">ArdiData!D75</f>
        <v>4731</v>
      </c>
      <c r="C74" s="1">
        <f t="shared" ca="1" si="8"/>
        <v>4596.6000000000004</v>
      </c>
      <c r="D74" s="10">
        <f t="shared" ca="1" si="9"/>
        <v>4734.1362211526584</v>
      </c>
      <c r="E74" s="10">
        <f t="shared" ca="1" si="10"/>
        <v>0.99933753043720086</v>
      </c>
      <c r="F74" s="27">
        <f t="shared" si="7"/>
        <v>3</v>
      </c>
      <c r="G74">
        <f t="shared" ca="1" si="11"/>
        <v>4825.0318209617089</v>
      </c>
    </row>
    <row r="75" spans="1:7" x14ac:dyDescent="0.2">
      <c r="A75" s="59">
        <f>BookData!A76</f>
        <v>74</v>
      </c>
      <c r="B75" s="36">
        <f ca="1">ArdiData!D76</f>
        <v>4949</v>
      </c>
      <c r="C75" s="1">
        <f t="shared" ca="1" si="8"/>
        <v>4771</v>
      </c>
      <c r="D75" s="10">
        <f t="shared" ca="1" si="9"/>
        <v>4783.2772676786362</v>
      </c>
      <c r="E75" s="10">
        <f t="shared" ca="1" si="10"/>
        <v>1.0346462734747113</v>
      </c>
      <c r="F75" s="27">
        <f t="shared" si="7"/>
        <v>4</v>
      </c>
      <c r="G75">
        <f t="shared" ca="1" si="11"/>
        <v>5352.8490569820315</v>
      </c>
    </row>
    <row r="76" spans="1:7" x14ac:dyDescent="0.2">
      <c r="A76" s="59">
        <f>BookData!A77</f>
        <v>75</v>
      </c>
      <c r="B76" s="36">
        <f ca="1">ArdiData!D77</f>
        <v>5781</v>
      </c>
      <c r="C76" s="1">
        <f t="shared" ca="1" si="8"/>
        <v>5153.666666666667</v>
      </c>
      <c r="D76" s="10">
        <f t="shared" ca="1" si="9"/>
        <v>4832.418314204614</v>
      </c>
      <c r="E76" s="10">
        <f t="shared" ca="1" si="10"/>
        <v>1.1962954413542977</v>
      </c>
      <c r="F76" s="27">
        <f t="shared" si="7"/>
        <v>5</v>
      </c>
      <c r="G76">
        <f t="shared" ca="1" si="11"/>
        <v>5647.4921141640662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ArdiData</vt:lpstr>
      <vt:lpstr>BookData</vt:lpstr>
      <vt:lpstr>Set1MA</vt:lpstr>
      <vt:lpstr>Set2ES</vt:lpstr>
      <vt:lpstr>Setr2Reg</vt:lpstr>
      <vt:lpstr>Stat.S.T.Reg.Office2</vt:lpstr>
      <vt:lpstr>Set3</vt:lpstr>
    </vt:vector>
  </TitlesOfParts>
  <Company>WLU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Asef-Vaziri, Ardavan</cp:lastModifiedBy>
  <dcterms:created xsi:type="dcterms:W3CDTF">2000-06-19T14:08:17Z</dcterms:created>
  <dcterms:modified xsi:type="dcterms:W3CDTF">2016-02-25T16:10:45Z</dcterms:modified>
</cp:coreProperties>
</file>