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public_html\CourseBase\IntroductionToOM\"/>
    </mc:Choice>
  </mc:AlternateContent>
  <bookViews>
    <workbookView xWindow="0" yWindow="0" windowWidth="28950" windowHeight="15690" firstSheet="4" activeTab="5"/>
  </bookViews>
  <sheets>
    <sheet name="1.In-Out-HC" sheetId="2" r:id="rId1"/>
    <sheet name="2. FTE" sheetId="7" r:id="rId2"/>
    <sheet name="3.SAT-GPA" sheetId="9" r:id="rId3"/>
    <sheet name="4. TestOfHypothesis" sheetId="11" r:id="rId4"/>
    <sheet name="5. Graduation" sheetId="8" r:id="rId5"/>
    <sheet name="YearsATCSUN" sheetId="12" r:id="rId6"/>
    <sheet name="Sheet1 (2)" sheetId="13" r:id="rId7"/>
    <sheet name="Sheet1 (3)" sheetId="14" r:id="rId8"/>
    <sheet name="Sheet1" sheetId="10" r:id="rId9"/>
    <sheet name="Degrees by Origin" sheetId="3" r:id="rId10"/>
    <sheet name="Undergrad Students" sheetId="4" r:id="rId11"/>
    <sheet name="6Universities" sheetId="5" r:id="rId12"/>
    <sheet name="StanfordCSUN" sheetId="6" r:id="rId13"/>
  </sheets>
  <definedNames>
    <definedName name="solver_typ" localSheetId="6" hidden="1">2</definedName>
    <definedName name="solver_typ" localSheetId="7" hidden="1">2</definedName>
    <definedName name="solver_typ" localSheetId="5" hidden="1">2</definedName>
    <definedName name="solver_ver" localSheetId="6" hidden="1">16</definedName>
    <definedName name="solver_ver" localSheetId="7" hidden="1">16</definedName>
    <definedName name="solver_ver" localSheetId="5" hidden="1">16</definedName>
  </definedNames>
  <calcPr calcId="162913"/>
</workbook>
</file>

<file path=xl/calcChain.xml><?xml version="1.0" encoding="utf-8"?>
<calcChain xmlns="http://schemas.openxmlformats.org/spreadsheetml/2006/main">
  <c r="BC13" i="12" l="1"/>
  <c r="BC3" i="12"/>
  <c r="C61" i="14"/>
  <c r="T5" i="14" l="1"/>
  <c r="U5" i="14"/>
  <c r="V5" i="14"/>
  <c r="W5" i="14"/>
  <c r="X5" i="14"/>
  <c r="Y5" i="14"/>
  <c r="Z5" i="14"/>
  <c r="AA5" i="14"/>
  <c r="AB5" i="14"/>
  <c r="AC5" i="14"/>
  <c r="AD5" i="14"/>
  <c r="AE5" i="14"/>
  <c r="AF5" i="14"/>
  <c r="AG5" i="14"/>
  <c r="AH5" i="14"/>
  <c r="AI5" i="14"/>
  <c r="T6" i="14"/>
  <c r="U6" i="14"/>
  <c r="V6" i="14"/>
  <c r="W6" i="14"/>
  <c r="X6" i="14"/>
  <c r="Y6" i="14"/>
  <c r="Z6" i="14"/>
  <c r="AA6" i="14"/>
  <c r="AB6" i="14"/>
  <c r="AC6" i="14"/>
  <c r="AD6" i="14"/>
  <c r="AE6" i="14"/>
  <c r="AF6" i="14"/>
  <c r="AG6" i="14"/>
  <c r="AH6" i="14"/>
  <c r="AI6" i="14"/>
  <c r="T7" i="14"/>
  <c r="U7" i="14"/>
  <c r="V7" i="14"/>
  <c r="W7" i="14"/>
  <c r="X7" i="14"/>
  <c r="Y7" i="14"/>
  <c r="Z7" i="14"/>
  <c r="AA7" i="14"/>
  <c r="AB7" i="14"/>
  <c r="AC7" i="14"/>
  <c r="AD7" i="14"/>
  <c r="AE7" i="14"/>
  <c r="AF7" i="14"/>
  <c r="AG7" i="14"/>
  <c r="AH7" i="14"/>
  <c r="AI7" i="14"/>
  <c r="T8" i="14"/>
  <c r="U8" i="14"/>
  <c r="V8" i="14"/>
  <c r="W8" i="14"/>
  <c r="X8" i="14"/>
  <c r="Y8" i="14"/>
  <c r="Z8" i="14"/>
  <c r="AA8" i="14"/>
  <c r="AB8" i="14"/>
  <c r="AC8" i="14"/>
  <c r="AD8" i="14"/>
  <c r="AE8" i="14"/>
  <c r="AF8" i="14"/>
  <c r="AG8" i="14"/>
  <c r="AH8" i="14"/>
  <c r="AI8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T11" i="14"/>
  <c r="U11" i="14"/>
  <c r="V11" i="14"/>
  <c r="W11" i="14"/>
  <c r="X11" i="14"/>
  <c r="Y11" i="14"/>
  <c r="Z11" i="14"/>
  <c r="AA11" i="14"/>
  <c r="AB11" i="14"/>
  <c r="AC11" i="14"/>
  <c r="AD11" i="14"/>
  <c r="AE11" i="14"/>
  <c r="AF11" i="14"/>
  <c r="AG11" i="14"/>
  <c r="AH11" i="14"/>
  <c r="AI11" i="14"/>
  <c r="T12" i="14"/>
  <c r="U12" i="14"/>
  <c r="V12" i="14"/>
  <c r="W12" i="14"/>
  <c r="X12" i="14"/>
  <c r="Y12" i="14"/>
  <c r="Z12" i="14"/>
  <c r="AA12" i="14"/>
  <c r="AB12" i="14"/>
  <c r="AC12" i="14"/>
  <c r="AD12" i="14"/>
  <c r="AE12" i="14"/>
  <c r="AF12" i="14"/>
  <c r="AG12" i="14"/>
  <c r="AH12" i="14"/>
  <c r="AI12" i="14"/>
  <c r="T13" i="14"/>
  <c r="U13" i="14"/>
  <c r="V13" i="14"/>
  <c r="W13" i="14"/>
  <c r="X13" i="14"/>
  <c r="Y13" i="14"/>
  <c r="Z13" i="14"/>
  <c r="AA13" i="14"/>
  <c r="AB13" i="14"/>
  <c r="AC13" i="14"/>
  <c r="AD13" i="14"/>
  <c r="AE13" i="14"/>
  <c r="AF13" i="14"/>
  <c r="AG13" i="14"/>
  <c r="AH13" i="14"/>
  <c r="AI13" i="14"/>
  <c r="T14" i="14"/>
  <c r="U14" i="14"/>
  <c r="V14" i="14"/>
  <c r="W14" i="14"/>
  <c r="X14" i="14"/>
  <c r="Y14" i="14"/>
  <c r="Z14" i="14"/>
  <c r="AA14" i="14"/>
  <c r="AB14" i="14"/>
  <c r="AC14" i="14"/>
  <c r="AD14" i="14"/>
  <c r="AE14" i="14"/>
  <c r="AF14" i="14"/>
  <c r="AG14" i="14"/>
  <c r="AH14" i="14"/>
  <c r="AI14" i="14"/>
  <c r="T15" i="14"/>
  <c r="U15" i="14"/>
  <c r="V15" i="14"/>
  <c r="W15" i="14"/>
  <c r="X15" i="14"/>
  <c r="Y15" i="14"/>
  <c r="Z15" i="14"/>
  <c r="AA15" i="14"/>
  <c r="AB15" i="14"/>
  <c r="AC15" i="14"/>
  <c r="AD15" i="14"/>
  <c r="AE15" i="14"/>
  <c r="AF15" i="14"/>
  <c r="AG15" i="14"/>
  <c r="AH15" i="14"/>
  <c r="AI15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AF18" i="14"/>
  <c r="AG18" i="14"/>
  <c r="AH18" i="14"/>
  <c r="AI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AF19" i="14"/>
  <c r="AG19" i="14"/>
  <c r="AH19" i="14"/>
  <c r="AI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AF20" i="14"/>
  <c r="AG20" i="14"/>
  <c r="AH20" i="14"/>
  <c r="AI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AF21" i="14"/>
  <c r="AG21" i="14"/>
  <c r="AH21" i="14"/>
  <c r="AI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AF22" i="14"/>
  <c r="AG22" i="14"/>
  <c r="AH22" i="14"/>
  <c r="AI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AF23" i="14"/>
  <c r="AG23" i="14"/>
  <c r="AH23" i="14"/>
  <c r="AI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AF24" i="14"/>
  <c r="AG24" i="14"/>
  <c r="AH24" i="14"/>
  <c r="AI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AF25" i="14"/>
  <c r="AG25" i="14"/>
  <c r="AH25" i="14"/>
  <c r="AI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AF26" i="14"/>
  <c r="AG26" i="14"/>
  <c r="AH26" i="14"/>
  <c r="AI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AF27" i="14"/>
  <c r="AG27" i="14"/>
  <c r="AH27" i="14"/>
  <c r="AI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AF28" i="14"/>
  <c r="AG28" i="14"/>
  <c r="AH28" i="14"/>
  <c r="AI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AF29" i="14"/>
  <c r="AG29" i="14"/>
  <c r="AH29" i="14"/>
  <c r="AI29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AF34" i="14"/>
  <c r="AG34" i="14"/>
  <c r="AH34" i="14"/>
  <c r="AI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AF35" i="14"/>
  <c r="AG35" i="14"/>
  <c r="AH35" i="14"/>
  <c r="AI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AF36" i="14"/>
  <c r="AG36" i="14"/>
  <c r="AH36" i="14"/>
  <c r="AI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AF37" i="14"/>
  <c r="AG37" i="14"/>
  <c r="AH37" i="14"/>
  <c r="AI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AF38" i="14"/>
  <c r="AG38" i="14"/>
  <c r="AH38" i="14"/>
  <c r="AI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AF39" i="14"/>
  <c r="AG39" i="14"/>
  <c r="AH39" i="14"/>
  <c r="AI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AF40" i="14"/>
  <c r="AG40" i="14"/>
  <c r="AH40" i="14"/>
  <c r="AI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AF41" i="14"/>
  <c r="AG41" i="14"/>
  <c r="AH41" i="14"/>
  <c r="AI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AF42" i="14"/>
  <c r="AG42" i="14"/>
  <c r="AH42" i="14"/>
  <c r="AI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AF43" i="14"/>
  <c r="AG43" i="14"/>
  <c r="AH43" i="14"/>
  <c r="AI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AF44" i="14"/>
  <c r="AG44" i="14"/>
  <c r="AH44" i="14"/>
  <c r="AI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AF45" i="14"/>
  <c r="AG45" i="14"/>
  <c r="AH45" i="14"/>
  <c r="AI45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AF47" i="14"/>
  <c r="AG47" i="14"/>
  <c r="AH47" i="14"/>
  <c r="AI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AF48" i="14"/>
  <c r="AG48" i="14"/>
  <c r="AH48" i="14"/>
  <c r="AI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AF49" i="14"/>
  <c r="AG49" i="14"/>
  <c r="AH49" i="14"/>
  <c r="AI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AF50" i="14"/>
  <c r="AG50" i="14"/>
  <c r="AH50" i="14"/>
  <c r="AI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AF51" i="14"/>
  <c r="AG51" i="14"/>
  <c r="AH51" i="14"/>
  <c r="AI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AF52" i="14"/>
  <c r="AG52" i="14"/>
  <c r="AH52" i="14"/>
  <c r="AI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AF53" i="14"/>
  <c r="AG53" i="14"/>
  <c r="AH53" i="14"/>
  <c r="AI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AF54" i="14"/>
  <c r="AG54" i="14"/>
  <c r="AH54" i="14"/>
  <c r="AI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AH55" i="14"/>
  <c r="AI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AF56" i="14"/>
  <c r="AG56" i="14"/>
  <c r="AH56" i="14"/>
  <c r="AI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AF57" i="14"/>
  <c r="AG57" i="14"/>
  <c r="AH57" i="14"/>
  <c r="AI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AF58" i="14"/>
  <c r="AG58" i="14"/>
  <c r="AH58" i="14"/>
  <c r="AI58" i="14"/>
  <c r="C62" i="14"/>
  <c r="C63" i="14"/>
  <c r="C64" i="14"/>
  <c r="C65" i="14"/>
  <c r="C66" i="14"/>
  <c r="C67" i="14"/>
  <c r="C68" i="14"/>
  <c r="C69" i="14"/>
  <c r="C70" i="14"/>
  <c r="C71" i="14"/>
  <c r="C72" i="14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U45" i="13" s="1"/>
  <c r="V45" i="13" s="1"/>
  <c r="C45" i="13"/>
  <c r="T45" i="13" s="1"/>
  <c r="B45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U44" i="13" s="1"/>
  <c r="V44" i="13" s="1"/>
  <c r="C44" i="13"/>
  <c r="T44" i="13" s="1"/>
  <c r="B44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U43" i="13" s="1"/>
  <c r="V43" i="13" s="1"/>
  <c r="C43" i="13"/>
  <c r="T43" i="13" s="1"/>
  <c r="B43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U42" i="13" s="1"/>
  <c r="V42" i="13" s="1"/>
  <c r="C42" i="13"/>
  <c r="T42" i="13" s="1"/>
  <c r="B42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U41" i="13" s="1"/>
  <c r="V41" i="13" s="1"/>
  <c r="C41" i="13"/>
  <c r="T41" i="13" s="1"/>
  <c r="B41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U40" i="13" s="1"/>
  <c r="V40" i="13" s="1"/>
  <c r="C40" i="13"/>
  <c r="T40" i="13" s="1"/>
  <c r="B40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U39" i="13" s="1"/>
  <c r="V39" i="13" s="1"/>
  <c r="C39" i="13"/>
  <c r="T39" i="13" s="1"/>
  <c r="B39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U38" i="13" s="1"/>
  <c r="V38" i="13" s="1"/>
  <c r="C38" i="13"/>
  <c r="T38" i="13" s="1"/>
  <c r="B38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U37" i="13" s="1"/>
  <c r="V37" i="13" s="1"/>
  <c r="C37" i="13"/>
  <c r="T37" i="13" s="1"/>
  <c r="B37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U36" i="13" s="1"/>
  <c r="V36" i="13" s="1"/>
  <c r="C36" i="13"/>
  <c r="T36" i="13" s="1"/>
  <c r="B36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U35" i="13" s="1"/>
  <c r="V35" i="13" s="1"/>
  <c r="C35" i="13"/>
  <c r="T35" i="13" s="1"/>
  <c r="B35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U34" i="13" s="1"/>
  <c r="V34" i="13" s="1"/>
  <c r="C34" i="13"/>
  <c r="T34" i="13" s="1"/>
  <c r="B34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AI28" i="13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AI26" i="13"/>
  <c r="AH26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AI24" i="13"/>
  <c r="AH24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AI23" i="13"/>
  <c r="AH23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AI22" i="13"/>
  <c r="AH22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AI21" i="13"/>
  <c r="AH21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AI20" i="13"/>
  <c r="AH20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AI16" i="13"/>
  <c r="AH16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AI15" i="13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AI14" i="13"/>
  <c r="AH14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AI13" i="13"/>
  <c r="AH13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AI12" i="13"/>
  <c r="AH12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AI11" i="13"/>
  <c r="AH11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AI10" i="13"/>
  <c r="AH10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AI9" i="13"/>
  <c r="AH9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AI8" i="13"/>
  <c r="AH8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AI7" i="13"/>
  <c r="AH7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AI6" i="13"/>
  <c r="AH6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AI5" i="13"/>
  <c r="AH5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X41" i="13" l="1"/>
  <c r="W41" i="13"/>
  <c r="X45" i="13"/>
  <c r="W45" i="13"/>
  <c r="X42" i="13"/>
  <c r="W42" i="13"/>
  <c r="X35" i="13"/>
  <c r="W35" i="13"/>
  <c r="X39" i="13"/>
  <c r="W39" i="13"/>
  <c r="X43" i="13"/>
  <c r="W43" i="13"/>
  <c r="X37" i="13"/>
  <c r="W37" i="13"/>
  <c r="X34" i="13"/>
  <c r="W34" i="13"/>
  <c r="X38" i="13"/>
  <c r="W38" i="13"/>
  <c r="X36" i="13"/>
  <c r="W36" i="13"/>
  <c r="X40" i="13"/>
  <c r="W40" i="13"/>
  <c r="X44" i="13"/>
  <c r="W44" i="13"/>
  <c r="BT13" i="12"/>
  <c r="BT12" i="12"/>
  <c r="BT11" i="12"/>
  <c r="BT10" i="12"/>
  <c r="BT9" i="12"/>
  <c r="BT8" i="12"/>
  <c r="BT7" i="12"/>
  <c r="BT6" i="12"/>
  <c r="BT5" i="12"/>
  <c r="BT4" i="12"/>
  <c r="BU13" i="12"/>
  <c r="BU12" i="12"/>
  <c r="BU11" i="12"/>
  <c r="BU10" i="12"/>
  <c r="BU9" i="12"/>
  <c r="BU8" i="12"/>
  <c r="BU7" i="12"/>
  <c r="BV13" i="12"/>
  <c r="BX13" i="12" s="1"/>
  <c r="BV12" i="12"/>
  <c r="BX12" i="12" s="1"/>
  <c r="BV11" i="12"/>
  <c r="BV10" i="12"/>
  <c r="BX10" i="12" s="1"/>
  <c r="BV9" i="12"/>
  <c r="BV8" i="12"/>
  <c r="BV7" i="12"/>
  <c r="BV6" i="12"/>
  <c r="BV5" i="12"/>
  <c r="BX9" i="12"/>
  <c r="BW9" i="12"/>
  <c r="BX7" i="12"/>
  <c r="BU6" i="12"/>
  <c r="BU5" i="12"/>
  <c r="BX5" i="12"/>
  <c r="BW5" i="12"/>
  <c r="BW6" i="12"/>
  <c r="BX6" i="12"/>
  <c r="BW8" i="12"/>
  <c r="BX8" i="12"/>
  <c r="BX11" i="12"/>
  <c r="BX4" i="12"/>
  <c r="BW4" i="12"/>
  <c r="BV4" i="12"/>
  <c r="BU4" i="12"/>
  <c r="BW13" i="12" l="1"/>
  <c r="BW12" i="12"/>
  <c r="BW10" i="12"/>
  <c r="BW7" i="12"/>
  <c r="BW11" i="12"/>
  <c r="BD18" i="12"/>
  <c r="BE18" i="12"/>
  <c r="BF18" i="12"/>
  <c r="BG18" i="12"/>
  <c r="BH18" i="12"/>
  <c r="BI18" i="12"/>
  <c r="BJ18" i="12"/>
  <c r="BK18" i="12"/>
  <c r="BL18" i="12"/>
  <c r="BM18" i="12"/>
  <c r="BN18" i="12"/>
  <c r="BO18" i="12"/>
  <c r="BP18" i="12"/>
  <c r="BQ18" i="12"/>
  <c r="BR18" i="12"/>
  <c r="BD19" i="12"/>
  <c r="BE19" i="12"/>
  <c r="BF19" i="12"/>
  <c r="BG19" i="12"/>
  <c r="BH19" i="12"/>
  <c r="BI19" i="12"/>
  <c r="BJ19" i="12"/>
  <c r="BK19" i="12"/>
  <c r="BL19" i="12"/>
  <c r="BM19" i="12"/>
  <c r="BN19" i="12"/>
  <c r="BO19" i="12"/>
  <c r="BP19" i="12"/>
  <c r="BQ19" i="12"/>
  <c r="BR19" i="12"/>
  <c r="BD20" i="12"/>
  <c r="BE20" i="12"/>
  <c r="BF20" i="12"/>
  <c r="BG20" i="12"/>
  <c r="BH20" i="12"/>
  <c r="BI20" i="12"/>
  <c r="BJ20" i="12"/>
  <c r="BK20" i="12"/>
  <c r="BL20" i="12"/>
  <c r="BM20" i="12"/>
  <c r="BN20" i="12"/>
  <c r="BO20" i="12"/>
  <c r="BP20" i="12"/>
  <c r="BQ20" i="12"/>
  <c r="BR20" i="12"/>
  <c r="BD21" i="12"/>
  <c r="BE21" i="12"/>
  <c r="BF21" i="12"/>
  <c r="BG21" i="12"/>
  <c r="BH21" i="12"/>
  <c r="BI21" i="12"/>
  <c r="BJ21" i="12"/>
  <c r="BK21" i="12"/>
  <c r="BL21" i="12"/>
  <c r="BM21" i="12"/>
  <c r="BN21" i="12"/>
  <c r="BO21" i="12"/>
  <c r="BP21" i="12"/>
  <c r="BQ21" i="12"/>
  <c r="BR21" i="12"/>
  <c r="BD22" i="12"/>
  <c r="BE22" i="12"/>
  <c r="BF22" i="12"/>
  <c r="BG22" i="12"/>
  <c r="BH22" i="12"/>
  <c r="BI22" i="12"/>
  <c r="BJ22" i="12"/>
  <c r="BK22" i="12"/>
  <c r="BL22" i="12"/>
  <c r="BM22" i="12"/>
  <c r="BN22" i="12"/>
  <c r="BO22" i="12"/>
  <c r="BP22" i="12"/>
  <c r="BQ22" i="12"/>
  <c r="BR22" i="12"/>
  <c r="BD23" i="12"/>
  <c r="BE23" i="12"/>
  <c r="BF23" i="12"/>
  <c r="BG23" i="12"/>
  <c r="BH23" i="12"/>
  <c r="BI23" i="12"/>
  <c r="BJ23" i="12"/>
  <c r="BK23" i="12"/>
  <c r="BL23" i="12"/>
  <c r="BM23" i="12"/>
  <c r="BN23" i="12"/>
  <c r="BO23" i="12"/>
  <c r="BP23" i="12"/>
  <c r="BQ23" i="12"/>
  <c r="BR23" i="12"/>
  <c r="BD24" i="12"/>
  <c r="BE24" i="12"/>
  <c r="BF24" i="12"/>
  <c r="BG24" i="12"/>
  <c r="BH24" i="12"/>
  <c r="BI24" i="12"/>
  <c r="BJ24" i="12"/>
  <c r="BK24" i="12"/>
  <c r="BL24" i="12"/>
  <c r="BM24" i="12"/>
  <c r="BN24" i="12"/>
  <c r="BO24" i="12"/>
  <c r="BP24" i="12"/>
  <c r="BQ24" i="12"/>
  <c r="BR24" i="12"/>
  <c r="BD25" i="12"/>
  <c r="BE25" i="12"/>
  <c r="BF25" i="12"/>
  <c r="BG25" i="12"/>
  <c r="BH25" i="12"/>
  <c r="BI25" i="12"/>
  <c r="BJ25" i="12"/>
  <c r="BK25" i="12"/>
  <c r="BL25" i="12"/>
  <c r="BM25" i="12"/>
  <c r="BN25" i="12"/>
  <c r="BO25" i="12"/>
  <c r="BP25" i="12"/>
  <c r="BQ25" i="12"/>
  <c r="BR25" i="12"/>
  <c r="BD26" i="12"/>
  <c r="BE26" i="12"/>
  <c r="BF26" i="12"/>
  <c r="BG26" i="12"/>
  <c r="BH26" i="12"/>
  <c r="BI26" i="12"/>
  <c r="BJ26" i="12"/>
  <c r="BK26" i="12"/>
  <c r="BL26" i="12"/>
  <c r="BM26" i="12"/>
  <c r="BN26" i="12"/>
  <c r="BO26" i="12"/>
  <c r="BP26" i="12"/>
  <c r="BQ26" i="12"/>
  <c r="BR26" i="12"/>
  <c r="BD27" i="12"/>
  <c r="BE27" i="12"/>
  <c r="BF27" i="12"/>
  <c r="BG27" i="12"/>
  <c r="BH27" i="12"/>
  <c r="BI27" i="12"/>
  <c r="BJ27" i="12"/>
  <c r="BK27" i="12"/>
  <c r="BL27" i="12"/>
  <c r="BM27" i="12"/>
  <c r="BN27" i="12"/>
  <c r="BO27" i="12"/>
  <c r="BP27" i="12"/>
  <c r="BQ27" i="12"/>
  <c r="BR27" i="12"/>
  <c r="BD28" i="12"/>
  <c r="BE28" i="12"/>
  <c r="BF28" i="12"/>
  <c r="BG28" i="12"/>
  <c r="BH28" i="12"/>
  <c r="BI28" i="12"/>
  <c r="BJ28" i="12"/>
  <c r="BK28" i="12"/>
  <c r="BL28" i="12"/>
  <c r="BM28" i="12"/>
  <c r="BN28" i="12"/>
  <c r="BO28" i="12"/>
  <c r="BP28" i="12"/>
  <c r="BQ28" i="12"/>
  <c r="BR28" i="12"/>
  <c r="BC19" i="12"/>
  <c r="BC20" i="12"/>
  <c r="BC21" i="12"/>
  <c r="BC22" i="12"/>
  <c r="BC23" i="12"/>
  <c r="BC24" i="12"/>
  <c r="BC25" i="12"/>
  <c r="BC26" i="12"/>
  <c r="BC27" i="12"/>
  <c r="BC28" i="12"/>
  <c r="BC18" i="12"/>
  <c r="AL18" i="12"/>
  <c r="AM18" i="12"/>
  <c r="AN18" i="12"/>
  <c r="AO18" i="12"/>
  <c r="AP18" i="12"/>
  <c r="AQ18" i="12"/>
  <c r="AR18" i="12"/>
  <c r="AS18" i="12"/>
  <c r="AT18" i="12"/>
  <c r="AU18" i="12"/>
  <c r="AV18" i="12"/>
  <c r="AW18" i="12"/>
  <c r="AX18" i="12"/>
  <c r="AY18" i="12"/>
  <c r="AZ18" i="12"/>
  <c r="AL19" i="12"/>
  <c r="AM19" i="12"/>
  <c r="AN19" i="12"/>
  <c r="AO19" i="12"/>
  <c r="AP19" i="12"/>
  <c r="AQ19" i="12"/>
  <c r="AR19" i="12"/>
  <c r="AS19" i="12"/>
  <c r="AT19" i="12"/>
  <c r="AU19" i="12"/>
  <c r="AV19" i="12"/>
  <c r="AW19" i="12"/>
  <c r="AX19" i="12"/>
  <c r="AY19" i="12"/>
  <c r="AZ19" i="12"/>
  <c r="AL20" i="12"/>
  <c r="AM20" i="12"/>
  <c r="AN20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AL21" i="12"/>
  <c r="AM21" i="12"/>
  <c r="AN21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AL22" i="12"/>
  <c r="AM22" i="12"/>
  <c r="AN22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AL23" i="12"/>
  <c r="AM23" i="12"/>
  <c r="AN23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AL24" i="12"/>
  <c r="AM24" i="12"/>
  <c r="AN24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AL25" i="12"/>
  <c r="AM25" i="12"/>
  <c r="AN25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AL26" i="12"/>
  <c r="AM26" i="12"/>
  <c r="AN26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AL27" i="12"/>
  <c r="AM27" i="12"/>
  <c r="AN27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AL28" i="12"/>
  <c r="AM28" i="12"/>
  <c r="AN28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AK28" i="12"/>
  <c r="AK27" i="12"/>
  <c r="AK26" i="12"/>
  <c r="AK25" i="12"/>
  <c r="AK24" i="12"/>
  <c r="AK23" i="12"/>
  <c r="AK22" i="12"/>
  <c r="AK21" i="12"/>
  <c r="AK20" i="12"/>
  <c r="AK19" i="12"/>
  <c r="AK18" i="12"/>
  <c r="AJ6" i="12"/>
  <c r="AJ7" i="12"/>
  <c r="AJ8" i="12"/>
  <c r="AJ9" i="12"/>
  <c r="AJ10" i="12"/>
  <c r="AJ11" i="12"/>
  <c r="AJ12" i="12"/>
  <c r="AJ13" i="12"/>
  <c r="AJ14" i="12"/>
  <c r="AJ15" i="12"/>
  <c r="AJ5" i="12"/>
  <c r="AJ19" i="12"/>
  <c r="AJ20" i="12"/>
  <c r="AJ21" i="12"/>
  <c r="AJ22" i="12"/>
  <c r="AJ23" i="12"/>
  <c r="AJ24" i="12"/>
  <c r="AJ25" i="12"/>
  <c r="AJ26" i="12"/>
  <c r="AJ27" i="12"/>
  <c r="AJ28" i="12"/>
  <c r="AJ18" i="12"/>
  <c r="AK5" i="12"/>
  <c r="AL5" i="12"/>
  <c r="AM5" i="12"/>
  <c r="AN5" i="12"/>
  <c r="AO5" i="12"/>
  <c r="AP5" i="12"/>
  <c r="AQ5" i="12"/>
  <c r="AR5" i="12"/>
  <c r="AS5" i="12"/>
  <c r="AT5" i="12"/>
  <c r="AU5" i="12"/>
  <c r="AV5" i="12"/>
  <c r="AW5" i="12"/>
  <c r="AX5" i="12"/>
  <c r="AY5" i="12"/>
  <c r="AZ5" i="12"/>
  <c r="T5" i="12"/>
  <c r="U5" i="12"/>
  <c r="V5" i="12"/>
  <c r="W5" i="12"/>
  <c r="X5" i="12"/>
  <c r="Y5" i="12"/>
  <c r="Z5" i="12"/>
  <c r="AA5" i="12"/>
  <c r="AB5" i="12"/>
  <c r="AC5" i="12"/>
  <c r="AD5" i="12"/>
  <c r="AE5" i="12"/>
  <c r="AF5" i="12"/>
  <c r="AG5" i="12"/>
  <c r="AH5" i="12"/>
  <c r="AI5" i="12"/>
  <c r="AK6" i="12"/>
  <c r="AL6" i="12"/>
  <c r="AM6" i="12"/>
  <c r="AN6" i="12"/>
  <c r="AO6" i="12"/>
  <c r="AP6" i="12"/>
  <c r="AQ6" i="12"/>
  <c r="AR6" i="12"/>
  <c r="AS6" i="12"/>
  <c r="AT6" i="12"/>
  <c r="AU6" i="12"/>
  <c r="AV6" i="12"/>
  <c r="AW6" i="12"/>
  <c r="AX6" i="12"/>
  <c r="AY6" i="12"/>
  <c r="AZ6" i="12"/>
  <c r="T6" i="12"/>
  <c r="U6" i="12"/>
  <c r="V6" i="12"/>
  <c r="W6" i="12"/>
  <c r="X6" i="12"/>
  <c r="Y6" i="12"/>
  <c r="Z6" i="12"/>
  <c r="AA6" i="12"/>
  <c r="AB6" i="12"/>
  <c r="AC6" i="12"/>
  <c r="AD6" i="12"/>
  <c r="AE6" i="12"/>
  <c r="AF6" i="12"/>
  <c r="AG6" i="12"/>
  <c r="AH6" i="12"/>
  <c r="AI6" i="12"/>
  <c r="AK7" i="12"/>
  <c r="AL7" i="12"/>
  <c r="AM7" i="12"/>
  <c r="AN7" i="12"/>
  <c r="AO7" i="12"/>
  <c r="AP7" i="12"/>
  <c r="AQ7" i="12"/>
  <c r="AR7" i="12"/>
  <c r="AS7" i="12"/>
  <c r="AT7" i="12"/>
  <c r="AU7" i="12"/>
  <c r="AV7" i="12"/>
  <c r="AW7" i="12"/>
  <c r="AX7" i="12"/>
  <c r="AY7" i="12"/>
  <c r="T7" i="12"/>
  <c r="AZ7" i="12" s="1"/>
  <c r="BR5" i="12" s="1"/>
  <c r="U7" i="12"/>
  <c r="V7" i="12"/>
  <c r="W7" i="12"/>
  <c r="X7" i="12"/>
  <c r="Y7" i="12"/>
  <c r="Z7" i="12"/>
  <c r="AA7" i="12"/>
  <c r="AB7" i="12"/>
  <c r="AC7" i="12"/>
  <c r="AD7" i="12"/>
  <c r="AE7" i="12"/>
  <c r="AF7" i="12"/>
  <c r="AG7" i="12"/>
  <c r="AH7" i="12"/>
  <c r="AI7" i="12"/>
  <c r="AK8" i="12"/>
  <c r="AL8" i="12"/>
  <c r="AM8" i="12"/>
  <c r="AN8" i="12"/>
  <c r="AO8" i="12"/>
  <c r="AP8" i="12"/>
  <c r="AQ8" i="12"/>
  <c r="AR8" i="12"/>
  <c r="AS8" i="12"/>
  <c r="AT8" i="12"/>
  <c r="AU8" i="12"/>
  <c r="AV8" i="12"/>
  <c r="AW8" i="12"/>
  <c r="AX8" i="12"/>
  <c r="AZ8" i="12"/>
  <c r="T8" i="12"/>
  <c r="AY8" i="12" s="1"/>
  <c r="BQ6" i="12" s="1"/>
  <c r="U8" i="12"/>
  <c r="V8" i="12"/>
  <c r="W8" i="12"/>
  <c r="X8" i="12"/>
  <c r="Y8" i="12"/>
  <c r="Z8" i="12"/>
  <c r="AA8" i="12"/>
  <c r="AB8" i="12"/>
  <c r="AC8" i="12"/>
  <c r="AD8" i="12"/>
  <c r="AE8" i="12"/>
  <c r="AF8" i="12"/>
  <c r="AG8" i="12"/>
  <c r="AH8" i="12"/>
  <c r="AI8" i="12"/>
  <c r="AK9" i="12"/>
  <c r="AL9" i="12"/>
  <c r="AM9" i="12"/>
  <c r="AN9" i="12"/>
  <c r="AO9" i="12"/>
  <c r="AP9" i="12"/>
  <c r="AQ9" i="12"/>
  <c r="AR9" i="12"/>
  <c r="AS9" i="12"/>
  <c r="AT9" i="12"/>
  <c r="AU9" i="12"/>
  <c r="AV9" i="12"/>
  <c r="AW9" i="12"/>
  <c r="AY9" i="12"/>
  <c r="AZ9" i="12"/>
  <c r="T9" i="12"/>
  <c r="AX9" i="12" s="1"/>
  <c r="BP7" i="12" s="1"/>
  <c r="U9" i="12"/>
  <c r="V9" i="12"/>
  <c r="W9" i="12"/>
  <c r="X9" i="12"/>
  <c r="Y9" i="12"/>
  <c r="Z9" i="12"/>
  <c r="AA9" i="12"/>
  <c r="AB9" i="12"/>
  <c r="AC9" i="12"/>
  <c r="AD9" i="12"/>
  <c r="AE9" i="12"/>
  <c r="AF9" i="12"/>
  <c r="AG9" i="12"/>
  <c r="AH9" i="12"/>
  <c r="AI9" i="12"/>
  <c r="AK10" i="12"/>
  <c r="AL10" i="12"/>
  <c r="AM10" i="12"/>
  <c r="AN10" i="12"/>
  <c r="AO10" i="12"/>
  <c r="AP10" i="12"/>
  <c r="AQ10" i="12"/>
  <c r="AR10" i="12"/>
  <c r="AS10" i="12"/>
  <c r="AT10" i="12"/>
  <c r="AU10" i="12"/>
  <c r="AV10" i="12"/>
  <c r="T10" i="12"/>
  <c r="AW10" i="12" s="1"/>
  <c r="BO8" i="12" s="1"/>
  <c r="U10" i="12"/>
  <c r="AX10" i="12" s="1"/>
  <c r="BP8" i="12" s="1"/>
  <c r="V10" i="12"/>
  <c r="AY10" i="12" s="1"/>
  <c r="BQ8" i="12" s="1"/>
  <c r="W10" i="12"/>
  <c r="AZ10" i="12" s="1"/>
  <c r="BR8" i="12" s="1"/>
  <c r="X10" i="12"/>
  <c r="Y10" i="12"/>
  <c r="Z10" i="12"/>
  <c r="AA10" i="12"/>
  <c r="AB10" i="12"/>
  <c r="AC10" i="12"/>
  <c r="AD10" i="12"/>
  <c r="AE10" i="12"/>
  <c r="AF10" i="12"/>
  <c r="AG10" i="12"/>
  <c r="AH10" i="12"/>
  <c r="AI10" i="12"/>
  <c r="AK11" i="12"/>
  <c r="AL11" i="12"/>
  <c r="AM11" i="12"/>
  <c r="AN11" i="12"/>
  <c r="AO11" i="12"/>
  <c r="AP11" i="12"/>
  <c r="AQ11" i="12"/>
  <c r="AR11" i="12"/>
  <c r="AS11" i="12"/>
  <c r="AT11" i="12"/>
  <c r="AU11" i="12"/>
  <c r="AW11" i="12"/>
  <c r="T11" i="12"/>
  <c r="AV11" i="12" s="1"/>
  <c r="BN9" i="12" s="1"/>
  <c r="U11" i="12"/>
  <c r="V11" i="12"/>
  <c r="AX11" i="12" s="1"/>
  <c r="BP9" i="12" s="1"/>
  <c r="W11" i="12"/>
  <c r="AY11" i="12" s="1"/>
  <c r="BQ9" i="12" s="1"/>
  <c r="X11" i="12"/>
  <c r="AZ11" i="12" s="1"/>
  <c r="BR9" i="12" s="1"/>
  <c r="Y11" i="12"/>
  <c r="Z11" i="12"/>
  <c r="AA11" i="12"/>
  <c r="AB11" i="12"/>
  <c r="AC11" i="12"/>
  <c r="AD11" i="12"/>
  <c r="AE11" i="12"/>
  <c r="AF11" i="12"/>
  <c r="AG11" i="12"/>
  <c r="AH11" i="12"/>
  <c r="AI11" i="12"/>
  <c r="AK12" i="12"/>
  <c r="AL12" i="12"/>
  <c r="AM12" i="12"/>
  <c r="AN12" i="12"/>
  <c r="AO12" i="12"/>
  <c r="AP12" i="12"/>
  <c r="AQ12" i="12"/>
  <c r="AR12" i="12"/>
  <c r="AS12" i="12"/>
  <c r="AT12" i="12"/>
  <c r="AV12" i="12"/>
  <c r="AW12" i="12"/>
  <c r="AZ12" i="12"/>
  <c r="T12" i="12"/>
  <c r="AU12" i="12" s="1"/>
  <c r="BM10" i="12" s="1"/>
  <c r="U12" i="12"/>
  <c r="V12" i="12"/>
  <c r="W12" i="12"/>
  <c r="AX12" i="12" s="1"/>
  <c r="BP10" i="12" s="1"/>
  <c r="X12" i="12"/>
  <c r="AY12" i="12" s="1"/>
  <c r="BQ10" i="12" s="1"/>
  <c r="Y12" i="12"/>
  <c r="Z12" i="12"/>
  <c r="AA12" i="12"/>
  <c r="AB12" i="12"/>
  <c r="AC12" i="12"/>
  <c r="AD12" i="12"/>
  <c r="AE12" i="12"/>
  <c r="AF12" i="12"/>
  <c r="AG12" i="12"/>
  <c r="AH12" i="12"/>
  <c r="AI12" i="12"/>
  <c r="AK13" i="12"/>
  <c r="AL13" i="12"/>
  <c r="AM13" i="12"/>
  <c r="AN13" i="12"/>
  <c r="AO13" i="12"/>
  <c r="AP13" i="12"/>
  <c r="AQ13" i="12"/>
  <c r="AR13" i="12"/>
  <c r="AS13" i="12"/>
  <c r="AU13" i="12"/>
  <c r="AV13" i="12"/>
  <c r="AW13" i="12"/>
  <c r="AY13" i="12"/>
  <c r="AZ13" i="12"/>
  <c r="T13" i="12"/>
  <c r="AT13" i="12" s="1"/>
  <c r="BL11" i="12" s="1"/>
  <c r="U13" i="12"/>
  <c r="V13" i="12"/>
  <c r="W13" i="12"/>
  <c r="X13" i="12"/>
  <c r="AX13" i="12" s="1"/>
  <c r="BP11" i="12" s="1"/>
  <c r="Y13" i="12"/>
  <c r="Z13" i="12"/>
  <c r="AA13" i="12"/>
  <c r="AB13" i="12"/>
  <c r="AC13" i="12"/>
  <c r="AD13" i="12"/>
  <c r="AE13" i="12"/>
  <c r="AF13" i="12"/>
  <c r="AG13" i="12"/>
  <c r="AH13" i="12"/>
  <c r="AI13" i="12"/>
  <c r="AK14" i="12"/>
  <c r="AL14" i="12"/>
  <c r="AM14" i="12"/>
  <c r="AN14" i="12"/>
  <c r="AO14" i="12"/>
  <c r="AP14" i="12"/>
  <c r="AQ14" i="12"/>
  <c r="AR14" i="12"/>
  <c r="T14" i="12"/>
  <c r="AS14" i="12" s="1"/>
  <c r="BK12" i="12" s="1"/>
  <c r="U14" i="12"/>
  <c r="AT14" i="12" s="1"/>
  <c r="BL12" i="12" s="1"/>
  <c r="V14" i="12"/>
  <c r="AU14" i="12" s="1"/>
  <c r="BM12" i="12" s="1"/>
  <c r="W14" i="12"/>
  <c r="AV14" i="12" s="1"/>
  <c r="BN12" i="12" s="1"/>
  <c r="X14" i="12"/>
  <c r="AW14" i="12" s="1"/>
  <c r="BO12" i="12" s="1"/>
  <c r="Y14" i="12"/>
  <c r="AX14" i="12" s="1"/>
  <c r="BP12" i="12" s="1"/>
  <c r="Z14" i="12"/>
  <c r="AY14" i="12" s="1"/>
  <c r="BQ12" i="12" s="1"/>
  <c r="AA14" i="12"/>
  <c r="AZ14" i="12" s="1"/>
  <c r="BR12" i="12" s="1"/>
  <c r="AB14" i="12"/>
  <c r="AC14" i="12"/>
  <c r="AD14" i="12"/>
  <c r="AE14" i="12"/>
  <c r="AF14" i="12"/>
  <c r="AG14" i="12"/>
  <c r="AH14" i="12"/>
  <c r="AI14" i="12"/>
  <c r="AK15" i="12"/>
  <c r="AL15" i="12"/>
  <c r="AM15" i="12"/>
  <c r="AN15" i="12"/>
  <c r="AO15" i="12"/>
  <c r="AP15" i="12"/>
  <c r="AQ15" i="12"/>
  <c r="AS15" i="12"/>
  <c r="AW15" i="12"/>
  <c r="T15" i="12"/>
  <c r="AR15" i="12" s="1"/>
  <c r="BJ13" i="12" s="1"/>
  <c r="U15" i="12"/>
  <c r="V15" i="12"/>
  <c r="AT15" i="12" s="1"/>
  <c r="BL13" i="12" s="1"/>
  <c r="W15" i="12"/>
  <c r="AU15" i="12" s="1"/>
  <c r="BM13" i="12" s="1"/>
  <c r="X15" i="12"/>
  <c r="AV15" i="12" s="1"/>
  <c r="BN13" i="12" s="1"/>
  <c r="Y15" i="12"/>
  <c r="Z15" i="12"/>
  <c r="AX15" i="12" s="1"/>
  <c r="BP13" i="12" s="1"/>
  <c r="AA15" i="12"/>
  <c r="AY15" i="12" s="1"/>
  <c r="BQ13" i="12" s="1"/>
  <c r="AB15" i="12"/>
  <c r="AZ15" i="12" s="1"/>
  <c r="BR13" i="12" s="1"/>
  <c r="AC15" i="12"/>
  <c r="AD15" i="12"/>
  <c r="AE15" i="12"/>
  <c r="AF15" i="12"/>
  <c r="AG15" i="12"/>
  <c r="AH15" i="12"/>
  <c r="AI15" i="12"/>
  <c r="T16" i="12"/>
  <c r="U16" i="12"/>
  <c r="V16" i="12"/>
  <c r="W16" i="12"/>
  <c r="X16" i="12"/>
  <c r="Y16" i="12"/>
  <c r="Z16" i="12"/>
  <c r="AA16" i="12"/>
  <c r="AB16" i="12"/>
  <c r="AC16" i="12"/>
  <c r="AD16" i="12"/>
  <c r="AE16" i="12"/>
  <c r="AF16" i="12"/>
  <c r="AG16" i="12"/>
  <c r="AH16" i="12"/>
  <c r="AI16" i="12"/>
  <c r="BD3" i="12"/>
  <c r="BE3" i="12"/>
  <c r="BF3" i="12"/>
  <c r="BG3" i="12"/>
  <c r="BH3" i="12"/>
  <c r="BI3" i="12"/>
  <c r="BJ3" i="12"/>
  <c r="BK3" i="12"/>
  <c r="BL3" i="12"/>
  <c r="BM3" i="12"/>
  <c r="BN3" i="12"/>
  <c r="BO3" i="12"/>
  <c r="BP3" i="12"/>
  <c r="BQ3" i="12"/>
  <c r="BR3" i="12"/>
  <c r="BC4" i="12"/>
  <c r="BD4" i="12"/>
  <c r="BE4" i="12"/>
  <c r="BF4" i="12"/>
  <c r="BG4" i="12"/>
  <c r="BH4" i="12"/>
  <c r="BI4" i="12"/>
  <c r="BJ4" i="12"/>
  <c r="BK4" i="12"/>
  <c r="BL4" i="12"/>
  <c r="BM4" i="12"/>
  <c r="BN4" i="12"/>
  <c r="BO4" i="12"/>
  <c r="BP4" i="12"/>
  <c r="BQ4" i="12"/>
  <c r="BR4" i="12"/>
  <c r="T18" i="12"/>
  <c r="U18" i="12"/>
  <c r="V18" i="12"/>
  <c r="W18" i="12"/>
  <c r="X18" i="12"/>
  <c r="Y18" i="12"/>
  <c r="Z18" i="12"/>
  <c r="AA18" i="12"/>
  <c r="AB18" i="12"/>
  <c r="AC18" i="12"/>
  <c r="AD18" i="12"/>
  <c r="AE18" i="12"/>
  <c r="AF18" i="12"/>
  <c r="AG18" i="12"/>
  <c r="AH18" i="12"/>
  <c r="AI18" i="12"/>
  <c r="BC5" i="12"/>
  <c r="BD5" i="12"/>
  <c r="BE5" i="12"/>
  <c r="BF5" i="12"/>
  <c r="BG5" i="12"/>
  <c r="BH5" i="12"/>
  <c r="BI5" i="12"/>
  <c r="BJ5" i="12"/>
  <c r="BK5" i="12"/>
  <c r="BL5" i="12"/>
  <c r="BM5" i="12"/>
  <c r="BN5" i="12"/>
  <c r="BO5" i="12"/>
  <c r="BP5" i="12"/>
  <c r="BQ5" i="12"/>
  <c r="T19" i="12"/>
  <c r="U19" i="12"/>
  <c r="V19" i="12"/>
  <c r="W19" i="12"/>
  <c r="X19" i="12"/>
  <c r="Y19" i="12"/>
  <c r="Z19" i="12"/>
  <c r="AA19" i="12"/>
  <c r="AB19" i="12"/>
  <c r="AC19" i="12"/>
  <c r="AD19" i="12"/>
  <c r="AE19" i="12"/>
  <c r="AF19" i="12"/>
  <c r="AG19" i="12"/>
  <c r="AH19" i="12"/>
  <c r="AI19" i="12"/>
  <c r="BC6" i="12"/>
  <c r="BD6" i="12"/>
  <c r="BE6" i="12"/>
  <c r="BF6" i="12"/>
  <c r="BG6" i="12"/>
  <c r="BH6" i="12"/>
  <c r="BI6" i="12"/>
  <c r="BJ6" i="12"/>
  <c r="BK6" i="12"/>
  <c r="BL6" i="12"/>
  <c r="BM6" i="12"/>
  <c r="BN6" i="12"/>
  <c r="BO6" i="12"/>
  <c r="BP6" i="12"/>
  <c r="BR6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AI20" i="12"/>
  <c r="BC7" i="12"/>
  <c r="BD7" i="12"/>
  <c r="BE7" i="12"/>
  <c r="BF7" i="12"/>
  <c r="BG7" i="12"/>
  <c r="BH7" i="12"/>
  <c r="BI7" i="12"/>
  <c r="BJ7" i="12"/>
  <c r="BK7" i="12"/>
  <c r="BL7" i="12"/>
  <c r="BM7" i="12"/>
  <c r="BN7" i="12"/>
  <c r="BO7" i="12"/>
  <c r="BQ7" i="12"/>
  <c r="BR7" i="12"/>
  <c r="T21" i="12"/>
  <c r="U21" i="12"/>
  <c r="V21" i="12"/>
  <c r="W21" i="12"/>
  <c r="X21" i="12"/>
  <c r="Y21" i="12"/>
  <c r="Z21" i="12"/>
  <c r="AA21" i="12"/>
  <c r="AB21" i="12"/>
  <c r="AC21" i="12"/>
  <c r="AD21" i="12"/>
  <c r="AE21" i="12"/>
  <c r="AF21" i="12"/>
  <c r="AG21" i="12"/>
  <c r="AH21" i="12"/>
  <c r="AI21" i="12"/>
  <c r="BC8" i="12"/>
  <c r="BD8" i="12"/>
  <c r="BE8" i="12"/>
  <c r="BF8" i="12"/>
  <c r="BG8" i="12"/>
  <c r="BH8" i="12"/>
  <c r="BI8" i="12"/>
  <c r="BJ8" i="12"/>
  <c r="BK8" i="12"/>
  <c r="BL8" i="12"/>
  <c r="BM8" i="12"/>
  <c r="BN8" i="12"/>
  <c r="T22" i="12"/>
  <c r="U22" i="12"/>
  <c r="V22" i="12"/>
  <c r="W22" i="12"/>
  <c r="X22" i="12"/>
  <c r="Y22" i="12"/>
  <c r="Z22" i="12"/>
  <c r="AA22" i="12"/>
  <c r="AB22" i="12"/>
  <c r="AC22" i="12"/>
  <c r="AD22" i="12"/>
  <c r="AE22" i="12"/>
  <c r="AF22" i="12"/>
  <c r="AG22" i="12"/>
  <c r="AH22" i="12"/>
  <c r="AI22" i="12"/>
  <c r="BC9" i="12"/>
  <c r="BD9" i="12"/>
  <c r="BE9" i="12"/>
  <c r="BF9" i="12"/>
  <c r="BG9" i="12"/>
  <c r="BH9" i="12"/>
  <c r="BI9" i="12"/>
  <c r="BJ9" i="12"/>
  <c r="BK9" i="12"/>
  <c r="BL9" i="12"/>
  <c r="BM9" i="12"/>
  <c r="BO9" i="12"/>
  <c r="T23" i="12"/>
  <c r="U23" i="12"/>
  <c r="V23" i="12"/>
  <c r="W23" i="12"/>
  <c r="X23" i="12"/>
  <c r="Y23" i="12"/>
  <c r="Z23" i="12"/>
  <c r="AA23" i="12"/>
  <c r="AB23" i="12"/>
  <c r="AC23" i="12"/>
  <c r="AD23" i="12"/>
  <c r="AE23" i="12"/>
  <c r="AF23" i="12"/>
  <c r="AG23" i="12"/>
  <c r="AH23" i="12"/>
  <c r="AI23" i="12"/>
  <c r="BC10" i="12"/>
  <c r="BD10" i="12"/>
  <c r="BE10" i="12"/>
  <c r="BF10" i="12"/>
  <c r="BG10" i="12"/>
  <c r="BH10" i="12"/>
  <c r="BI10" i="12"/>
  <c r="BJ10" i="12"/>
  <c r="BK10" i="12"/>
  <c r="BL10" i="12"/>
  <c r="BN10" i="12"/>
  <c r="BO10" i="12"/>
  <c r="BR10" i="12"/>
  <c r="T24" i="12"/>
  <c r="U24" i="12"/>
  <c r="V24" i="12"/>
  <c r="W24" i="12"/>
  <c r="X24" i="12"/>
  <c r="Y24" i="12"/>
  <c r="Z24" i="12"/>
  <c r="AA24" i="12"/>
  <c r="AB24" i="12"/>
  <c r="AC24" i="12"/>
  <c r="AD24" i="12"/>
  <c r="AE24" i="12"/>
  <c r="AF24" i="12"/>
  <c r="AG24" i="12"/>
  <c r="AH24" i="12"/>
  <c r="AI24" i="12"/>
  <c r="BC11" i="12"/>
  <c r="BD11" i="12"/>
  <c r="BE11" i="12"/>
  <c r="BF11" i="12"/>
  <c r="BG11" i="12"/>
  <c r="BH11" i="12"/>
  <c r="BI11" i="12"/>
  <c r="BJ11" i="12"/>
  <c r="BK11" i="12"/>
  <c r="BM11" i="12"/>
  <c r="BN11" i="12"/>
  <c r="BO11" i="12"/>
  <c r="BQ11" i="12"/>
  <c r="BR11" i="12"/>
  <c r="T25" i="12"/>
  <c r="U25" i="12"/>
  <c r="V25" i="12"/>
  <c r="W25" i="12"/>
  <c r="X25" i="12"/>
  <c r="Y25" i="12"/>
  <c r="Z25" i="12"/>
  <c r="AA25" i="12"/>
  <c r="AB25" i="12"/>
  <c r="AC25" i="12"/>
  <c r="AD25" i="12"/>
  <c r="AE25" i="12"/>
  <c r="AF25" i="12"/>
  <c r="AG25" i="12"/>
  <c r="AH25" i="12"/>
  <c r="AI25" i="12"/>
  <c r="BC12" i="12"/>
  <c r="BD12" i="12"/>
  <c r="BE12" i="12"/>
  <c r="BF12" i="12"/>
  <c r="BG12" i="12"/>
  <c r="BH12" i="12"/>
  <c r="BI12" i="12"/>
  <c r="BJ12" i="12"/>
  <c r="T26" i="12"/>
  <c r="U26" i="12"/>
  <c r="V26" i="12"/>
  <c r="W26" i="12"/>
  <c r="X26" i="12"/>
  <c r="Y26" i="12"/>
  <c r="Z26" i="12"/>
  <c r="AA26" i="12"/>
  <c r="AB26" i="12"/>
  <c r="AC26" i="12"/>
  <c r="AD26" i="12"/>
  <c r="AE26" i="12"/>
  <c r="AF26" i="12"/>
  <c r="AG26" i="12"/>
  <c r="AH26" i="12"/>
  <c r="AI26" i="12"/>
  <c r="BD13" i="12"/>
  <c r="BE13" i="12"/>
  <c r="BF13" i="12"/>
  <c r="BG13" i="12"/>
  <c r="BH13" i="12"/>
  <c r="BI13" i="12"/>
  <c r="BK13" i="12"/>
  <c r="BO13" i="12"/>
  <c r="T27" i="12"/>
  <c r="U27" i="12"/>
  <c r="V27" i="12"/>
  <c r="W27" i="12"/>
  <c r="X27" i="12"/>
  <c r="Y27" i="12"/>
  <c r="Z27" i="12"/>
  <c r="AA27" i="12"/>
  <c r="AB27" i="12"/>
  <c r="AC27" i="12"/>
  <c r="AD27" i="12"/>
  <c r="AE27" i="12"/>
  <c r="AF27" i="12"/>
  <c r="AG27" i="12"/>
  <c r="AH27" i="12"/>
  <c r="AI27" i="12"/>
  <c r="T28" i="12"/>
  <c r="U28" i="12"/>
  <c r="V28" i="12"/>
  <c r="W28" i="12"/>
  <c r="X28" i="12"/>
  <c r="Y28" i="12"/>
  <c r="Z28" i="12"/>
  <c r="AA28" i="12"/>
  <c r="AB28" i="12"/>
  <c r="AC28" i="12"/>
  <c r="AD28" i="12"/>
  <c r="AE28" i="12"/>
  <c r="AF28" i="12"/>
  <c r="AG28" i="12"/>
  <c r="AH28" i="12"/>
  <c r="AI28" i="12"/>
  <c r="T29" i="12"/>
  <c r="U29" i="12"/>
  <c r="V29" i="12"/>
  <c r="W29" i="12"/>
  <c r="X29" i="12"/>
  <c r="Y29" i="12"/>
  <c r="Z29" i="12"/>
  <c r="AA29" i="12"/>
  <c r="AB29" i="12"/>
  <c r="AC29" i="12"/>
  <c r="AD29" i="12"/>
  <c r="AE29" i="12"/>
  <c r="AF29" i="12"/>
  <c r="AG29" i="12"/>
  <c r="AH29" i="12"/>
  <c r="AI29" i="12"/>
  <c r="Z13" i="11" l="1"/>
  <c r="Z14" i="11"/>
  <c r="Z15" i="11"/>
  <c r="Z16" i="11"/>
  <c r="Z17" i="11"/>
  <c r="Z18" i="11"/>
  <c r="Z19" i="11"/>
  <c r="Z9" i="11"/>
  <c r="Z10" i="11"/>
  <c r="Z11" i="11"/>
  <c r="Z12" i="11"/>
  <c r="Z5" i="11"/>
  <c r="Z6" i="11"/>
  <c r="Z7" i="11"/>
  <c r="Z8" i="11"/>
  <c r="Z4" i="11"/>
  <c r="R19" i="11"/>
  <c r="R18" i="11"/>
  <c r="R17" i="11"/>
  <c r="R16" i="11"/>
  <c r="R15" i="11"/>
  <c r="R14" i="11"/>
  <c r="R13" i="11"/>
  <c r="R12" i="11"/>
  <c r="R11" i="11"/>
  <c r="R10" i="11"/>
  <c r="R9" i="11"/>
  <c r="R8" i="11"/>
  <c r="R7" i="11"/>
  <c r="R6" i="11"/>
  <c r="R20" i="11" s="1"/>
  <c r="R5" i="11"/>
  <c r="R4" i="11"/>
  <c r="I14" i="11"/>
  <c r="I15" i="11"/>
  <c r="I16" i="11"/>
  <c r="I17" i="11"/>
  <c r="I18" i="11"/>
  <c r="I19" i="11"/>
  <c r="I10" i="11"/>
  <c r="I11" i="11"/>
  <c r="I12" i="11"/>
  <c r="I13" i="11"/>
  <c r="I6" i="11"/>
  <c r="I7" i="11"/>
  <c r="I8" i="11"/>
  <c r="I9" i="11"/>
  <c r="I5" i="11"/>
  <c r="I4" i="11"/>
  <c r="S21" i="11"/>
  <c r="K21" i="11"/>
  <c r="B21" i="11"/>
  <c r="Z20" i="11" l="1"/>
  <c r="I20" i="11"/>
  <c r="K20" i="11"/>
  <c r="F20" i="11"/>
  <c r="B20" i="11"/>
  <c r="O20" i="11"/>
  <c r="W20" i="11"/>
  <c r="S20" i="11"/>
  <c r="C5" i="10" l="1"/>
  <c r="C6" i="10"/>
  <c r="C7" i="10"/>
  <c r="C8" i="10"/>
  <c r="C4" i="10"/>
  <c r="C3" i="10"/>
  <c r="X5" i="11" l="1"/>
  <c r="X6" i="11"/>
  <c r="X7" i="11"/>
  <c r="X8" i="11"/>
  <c r="X9" i="11"/>
  <c r="X10" i="11"/>
  <c r="X11" i="11"/>
  <c r="X12" i="11"/>
  <c r="X13" i="11"/>
  <c r="X14" i="11"/>
  <c r="X15" i="11"/>
  <c r="X16" i="11"/>
  <c r="X17" i="11"/>
  <c r="X18" i="11"/>
  <c r="X19" i="11"/>
  <c r="X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4" i="11"/>
  <c r="L5" i="11"/>
  <c r="L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4" i="11"/>
  <c r="G5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4" i="11"/>
  <c r="C5" i="11"/>
  <c r="C6" i="11"/>
  <c r="C7" i="11"/>
  <c r="C8" i="11"/>
  <c r="C9" i="11"/>
  <c r="C10" i="11"/>
  <c r="C11" i="11"/>
  <c r="C12" i="11"/>
  <c r="C13" i="11"/>
  <c r="C14" i="11"/>
  <c r="C15" i="11"/>
  <c r="C16" i="11"/>
  <c r="C17" i="11"/>
  <c r="C18" i="11"/>
  <c r="C19" i="11"/>
  <c r="C4" i="11"/>
  <c r="C20" i="11" l="1"/>
  <c r="G20" i="11"/>
  <c r="L20" i="11"/>
  <c r="P20" i="11"/>
  <c r="T20" i="11"/>
  <c r="X20" i="11"/>
  <c r="I4" i="9"/>
  <c r="J4" i="9"/>
  <c r="O4" i="9" s="1"/>
  <c r="K4" i="9"/>
  <c r="I5" i="9"/>
  <c r="J5" i="9"/>
  <c r="K5" i="9"/>
  <c r="I6" i="9"/>
  <c r="J6" i="9"/>
  <c r="K6" i="9"/>
  <c r="I7" i="9"/>
  <c r="J7" i="9"/>
  <c r="K7" i="9"/>
  <c r="I8" i="9"/>
  <c r="J8" i="9"/>
  <c r="K8" i="9"/>
  <c r="I9" i="9"/>
  <c r="J9" i="9"/>
  <c r="K9" i="9"/>
  <c r="I10" i="9"/>
  <c r="J10" i="9"/>
  <c r="K10" i="9"/>
  <c r="I11" i="9"/>
  <c r="J11" i="9"/>
  <c r="K11" i="9"/>
  <c r="I12" i="9"/>
  <c r="J12" i="9"/>
  <c r="K12" i="9"/>
  <c r="I13" i="9"/>
  <c r="J13" i="9"/>
  <c r="K13" i="9"/>
  <c r="I14" i="9"/>
  <c r="J14" i="9"/>
  <c r="K14" i="9"/>
  <c r="I15" i="9"/>
  <c r="J15" i="9"/>
  <c r="K15" i="9"/>
  <c r="I16" i="9"/>
  <c r="J16" i="9"/>
  <c r="K16" i="9"/>
  <c r="I17" i="9"/>
  <c r="J17" i="9"/>
  <c r="K17" i="9"/>
  <c r="I18" i="9"/>
  <c r="J18" i="9"/>
  <c r="K18" i="9"/>
  <c r="I19" i="9"/>
  <c r="J19" i="9"/>
  <c r="K19" i="9"/>
  <c r="B20" i="9"/>
  <c r="C20" i="9"/>
  <c r="D20" i="9"/>
  <c r="E20" i="9"/>
  <c r="F20" i="9"/>
  <c r="G20" i="9"/>
  <c r="J21" i="9" l="1"/>
  <c r="O5" i="9"/>
  <c r="I21" i="9"/>
  <c r="N4" i="9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B22" i="9"/>
  <c r="O6" i="9"/>
  <c r="O7" i="9" s="1"/>
  <c r="O8" i="9" s="1"/>
  <c r="O9" i="9" s="1"/>
  <c r="O10" i="9" s="1"/>
  <c r="O11" i="9" s="1"/>
  <c r="O12" i="9" s="1"/>
  <c r="O13" i="9" s="1"/>
  <c r="O14" i="9" s="1"/>
  <c r="O15" i="9" s="1"/>
  <c r="O16" i="9" s="1"/>
  <c r="O17" i="9" s="1"/>
  <c r="O18" i="9" s="1"/>
  <c r="O19" i="9" s="1"/>
  <c r="K21" i="9"/>
  <c r="P4" i="9"/>
  <c r="P5" i="9" s="1"/>
  <c r="P6" i="9" s="1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E10" i="8" l="1"/>
  <c r="E15" i="8"/>
  <c r="E5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4" i="8"/>
  <c r="B5" i="8"/>
  <c r="H5" i="8" s="1"/>
  <c r="M5" i="8" s="1"/>
  <c r="B6" i="8"/>
  <c r="E6" i="8" s="1"/>
  <c r="B7" i="8"/>
  <c r="K7" i="8" s="1"/>
  <c r="P7" i="8" s="1"/>
  <c r="B8" i="8"/>
  <c r="H8" i="8" s="1"/>
  <c r="M8" i="8" s="1"/>
  <c r="B9" i="8"/>
  <c r="K9" i="8" s="1"/>
  <c r="P9" i="8" s="1"/>
  <c r="B10" i="8"/>
  <c r="K10" i="8" s="1"/>
  <c r="P10" i="8" s="1"/>
  <c r="B11" i="8"/>
  <c r="I11" i="8" s="1"/>
  <c r="N11" i="8" s="1"/>
  <c r="B12" i="8"/>
  <c r="J12" i="8" s="1"/>
  <c r="O12" i="8" s="1"/>
  <c r="B13" i="8"/>
  <c r="K13" i="8" s="1"/>
  <c r="P13" i="8" s="1"/>
  <c r="B14" i="8"/>
  <c r="I14" i="8" s="1"/>
  <c r="N14" i="8" s="1"/>
  <c r="B15" i="8"/>
  <c r="K15" i="8" s="1"/>
  <c r="P15" i="8" s="1"/>
  <c r="B16" i="8"/>
  <c r="I16" i="8" s="1"/>
  <c r="B17" i="8"/>
  <c r="J17" i="8" s="1"/>
  <c r="O17" i="8" s="1"/>
  <c r="B18" i="8"/>
  <c r="E18" i="8" s="1"/>
  <c r="B19" i="8"/>
  <c r="H19" i="8" s="1"/>
  <c r="M19" i="8" s="1"/>
  <c r="B4" i="8"/>
  <c r="E4" i="8" s="1"/>
  <c r="H18" i="8"/>
  <c r="H17" i="8"/>
  <c r="M17" i="8" s="1"/>
  <c r="G17" i="8"/>
  <c r="L17" i="8" s="1"/>
  <c r="G15" i="8"/>
  <c r="L15" i="8" s="1"/>
  <c r="I13" i="8"/>
  <c r="N13" i="8" s="1"/>
  <c r="H13" i="8"/>
  <c r="M13" i="8" s="1"/>
  <c r="K11" i="8"/>
  <c r="P11" i="8" s="1"/>
  <c r="J11" i="8"/>
  <c r="O11" i="8" s="1"/>
  <c r="H10" i="8"/>
  <c r="I9" i="8"/>
  <c r="N9" i="8" s="1"/>
  <c r="H9" i="8"/>
  <c r="M9" i="8" s="1"/>
  <c r="J6" i="8"/>
  <c r="J5" i="8"/>
  <c r="O5" i="8" s="1"/>
  <c r="I5" i="8"/>
  <c r="P3" i="8"/>
  <c r="V3" i="8" s="1"/>
  <c r="O3" i="8"/>
  <c r="U3" i="8" s="1"/>
  <c r="N3" i="8"/>
  <c r="T3" i="8" s="1"/>
  <c r="M3" i="8"/>
  <c r="S3" i="8" s="1"/>
  <c r="L3" i="8"/>
  <c r="R3" i="8" s="1"/>
  <c r="C22" i="11" l="1"/>
  <c r="G22" i="11"/>
  <c r="P22" i="11"/>
  <c r="T22" i="11"/>
  <c r="L22" i="11"/>
  <c r="E19" i="8"/>
  <c r="E14" i="8"/>
  <c r="E9" i="8"/>
  <c r="K17" i="8"/>
  <c r="P17" i="8" s="1"/>
  <c r="E13" i="8"/>
  <c r="E17" i="8"/>
  <c r="E11" i="8"/>
  <c r="G7" i="8"/>
  <c r="L7" i="8" s="1"/>
  <c r="E7" i="8"/>
  <c r="H7" i="8"/>
  <c r="M7" i="8" s="1"/>
  <c r="H14" i="8"/>
  <c r="M14" i="8" s="1"/>
  <c r="I19" i="8"/>
  <c r="N19" i="8" s="1"/>
  <c r="E16" i="8"/>
  <c r="E12" i="8"/>
  <c r="E8" i="8"/>
  <c r="F19" i="8"/>
  <c r="H4" i="8"/>
  <c r="M4" i="8" s="1"/>
  <c r="S4" i="8" s="1"/>
  <c r="S5" i="8" s="1"/>
  <c r="S6" i="8" s="1"/>
  <c r="J4" i="8"/>
  <c r="O4" i="8" s="1"/>
  <c r="U4" i="8" s="1"/>
  <c r="U5" i="8" s="1"/>
  <c r="U6" i="8" s="1"/>
  <c r="U7" i="8" s="1"/>
  <c r="G12" i="8"/>
  <c r="L12" i="8" s="1"/>
  <c r="F4" i="8"/>
  <c r="K4" i="8"/>
  <c r="P4" i="8" s="1"/>
  <c r="V4" i="8" s="1"/>
  <c r="V5" i="8" s="1"/>
  <c r="F11" i="8"/>
  <c r="K12" i="8"/>
  <c r="P12" i="8" s="1"/>
  <c r="H15" i="8"/>
  <c r="M15" i="8" s="1"/>
  <c r="J19" i="8"/>
  <c r="O19" i="8" s="1"/>
  <c r="G4" i="8"/>
  <c r="L4" i="8" s="1"/>
  <c r="R4" i="8" s="1"/>
  <c r="R5" i="8" s="1"/>
  <c r="G11" i="8"/>
  <c r="L11" i="8" s="1"/>
  <c r="C21" i="8"/>
  <c r="C22" i="8" s="1"/>
  <c r="C23" i="8" s="1"/>
  <c r="C20" i="8"/>
  <c r="F5" i="8"/>
  <c r="O6" i="8"/>
  <c r="M10" i="8"/>
  <c r="D21" i="8"/>
  <c r="N5" i="8"/>
  <c r="N16" i="8"/>
  <c r="M18" i="8"/>
  <c r="B21" i="8"/>
  <c r="B22" i="8" s="1"/>
  <c r="F6" i="8"/>
  <c r="K6" i="8"/>
  <c r="P6" i="8" s="1"/>
  <c r="I10" i="8"/>
  <c r="N10" i="8" s="1"/>
  <c r="J14" i="8"/>
  <c r="O14" i="8" s="1"/>
  <c r="I18" i="8"/>
  <c r="N18" i="8" s="1"/>
  <c r="G5" i="8"/>
  <c r="L5" i="8" s="1"/>
  <c r="K5" i="8"/>
  <c r="P5" i="8" s="1"/>
  <c r="G6" i="8"/>
  <c r="L6" i="8" s="1"/>
  <c r="F9" i="8"/>
  <c r="J9" i="8"/>
  <c r="O9" i="8" s="1"/>
  <c r="J10" i="8"/>
  <c r="O10" i="8" s="1"/>
  <c r="F13" i="8"/>
  <c r="J13" i="8"/>
  <c r="O13" i="8" s="1"/>
  <c r="F14" i="8"/>
  <c r="K14" i="8"/>
  <c r="P14" i="8" s="1"/>
  <c r="I17" i="8"/>
  <c r="N17" i="8" s="1"/>
  <c r="K18" i="8"/>
  <c r="P18" i="8" s="1"/>
  <c r="I4" i="8"/>
  <c r="N4" i="8" s="1"/>
  <c r="T4" i="8" s="1"/>
  <c r="T5" i="8" s="1"/>
  <c r="T6" i="8" s="1"/>
  <c r="T7" i="8" s="1"/>
  <c r="T8" i="8" s="1"/>
  <c r="T9" i="8" s="1"/>
  <c r="T10" i="8" s="1"/>
  <c r="T11" i="8" s="1"/>
  <c r="T12" i="8" s="1"/>
  <c r="T13" i="8" s="1"/>
  <c r="T14" i="8" s="1"/>
  <c r="T15" i="8" s="1"/>
  <c r="H6" i="8"/>
  <c r="M6" i="8" s="1"/>
  <c r="I8" i="8"/>
  <c r="N8" i="8" s="1"/>
  <c r="G9" i="8"/>
  <c r="L9" i="8" s="1"/>
  <c r="F10" i="8"/>
  <c r="G13" i="8"/>
  <c r="L13" i="8" s="1"/>
  <c r="G14" i="8"/>
  <c r="L14" i="8" s="1"/>
  <c r="F17" i="8"/>
  <c r="G18" i="8"/>
  <c r="L18" i="8" s="1"/>
  <c r="F8" i="8"/>
  <c r="J8" i="8"/>
  <c r="O8" i="8" s="1"/>
  <c r="H12" i="8"/>
  <c r="M12" i="8" s="1"/>
  <c r="F16" i="8"/>
  <c r="J16" i="8"/>
  <c r="O16" i="8" s="1"/>
  <c r="I7" i="8"/>
  <c r="N7" i="8" s="1"/>
  <c r="G8" i="8"/>
  <c r="L8" i="8" s="1"/>
  <c r="K8" i="8"/>
  <c r="P8" i="8" s="1"/>
  <c r="H11" i="8"/>
  <c r="M11" i="8" s="1"/>
  <c r="I12" i="8"/>
  <c r="N12" i="8" s="1"/>
  <c r="I15" i="8"/>
  <c r="N15" i="8" s="1"/>
  <c r="G16" i="8"/>
  <c r="L16" i="8" s="1"/>
  <c r="K16" i="8"/>
  <c r="P16" i="8" s="1"/>
  <c r="G19" i="8"/>
  <c r="L19" i="8" s="1"/>
  <c r="K19" i="8"/>
  <c r="P19" i="8" s="1"/>
  <c r="I6" i="8"/>
  <c r="N6" i="8" s="1"/>
  <c r="F7" i="8"/>
  <c r="J7" i="8"/>
  <c r="O7" i="8" s="1"/>
  <c r="G10" i="8"/>
  <c r="L10" i="8" s="1"/>
  <c r="F12" i="8"/>
  <c r="F15" i="8"/>
  <c r="J15" i="8"/>
  <c r="O15" i="8" s="1"/>
  <c r="H16" i="8"/>
  <c r="M16" i="8" s="1"/>
  <c r="F18" i="8"/>
  <c r="J18" i="8"/>
  <c r="O18" i="8" s="1"/>
  <c r="B20" i="8"/>
  <c r="B25" i="8" s="1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4" i="2"/>
  <c r="Z7" i="2"/>
  <c r="Z8" i="2" s="1"/>
  <c r="Z9" i="2" s="1"/>
  <c r="Z10" i="2" s="1"/>
  <c r="Z11" i="2" s="1"/>
  <c r="Z12" i="2" s="1"/>
  <c r="Z13" i="2" s="1"/>
  <c r="Z14" i="2" s="1"/>
  <c r="Z15" i="2" s="1"/>
  <c r="Z16" i="2" s="1"/>
  <c r="Z17" i="2" s="1"/>
  <c r="Z18" i="2" s="1"/>
  <c r="Z19" i="2" s="1"/>
  <c r="Z6" i="2"/>
  <c r="R6" i="8" l="1"/>
  <c r="R7" i="8" s="1"/>
  <c r="R8" i="8" s="1"/>
  <c r="R9" i="8" s="1"/>
  <c r="R10" i="8" s="1"/>
  <c r="R11" i="8" s="1"/>
  <c r="R12" i="8" s="1"/>
  <c r="R13" i="8" s="1"/>
  <c r="R14" i="8" s="1"/>
  <c r="R15" i="8" s="1"/>
  <c r="R16" i="8" s="1"/>
  <c r="R17" i="8" s="1"/>
  <c r="R18" i="8" s="1"/>
  <c r="R19" i="8" s="1"/>
  <c r="U8" i="8"/>
  <c r="U9" i="8" s="1"/>
  <c r="U10" i="8" s="1"/>
  <c r="U11" i="8" s="1"/>
  <c r="U12" i="8" s="1"/>
  <c r="U13" i="8" s="1"/>
  <c r="U14" i="8" s="1"/>
  <c r="U15" i="8" s="1"/>
  <c r="U16" i="8" s="1"/>
  <c r="U17" i="8" s="1"/>
  <c r="U18" i="8" s="1"/>
  <c r="U19" i="8" s="1"/>
  <c r="T16" i="8"/>
  <c r="T17" i="8" s="1"/>
  <c r="T18" i="8" s="1"/>
  <c r="T19" i="8" s="1"/>
  <c r="V6" i="8"/>
  <c r="V7" i="8" s="1"/>
  <c r="V8" i="8" s="1"/>
  <c r="V9" i="8" s="1"/>
  <c r="V10" i="8" s="1"/>
  <c r="V11" i="8" s="1"/>
  <c r="V12" i="8" s="1"/>
  <c r="V13" i="8" s="1"/>
  <c r="V14" i="8" s="1"/>
  <c r="V15" i="8" s="1"/>
  <c r="V16" i="8" s="1"/>
  <c r="V17" i="8" s="1"/>
  <c r="V18" i="8" s="1"/>
  <c r="V19" i="8" s="1"/>
  <c r="S7" i="8"/>
  <c r="S8" i="8" s="1"/>
  <c r="S9" i="8" s="1"/>
  <c r="S10" i="8" s="1"/>
  <c r="S11" i="8" s="1"/>
  <c r="S12" i="8" s="1"/>
  <c r="S13" i="8" s="1"/>
  <c r="S14" i="8" s="1"/>
  <c r="S15" i="8" s="1"/>
  <c r="S16" i="8" s="1"/>
  <c r="S17" i="8" s="1"/>
  <c r="S18" i="8" s="1"/>
  <c r="S19" i="8" s="1"/>
  <c r="C24" i="8"/>
  <c r="B24" i="8"/>
  <c r="D20" i="8"/>
  <c r="D25" i="8" s="1"/>
  <c r="D22" i="8"/>
  <c r="E21" i="8"/>
  <c r="E22" i="8" s="1"/>
  <c r="P21" i="8"/>
  <c r="B23" i="8"/>
  <c r="E20" i="8"/>
  <c r="P22" i="8"/>
  <c r="B28" i="8"/>
  <c r="C25" i="8"/>
  <c r="K4" i="7"/>
  <c r="J4" i="7"/>
  <c r="I4" i="7"/>
  <c r="H4" i="7"/>
  <c r="Y3" i="2"/>
  <c r="X3" i="2"/>
  <c r="Z3" i="2"/>
  <c r="D24" i="8" l="1"/>
  <c r="D23" i="8"/>
  <c r="E23" i="8"/>
  <c r="E24" i="8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4" i="2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4" i="7"/>
  <c r="K21" i="7" l="1"/>
  <c r="K22" i="7" s="1"/>
  <c r="I21" i="7"/>
  <c r="I22" i="7" s="1"/>
  <c r="J21" i="7"/>
  <c r="J22" i="7" s="1"/>
  <c r="K20" i="7"/>
  <c r="I20" i="7"/>
  <c r="H20" i="7"/>
  <c r="J20" i="7"/>
  <c r="H21" i="7"/>
  <c r="H22" i="7" s="1"/>
  <c r="D4" i="7"/>
  <c r="F21" i="7"/>
  <c r="F22" i="7" s="1"/>
  <c r="E21" i="7"/>
  <c r="E22" i="7" s="1"/>
  <c r="C21" i="7"/>
  <c r="C22" i="7" s="1"/>
  <c r="B21" i="7"/>
  <c r="B22" i="7" s="1"/>
  <c r="F20" i="7"/>
  <c r="E20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I23" i="7" l="1"/>
  <c r="I24" i="7"/>
  <c r="K23" i="7"/>
  <c r="K24" i="7"/>
  <c r="J24" i="7"/>
  <c r="J23" i="7"/>
  <c r="H24" i="7"/>
  <c r="H23" i="7"/>
  <c r="F24" i="7"/>
  <c r="E23" i="7"/>
  <c r="E24" i="7"/>
  <c r="G21" i="7"/>
  <c r="G22" i="7" s="1"/>
  <c r="G20" i="7"/>
  <c r="B24" i="7"/>
  <c r="B23" i="7"/>
  <c r="F23" i="7"/>
  <c r="D21" i="7"/>
  <c r="D22" i="7" s="1"/>
  <c r="D20" i="7"/>
  <c r="C23" i="7"/>
  <c r="C24" i="7"/>
  <c r="C20" i="2"/>
  <c r="E20" i="2"/>
  <c r="F20" i="2"/>
  <c r="H20" i="2"/>
  <c r="I20" i="2"/>
  <c r="B20" i="2"/>
  <c r="N4" i="2"/>
  <c r="O4" i="2"/>
  <c r="T26" i="2"/>
  <c r="G24" i="7" l="1"/>
  <c r="G23" i="7"/>
  <c r="D24" i="7"/>
  <c r="D23" i="7"/>
  <c r="C21" i="2"/>
  <c r="C22" i="2" s="1"/>
  <c r="E21" i="2"/>
  <c r="E22" i="2" s="1"/>
  <c r="F21" i="2"/>
  <c r="F22" i="2" s="1"/>
  <c r="H21" i="2"/>
  <c r="H22" i="2" s="1"/>
  <c r="I21" i="2"/>
  <c r="I22" i="2" s="1"/>
  <c r="B21" i="2"/>
  <c r="B22" i="2" s="1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5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4" i="2"/>
  <c r="Y4" i="2" s="1"/>
  <c r="Y5" i="2" s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5" i="2"/>
  <c r="G4" i="2"/>
  <c r="D4" i="2"/>
  <c r="X4" i="2" s="1"/>
  <c r="X5" i="2" s="1"/>
  <c r="X6" i="2" s="1"/>
  <c r="D10" i="2"/>
  <c r="D11" i="2"/>
  <c r="D12" i="2"/>
  <c r="D13" i="2"/>
  <c r="D14" i="2"/>
  <c r="D15" i="2"/>
  <c r="D16" i="2"/>
  <c r="D17" i="2"/>
  <c r="D18" i="2"/>
  <c r="D19" i="2"/>
  <c r="D5" i="2"/>
  <c r="D6" i="2"/>
  <c r="D7" i="2"/>
  <c r="D8" i="2"/>
  <c r="D9" i="2"/>
  <c r="A2" i="6"/>
  <c r="G2" i="6"/>
  <c r="I2" i="6"/>
  <c r="L2" i="6" s="1"/>
  <c r="G3" i="6"/>
  <c r="I3" i="6"/>
  <c r="K3" i="6" s="1"/>
  <c r="A4" i="6"/>
  <c r="B1" i="6" s="1"/>
  <c r="G4" i="6"/>
  <c r="I4" i="6"/>
  <c r="K4" i="6" s="1"/>
  <c r="G5" i="6"/>
  <c r="I5" i="6"/>
  <c r="L5" i="6" s="1"/>
  <c r="J5" i="6"/>
  <c r="G6" i="6"/>
  <c r="I6" i="6"/>
  <c r="L6" i="6" s="1"/>
  <c r="J6" i="6"/>
  <c r="G7" i="6"/>
  <c r="I7" i="6"/>
  <c r="K7" i="6" s="1"/>
  <c r="X7" i="2" l="1"/>
  <c r="X8" i="2" s="1"/>
  <c r="X9" i="2" s="1"/>
  <c r="X10" i="2" s="1"/>
  <c r="X11" i="2" s="1"/>
  <c r="X12" i="2" s="1"/>
  <c r="X13" i="2" s="1"/>
  <c r="X14" i="2" s="1"/>
  <c r="X15" i="2" s="1"/>
  <c r="X16" i="2" s="1"/>
  <c r="X17" i="2" s="1"/>
  <c r="X18" i="2" s="1"/>
  <c r="X19" i="2" s="1"/>
  <c r="Y6" i="2"/>
  <c r="Y7" i="2" s="1"/>
  <c r="Y8" i="2" s="1"/>
  <c r="Y9" i="2" s="1"/>
  <c r="Y10" i="2" s="1"/>
  <c r="Y11" i="2" s="1"/>
  <c r="Y12" i="2" s="1"/>
  <c r="Y13" i="2" s="1"/>
  <c r="Y14" i="2" s="1"/>
  <c r="Y15" i="2" s="1"/>
  <c r="Y16" i="2" s="1"/>
  <c r="Y17" i="2" s="1"/>
  <c r="Y18" i="2" s="1"/>
  <c r="Y19" i="2" s="1"/>
  <c r="L4" i="7"/>
  <c r="L17" i="7"/>
  <c r="L13" i="7"/>
  <c r="L9" i="7"/>
  <c r="L5" i="7"/>
  <c r="L16" i="7"/>
  <c r="L12" i="7"/>
  <c r="L8" i="7"/>
  <c r="L19" i="7"/>
  <c r="L15" i="7"/>
  <c r="L11" i="7"/>
  <c r="L7" i="7"/>
  <c r="L18" i="7"/>
  <c r="L14" i="7"/>
  <c r="L10" i="7"/>
  <c r="L6" i="7"/>
  <c r="K2" i="6"/>
  <c r="J2" i="6"/>
  <c r="P5" i="2"/>
  <c r="L20" i="2"/>
  <c r="D20" i="2"/>
  <c r="O21" i="2"/>
  <c r="O22" i="2" s="1"/>
  <c r="O20" i="2"/>
  <c r="G20" i="2"/>
  <c r="P4" i="2"/>
  <c r="N21" i="2"/>
  <c r="N22" i="2" s="1"/>
  <c r="K20" i="2"/>
  <c r="J20" i="2"/>
  <c r="N20" i="2"/>
  <c r="C23" i="2"/>
  <c r="H24" i="2"/>
  <c r="B24" i="2"/>
  <c r="C24" i="2"/>
  <c r="B23" i="2"/>
  <c r="L21" i="2"/>
  <c r="L22" i="2" s="1"/>
  <c r="I23" i="2"/>
  <c r="P18" i="2"/>
  <c r="P14" i="2"/>
  <c r="P10" i="2"/>
  <c r="K21" i="2"/>
  <c r="K22" i="2" s="1"/>
  <c r="D21" i="2"/>
  <c r="D22" i="2" s="1"/>
  <c r="I24" i="2"/>
  <c r="F23" i="2"/>
  <c r="F24" i="2"/>
  <c r="H23" i="2"/>
  <c r="K5" i="6"/>
  <c r="P19" i="2"/>
  <c r="P15" i="2"/>
  <c r="P11" i="2"/>
  <c r="P7" i="2"/>
  <c r="G21" i="2"/>
  <c r="G22" i="2" s="1"/>
  <c r="E24" i="2"/>
  <c r="P6" i="2"/>
  <c r="J21" i="2"/>
  <c r="J22" i="2" s="1"/>
  <c r="P17" i="2"/>
  <c r="P13" i="2"/>
  <c r="P9" i="2"/>
  <c r="E23" i="2"/>
  <c r="P16" i="2"/>
  <c r="P12" i="2"/>
  <c r="P8" i="2"/>
  <c r="M5" i="2"/>
  <c r="Z4" i="2" s="1"/>
  <c r="M7" i="2"/>
  <c r="G28" i="2"/>
  <c r="F28" i="2"/>
  <c r="M6" i="2"/>
  <c r="M15" i="2"/>
  <c r="M19" i="2"/>
  <c r="M8" i="2"/>
  <c r="M12" i="2"/>
  <c r="M11" i="2"/>
  <c r="M17" i="2"/>
  <c r="M16" i="2"/>
  <c r="M18" i="2"/>
  <c r="M14" i="2"/>
  <c r="M10" i="2"/>
  <c r="M13" i="2"/>
  <c r="M9" i="2"/>
  <c r="D4" i="6"/>
  <c r="E5" i="6" s="1"/>
  <c r="J7" i="6"/>
  <c r="K6" i="6"/>
  <c r="J4" i="6"/>
  <c r="J3" i="6"/>
  <c r="B2" i="6"/>
  <c r="L7" i="6"/>
  <c r="L4" i="6"/>
  <c r="L3" i="6"/>
  <c r="B3" i="6"/>
  <c r="L21" i="7" l="1"/>
  <c r="L22" i="7" s="1"/>
  <c r="L20" i="7"/>
  <c r="A26" i="7" s="1"/>
  <c r="R4" i="2"/>
  <c r="Q4" i="2"/>
  <c r="N24" i="2"/>
  <c r="Q5" i="2"/>
  <c r="R5" i="2"/>
  <c r="R16" i="2"/>
  <c r="Q11" i="2"/>
  <c r="R11" i="2"/>
  <c r="Q18" i="2"/>
  <c r="R18" i="2"/>
  <c r="Q17" i="2"/>
  <c r="R17" i="2"/>
  <c r="N23" i="2"/>
  <c r="R8" i="2"/>
  <c r="Q7" i="2"/>
  <c r="R7" i="2"/>
  <c r="Q14" i="2"/>
  <c r="R14" i="2"/>
  <c r="Q13" i="2"/>
  <c r="R13" i="2"/>
  <c r="Q12" i="2"/>
  <c r="Q19" i="2"/>
  <c r="R19" i="2"/>
  <c r="Q16" i="2"/>
  <c r="Q10" i="2"/>
  <c r="R10" i="2"/>
  <c r="Q9" i="2"/>
  <c r="R9" i="2"/>
  <c r="Q8" i="2"/>
  <c r="Q15" i="2"/>
  <c r="R15" i="2"/>
  <c r="R12" i="2"/>
  <c r="Q6" i="2"/>
  <c r="R6" i="2"/>
  <c r="P20" i="2"/>
  <c r="P21" i="2"/>
  <c r="P22" i="2" s="1"/>
  <c r="M20" i="2"/>
  <c r="K25" i="2" s="1"/>
  <c r="L25" i="2" s="1"/>
  <c r="O24" i="2"/>
  <c r="S19" i="2"/>
  <c r="S17" i="2"/>
  <c r="S7" i="2"/>
  <c r="T12" i="2"/>
  <c r="T4" i="2"/>
  <c r="S12" i="2"/>
  <c r="S4" i="2"/>
  <c r="T13" i="2"/>
  <c r="S11" i="2"/>
  <c r="S9" i="2"/>
  <c r="T18" i="2"/>
  <c r="T10" i="2"/>
  <c r="S18" i="2"/>
  <c r="S10" i="2"/>
  <c r="T19" i="2"/>
  <c r="T11" i="2"/>
  <c r="S5" i="2"/>
  <c r="T5" i="2"/>
  <c r="O23" i="2"/>
  <c r="T16" i="2"/>
  <c r="T8" i="2"/>
  <c r="S16" i="2"/>
  <c r="S8" i="2"/>
  <c r="T17" i="2"/>
  <c r="T9" i="2"/>
  <c r="S13" i="2"/>
  <c r="S15" i="2"/>
  <c r="T14" i="2"/>
  <c r="T6" i="2"/>
  <c r="S14" i="2"/>
  <c r="T7" i="2"/>
  <c r="S6" i="2"/>
  <c r="T15" i="2"/>
  <c r="G24" i="2"/>
  <c r="G23" i="2"/>
  <c r="L24" i="2"/>
  <c r="L23" i="2"/>
  <c r="K24" i="2"/>
  <c r="K23" i="2"/>
  <c r="E25" i="2"/>
  <c r="F25" i="2" s="1"/>
  <c r="E28" i="2"/>
  <c r="B25" i="2"/>
  <c r="C25" i="2" s="1"/>
  <c r="D24" i="2"/>
  <c r="D23" i="2"/>
  <c r="M21" i="2"/>
  <c r="M22" i="2" s="1"/>
  <c r="J23" i="2"/>
  <c r="J24" i="2"/>
  <c r="B4" i="6"/>
  <c r="H25" i="2"/>
  <c r="I25" i="2" s="1"/>
  <c r="I26" i="2"/>
  <c r="L24" i="7" l="1"/>
  <c r="L23" i="7"/>
  <c r="B32" i="2"/>
  <c r="U8" i="2"/>
  <c r="U9" i="2"/>
  <c r="U18" i="2"/>
  <c r="U10" i="2"/>
  <c r="U12" i="2"/>
  <c r="U17" i="2"/>
  <c r="U13" i="2"/>
  <c r="U5" i="2"/>
  <c r="P24" i="2"/>
  <c r="U19" i="2"/>
  <c r="U11" i="2"/>
  <c r="U7" i="2"/>
  <c r="U4" i="2"/>
  <c r="U14" i="2"/>
  <c r="U6" i="2"/>
  <c r="U15" i="2"/>
  <c r="U16" i="2"/>
  <c r="P23" i="2"/>
  <c r="B31" i="2"/>
  <c r="B27" i="2"/>
  <c r="C27" i="2" s="1"/>
  <c r="M23" i="2"/>
  <c r="M24" i="2"/>
  <c r="M25" i="2"/>
</calcChain>
</file>

<file path=xl/sharedStrings.xml><?xml version="1.0" encoding="utf-8"?>
<sst xmlns="http://schemas.openxmlformats.org/spreadsheetml/2006/main" count="323" uniqueCount="124">
  <si>
    <t>by Headcount</t>
  </si>
  <si>
    <t>BE</t>
  </si>
  <si>
    <t>Freshmen</t>
  </si>
  <si>
    <t>Transfers</t>
  </si>
  <si>
    <t>CSUN</t>
  </si>
  <si>
    <t>by FTES</t>
  </si>
  <si>
    <t>Source: ERSS files.  Office of Institutional Research</t>
  </si>
  <si>
    <t>Undergraduate Degrees Awarded by Origin - College of Business &amp; CSUN Campus: Academic Years 2000/01 to 2015/16</t>
  </si>
  <si>
    <t>by Degrees</t>
  </si>
  <si>
    <t xml:space="preserve">Originated as 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</si>
  <si>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</si>
  <si>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</si>
  <si>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</si>
  <si>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</si>
  <si>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</si>
  <si>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</si>
  <si>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</si>
  <si>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</si>
  <si>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</si>
  <si>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</si>
  <si>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</si>
  <si>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</si>
  <si>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</si>
  <si>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</si>
  <si>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</si>
  <si>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</si>
  <si>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Total Bachelor's</t>
  </si>
  <si>
    <t>Source: ERSD files.  Office of Institutional Research</t>
  </si>
  <si>
    <t>Undergraduate Students - College of Business &amp; CSUN Campus: Fall 2001 to Fall 2016</t>
  </si>
  <si>
    <t>Average</t>
  </si>
  <si>
    <t>Year</t>
  </si>
  <si>
    <t>Drop-Out</t>
  </si>
  <si>
    <t>TtGF</t>
  </si>
  <si>
    <t>TtGA</t>
  </si>
  <si>
    <t>LCLTtGF</t>
  </si>
  <si>
    <t>UCLTtGF</t>
  </si>
  <si>
    <t>INCOMING</t>
  </si>
  <si>
    <t>HEADCOUNT</t>
  </si>
  <si>
    <t>OUTGOING</t>
  </si>
  <si>
    <t>TtGT</t>
  </si>
  <si>
    <t>DtdDev</t>
  </si>
  <si>
    <t>95%CI</t>
  </si>
  <si>
    <t>LCL</t>
  </si>
  <si>
    <t>UCL</t>
  </si>
  <si>
    <t>FTE/person</t>
  </si>
  <si>
    <t>In-F</t>
  </si>
  <si>
    <t>In-T</t>
  </si>
  <si>
    <t>IN-FTF</t>
  </si>
  <si>
    <t>IN-FTT</t>
  </si>
  <si>
    <t>IN-FTA</t>
  </si>
  <si>
    <t>HC-F</t>
  </si>
  <si>
    <t>HC-T</t>
  </si>
  <si>
    <t>HC-A</t>
  </si>
  <si>
    <t>GR-F</t>
  </si>
  <si>
    <t>GR-T</t>
  </si>
  <si>
    <t>GR-A</t>
  </si>
  <si>
    <t>DR-F</t>
  </si>
  <si>
    <t>DR-T</t>
  </si>
  <si>
    <t>DR-A</t>
  </si>
  <si>
    <t>LCLTtGT</t>
  </si>
  <si>
    <t>UCLTtGT</t>
  </si>
  <si>
    <t>Fig1</t>
  </si>
  <si>
    <t>Fig2</t>
  </si>
  <si>
    <t>IN-F/IN-T</t>
  </si>
  <si>
    <t>HC-F/HC-T</t>
  </si>
  <si>
    <t>Fig3</t>
  </si>
  <si>
    <t>Increase in Freshmen Population</t>
  </si>
  <si>
    <t>FTE</t>
  </si>
  <si>
    <t>Inv-Net-F</t>
  </si>
  <si>
    <t>Inv-Net-T</t>
  </si>
  <si>
    <t>Inv-Net-A</t>
  </si>
  <si>
    <t>6-P-MA</t>
  </si>
  <si>
    <t>TtG</t>
  </si>
  <si>
    <t>5YG</t>
  </si>
  <si>
    <t>4YG</t>
  </si>
  <si>
    <t>6YG</t>
  </si>
  <si>
    <t>7YG</t>
  </si>
  <si>
    <t>8YG</t>
  </si>
  <si>
    <t>Percentage Improved</t>
  </si>
  <si>
    <t>Mean</t>
  </si>
  <si>
    <t>Max</t>
  </si>
  <si>
    <t>Ave</t>
  </si>
  <si>
    <t>HGPA(F/T)</t>
  </si>
  <si>
    <t>SATM(F/T)</t>
  </si>
  <si>
    <t>SATV(F/T)</t>
  </si>
  <si>
    <t>SATM-F</t>
  </si>
  <si>
    <t>SATV-F</t>
  </si>
  <si>
    <t>New Undergraduate College of Business Students by SAT, and Entry GPA: Fall 2001 to Fall 2016</t>
  </si>
  <si>
    <t>HGPA-F</t>
  </si>
  <si>
    <t>SATV-T</t>
  </si>
  <si>
    <t>SATM-T</t>
  </si>
  <si>
    <t>HGPAT</t>
  </si>
  <si>
    <t>Year-2</t>
  </si>
  <si>
    <t>Year-1</t>
  </si>
  <si>
    <t>Year-3</t>
  </si>
  <si>
    <t>Year-4</t>
  </si>
  <si>
    <t>Year-5</t>
  </si>
  <si>
    <t>Year-6</t>
  </si>
  <si>
    <t>Year-7</t>
  </si>
  <si>
    <t>StdDev of High School GPA</t>
  </si>
  <si>
    <t>StdDev of SAT Mathematics</t>
  </si>
  <si>
    <t>F</t>
  </si>
  <si>
    <t>T</t>
  </si>
  <si>
    <t>HGPAF</t>
  </si>
  <si>
    <t>n</t>
  </si>
  <si>
    <t>Xbar</t>
  </si>
  <si>
    <t>s</t>
  </si>
  <si>
    <t>95% 1-Tail Test of Hypothesis</t>
  </si>
  <si>
    <t>SATVF</t>
  </si>
  <si>
    <t>SATVT</t>
  </si>
  <si>
    <t>SATMF</t>
  </si>
  <si>
    <t>SATMT</t>
  </si>
  <si>
    <t>Note: FTF = First-Time Freshmen, FTT = First-Time Transfers</t>
  </si>
  <si>
    <t>Source: Retention and ERSS files, Office of Institutional Research.</t>
  </si>
  <si>
    <t>Total</t>
  </si>
  <si>
    <t>FTT</t>
  </si>
  <si>
    <t>11+</t>
  </si>
  <si>
    <t>FTF</t>
  </si>
  <si>
    <t>Type</t>
  </si>
  <si>
    <t>Percent</t>
  </si>
  <si>
    <t>Headcount</t>
  </si>
  <si>
    <t>Entering Year</t>
  </si>
  <si>
    <t>Undergraduate Business Students by Elapsed Time by Origin Type: Fall 2001 to Fall 2016</t>
  </si>
  <si>
    <t>Full-Time Equivalent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</si>
</sst>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#,##0.000"/>
    <numFmt numFmtId="167" formatCode="0.0%"/>
    <numFmt numFmtId="168" formatCode="0.000"/>
    <numFmt numFmtId="169" formatCode="0.000000000000000%"/>
  </numFmts>
  <fonts count="22" x14ac:knownFonts="1">
    <font>
      <sz val="8"/>
      <name val="Microsoft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1"/>
      <color theme="1"/>
      <name val="Calibri"/>
      <family val="2"/>
      <scheme val="minor"/>
    </font>
    <font>
      <sz val="8"/>
      <name val="Microsoft Sans Serif"/>
      <family val="2"/>
    </font>
    <font>
      <b/>
      <sz val="8"/>
      <name val="Microsoft Sans Serif"/>
      <family val="2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theme="1"/>
      <name val="Book Antiqua"/>
      <family val="1"/>
    </font>
    <font>
      <sz val="11"/>
      <name val="Book Antiqua"/>
      <family val="1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9" fontId="13" fillId="0" borderId="0" applyFont="0" applyFill="0" applyBorder="0" applyAlignment="0" applyProtection="0"/>
    <xf numFmtId="0" fontId="4" fillId="0" borderId="0"/>
    <xf numFmtId="0" fontId="2" fillId="0" borderId="0"/>
    <xf numFmtId="0" fontId="1" fillId="0" borderId="0"/>
  </cellStyleXfs>
  <cellXfs count="194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11" fillId="0" borderId="0" xfId="0" applyFont="1"/>
    <xf numFmtId="164" fontId="8" fillId="0" borderId="0" xfId="0" applyNumberFormat="1" applyFont="1" applyAlignment="1">
      <alignment horizontal="right"/>
    </xf>
    <xf numFmtId="4" fontId="8" fillId="0" borderId="0" xfId="0" applyNumberFormat="1" applyFont="1"/>
    <xf numFmtId="4" fontId="8" fillId="0" borderId="0" xfId="0" applyNumberFormat="1" applyFont="1" applyAlignment="1">
      <alignment horizontal="right"/>
    </xf>
    <xf numFmtId="165" fontId="8" fillId="0" borderId="0" xfId="0" applyNumberFormat="1" applyFont="1"/>
    <xf numFmtId="165" fontId="8" fillId="0" borderId="0" xfId="0" applyNumberFormat="1" applyFont="1" applyAlignment="1">
      <alignment horizontal="right"/>
    </xf>
    <xf numFmtId="3" fontId="8" fillId="0" borderId="0" xfId="0" applyNumberFormat="1" applyFont="1"/>
    <xf numFmtId="0" fontId="6" fillId="0" borderId="0" xfId="1"/>
    <xf numFmtId="2" fontId="0" fillId="0" borderId="0" xfId="2" applyNumberFormat="1" applyFont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3" fontId="8" fillId="0" borderId="4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165" fontId="8" fillId="0" borderId="5" xfId="0" applyNumberFormat="1" applyFont="1" applyBorder="1" applyAlignment="1">
      <alignment horizontal="center"/>
    </xf>
    <xf numFmtId="165" fontId="8" fillId="0" borderId="7" xfId="0" applyNumberFormat="1" applyFont="1" applyBorder="1" applyAlignment="1">
      <alignment horizontal="center"/>
    </xf>
    <xf numFmtId="165" fontId="8" fillId="0" borderId="8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3" fontId="8" fillId="0" borderId="10" xfId="0" applyNumberFormat="1" applyFont="1" applyBorder="1" applyAlignment="1">
      <alignment horizontal="center"/>
    </xf>
    <xf numFmtId="3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3" fontId="8" fillId="0" borderId="12" xfId="0" applyNumberFormat="1" applyFont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3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3" fontId="8" fillId="0" borderId="9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166" fontId="8" fillId="0" borderId="0" xfId="0" applyNumberFormat="1" applyFont="1" applyAlignment="1">
      <alignment horizontal="center"/>
    </xf>
    <xf numFmtId="164" fontId="8" fillId="0" borderId="0" xfId="0" applyNumberFormat="1" applyFont="1"/>
    <xf numFmtId="0" fontId="5" fillId="0" borderId="0" xfId="3"/>
    <xf numFmtId="0" fontId="5" fillId="0" borderId="0" xfId="3" applyAlignment="1">
      <alignment horizontal="left"/>
    </xf>
    <xf numFmtId="0" fontId="12" fillId="0" borderId="0" xfId="3" applyFont="1" applyAlignment="1">
      <alignment horizontal="left"/>
    </xf>
    <xf numFmtId="0" fontId="4" fillId="0" borderId="0" xfId="5"/>
    <xf numFmtId="0" fontId="4" fillId="0" borderId="0" xfId="3" applyFont="1"/>
    <xf numFmtId="0" fontId="5" fillId="0" borderId="0" xfId="3" applyAlignment="1">
      <alignment horizontal="center"/>
    </xf>
    <xf numFmtId="0" fontId="14" fillId="0" borderId="0" xfId="0" applyFont="1"/>
    <xf numFmtId="168" fontId="0" fillId="0" borderId="0" xfId="0" applyNumberFormat="1"/>
    <xf numFmtId="0" fontId="3" fillId="0" borderId="0" xfId="3" applyFont="1"/>
    <xf numFmtId="0" fontId="15" fillId="0" borderId="0" xfId="3" applyFont="1" applyAlignment="1">
      <alignment horizontal="left"/>
    </xf>
    <xf numFmtId="0" fontId="15" fillId="0" borderId="2" xfId="5" applyFont="1" applyBorder="1"/>
    <xf numFmtId="0" fontId="15" fillId="0" borderId="3" xfId="5" applyFont="1" applyBorder="1"/>
    <xf numFmtId="0" fontId="15" fillId="0" borderId="15" xfId="3" applyFont="1" applyBorder="1"/>
    <xf numFmtId="0" fontId="15" fillId="0" borderId="0" xfId="3" applyFont="1"/>
    <xf numFmtId="0" fontId="16" fillId="0" borderId="2" xfId="5" applyFont="1" applyBorder="1" applyAlignment="1">
      <alignment horizontal="center" vertical="center"/>
    </xf>
    <xf numFmtId="0" fontId="16" fillId="0" borderId="3" xfId="5" applyFont="1" applyBorder="1" applyAlignment="1">
      <alignment horizontal="center" vertical="center"/>
    </xf>
    <xf numFmtId="0" fontId="16" fillId="0" borderId="4" xfId="5" applyFont="1" applyBorder="1" applyAlignment="1">
      <alignment horizontal="center" vertical="center"/>
    </xf>
    <xf numFmtId="0" fontId="16" fillId="0" borderId="0" xfId="5" applyFont="1" applyBorder="1" applyAlignment="1">
      <alignment horizontal="center" vertical="center"/>
    </xf>
    <xf numFmtId="0" fontId="16" fillId="0" borderId="6" xfId="5" applyFont="1" applyBorder="1" applyAlignment="1">
      <alignment horizontal="center" vertical="center"/>
    </xf>
    <xf numFmtId="0" fontId="16" fillId="0" borderId="7" xfId="5" applyFont="1" applyBorder="1" applyAlignment="1">
      <alignment horizontal="center" vertical="center"/>
    </xf>
    <xf numFmtId="0" fontId="15" fillId="0" borderId="0" xfId="3" applyFont="1" applyAlignment="1">
      <alignment horizontal="center"/>
    </xf>
    <xf numFmtId="167" fontId="15" fillId="0" borderId="0" xfId="4" applyNumberFormat="1" applyFont="1"/>
    <xf numFmtId="0" fontId="17" fillId="0" borderId="0" xfId="3" applyFont="1" applyAlignment="1">
      <alignment horizontal="left"/>
    </xf>
    <xf numFmtId="168" fontId="18" fillId="0" borderId="15" xfId="0" applyNumberFormat="1" applyFont="1" applyBorder="1"/>
    <xf numFmtId="168" fontId="18" fillId="0" borderId="5" xfId="0" applyNumberFormat="1" applyFont="1" applyBorder="1"/>
    <xf numFmtId="168" fontId="18" fillId="0" borderId="8" xfId="0" applyNumberFormat="1" applyFont="1" applyBorder="1"/>
    <xf numFmtId="0" fontId="15" fillId="0" borderId="0" xfId="3" applyFont="1" applyBorder="1"/>
    <xf numFmtId="167" fontId="15" fillId="0" borderId="0" xfId="4" applyNumberFormat="1" applyFont="1" applyBorder="1"/>
    <xf numFmtId="168" fontId="18" fillId="0" borderId="0" xfId="0" applyNumberFormat="1" applyFont="1" applyBorder="1"/>
    <xf numFmtId="1" fontId="18" fillId="0" borderId="0" xfId="0" applyNumberFormat="1" applyFont="1" applyBorder="1"/>
    <xf numFmtId="1" fontId="15" fillId="0" borderId="0" xfId="3" applyNumberFormat="1" applyFont="1"/>
    <xf numFmtId="0" fontId="2" fillId="0" borderId="0" xfId="6"/>
    <xf numFmtId="0" fontId="2" fillId="0" borderId="0" xfId="6" applyAlignment="1">
      <alignment horizontal="left"/>
    </xf>
    <xf numFmtId="0" fontId="20" fillId="0" borderId="0" xfId="6" applyFont="1"/>
    <xf numFmtId="9" fontId="2" fillId="0" borderId="16" xfId="6" applyNumberFormat="1" applyBorder="1"/>
    <xf numFmtId="9" fontId="2" fillId="0" borderId="17" xfId="6" applyNumberFormat="1" applyBorder="1"/>
    <xf numFmtId="9" fontId="2" fillId="0" borderId="18" xfId="6" applyNumberFormat="1" applyBorder="1"/>
    <xf numFmtId="3" fontId="2" fillId="0" borderId="16" xfId="6" applyNumberFormat="1" applyBorder="1"/>
    <xf numFmtId="3" fontId="2" fillId="0" borderId="17" xfId="6" applyNumberFormat="1" applyBorder="1"/>
    <xf numFmtId="3" fontId="2" fillId="0" borderId="18" xfId="6" applyNumberFormat="1" applyBorder="1"/>
    <xf numFmtId="0" fontId="2" fillId="0" borderId="16" xfId="6" applyBorder="1" applyAlignment="1">
      <alignment horizontal="left"/>
    </xf>
    <xf numFmtId="0" fontId="2" fillId="0" borderId="19" xfId="6" applyBorder="1"/>
    <xf numFmtId="9" fontId="2" fillId="0" borderId="20" xfId="6" applyNumberFormat="1" applyBorder="1"/>
    <xf numFmtId="9" fontId="2" fillId="0" borderId="0" xfId="6" applyNumberFormat="1" applyBorder="1"/>
    <xf numFmtId="9" fontId="2" fillId="0" borderId="21" xfId="6" applyNumberFormat="1" applyBorder="1"/>
    <xf numFmtId="3" fontId="2" fillId="0" borderId="20" xfId="6" applyNumberFormat="1" applyBorder="1"/>
    <xf numFmtId="3" fontId="2" fillId="0" borderId="0" xfId="6" applyNumberFormat="1" applyBorder="1"/>
    <xf numFmtId="3" fontId="2" fillId="0" borderId="21" xfId="6" applyNumberFormat="1" applyBorder="1"/>
    <xf numFmtId="0" fontId="2" fillId="0" borderId="20" xfId="6" applyBorder="1" applyAlignment="1">
      <alignment horizontal="left"/>
    </xf>
    <xf numFmtId="0" fontId="2" fillId="0" borderId="22" xfId="6" applyBorder="1"/>
    <xf numFmtId="9" fontId="2" fillId="0" borderId="0" xfId="6" applyNumberFormat="1" applyFill="1" applyBorder="1"/>
    <xf numFmtId="9" fontId="19" fillId="0" borderId="0" xfId="6" applyNumberFormat="1" applyFont="1" applyFill="1" applyBorder="1"/>
    <xf numFmtId="9" fontId="2" fillId="0" borderId="23" xfId="6" applyNumberFormat="1" applyBorder="1"/>
    <xf numFmtId="9" fontId="2" fillId="0" borderId="24" xfId="6" applyNumberFormat="1" applyBorder="1"/>
    <xf numFmtId="9" fontId="2" fillId="0" borderId="25" xfId="6" applyNumberFormat="1" applyBorder="1"/>
    <xf numFmtId="3" fontId="2" fillId="0" borderId="23" xfId="6" applyNumberFormat="1" applyBorder="1"/>
    <xf numFmtId="3" fontId="2" fillId="0" borderId="24" xfId="6" applyNumberFormat="1" applyBorder="1"/>
    <xf numFmtId="3" fontId="2" fillId="0" borderId="25" xfId="6" applyNumberFormat="1" applyBorder="1"/>
    <xf numFmtId="0" fontId="2" fillId="0" borderId="23" xfId="6" applyBorder="1" applyAlignment="1">
      <alignment horizontal="left"/>
    </xf>
    <xf numFmtId="0" fontId="2" fillId="0" borderId="26" xfId="6" applyBorder="1"/>
    <xf numFmtId="9" fontId="2" fillId="0" borderId="0" xfId="6" applyNumberFormat="1"/>
    <xf numFmtId="3" fontId="2" fillId="0" borderId="0" xfId="6" applyNumberFormat="1"/>
    <xf numFmtId="167" fontId="2" fillId="0" borderId="0" xfId="6" applyNumberFormat="1"/>
    <xf numFmtId="3" fontId="2" fillId="2" borderId="0" xfId="6" applyNumberFormat="1" applyFill="1" applyBorder="1"/>
    <xf numFmtId="3" fontId="2" fillId="0" borderId="0" xfId="6" applyNumberFormat="1" applyFill="1"/>
    <xf numFmtId="0" fontId="12" fillId="0" borderId="0" xfId="6" applyFont="1" applyFill="1" applyBorder="1"/>
    <xf numFmtId="3" fontId="2" fillId="3" borderId="0" xfId="6" applyNumberFormat="1" applyFill="1" applyBorder="1"/>
    <xf numFmtId="3" fontId="2" fillId="3" borderId="25" xfId="6" applyNumberFormat="1" applyFill="1" applyBorder="1"/>
    <xf numFmtId="0" fontId="12" fillId="0" borderId="16" xfId="6" applyFont="1" applyBorder="1"/>
    <xf numFmtId="0" fontId="12" fillId="0" borderId="17" xfId="6" applyFont="1" applyBorder="1"/>
    <xf numFmtId="0" fontId="12" fillId="0" borderId="18" xfId="6" applyFont="1" applyBorder="1"/>
    <xf numFmtId="0" fontId="12" fillId="0" borderId="0" xfId="6" applyFont="1" applyAlignment="1">
      <alignment horizontal="left"/>
    </xf>
    <xf numFmtId="0" fontId="12" fillId="0" borderId="0" xfId="6" applyFont="1"/>
    <xf numFmtId="0" fontId="2" fillId="2" borderId="27" xfId="6" applyFill="1" applyBorder="1"/>
    <xf numFmtId="0" fontId="2" fillId="2" borderId="28" xfId="6" applyFill="1" applyBorder="1"/>
    <xf numFmtId="0" fontId="12" fillId="2" borderId="28" xfId="6" applyFont="1" applyFill="1" applyBorder="1"/>
    <xf numFmtId="0" fontId="2" fillId="2" borderId="29" xfId="6" applyFill="1" applyBorder="1"/>
    <xf numFmtId="0" fontId="21" fillId="0" borderId="0" xfId="6" applyFont="1"/>
    <xf numFmtId="0" fontId="12" fillId="0" borderId="0" xfId="6" applyFont="1" applyFill="1" applyBorder="1" applyAlignment="1">
      <alignment horizontal="right"/>
    </xf>
    <xf numFmtId="169" fontId="2" fillId="0" borderId="0" xfId="6" applyNumberFormat="1"/>
    <xf numFmtId="9" fontId="2" fillId="0" borderId="0" xfId="4" applyFont="1"/>
    <xf numFmtId="0" fontId="21" fillId="0" borderId="0" xfId="7" applyFont="1"/>
    <xf numFmtId="0" fontId="1" fillId="0" borderId="0" xfId="7" applyAlignment="1">
      <alignment horizontal="left"/>
    </xf>
    <xf numFmtId="0" fontId="1" fillId="0" borderId="0" xfId="7"/>
    <xf numFmtId="0" fontId="1" fillId="2" borderId="29" xfId="7" applyFill="1" applyBorder="1"/>
    <xf numFmtId="0" fontId="1" fillId="2" borderId="28" xfId="7" applyFill="1" applyBorder="1"/>
    <xf numFmtId="0" fontId="1" fillId="2" borderId="27" xfId="7" applyFill="1" applyBorder="1"/>
    <xf numFmtId="0" fontId="12" fillId="2" borderId="28" xfId="7" applyFont="1" applyFill="1" applyBorder="1"/>
    <xf numFmtId="0" fontId="12" fillId="0" borderId="0" xfId="7" applyFont="1"/>
    <xf numFmtId="0" fontId="12" fillId="0" borderId="0" xfId="7" applyFont="1" applyAlignment="1">
      <alignment horizontal="left"/>
    </xf>
    <xf numFmtId="0" fontId="12" fillId="0" borderId="18" xfId="7" applyFont="1" applyBorder="1"/>
    <xf numFmtId="0" fontId="12" fillId="0" borderId="17" xfId="7" applyFont="1" applyBorder="1"/>
    <xf numFmtId="0" fontId="12" fillId="0" borderId="16" xfId="7" applyFont="1" applyBorder="1"/>
    <xf numFmtId="9" fontId="1" fillId="0" borderId="0" xfId="7" applyNumberFormat="1"/>
    <xf numFmtId="0" fontId="1" fillId="0" borderId="26" xfId="7" applyBorder="1"/>
    <xf numFmtId="0" fontId="1" fillId="0" borderId="23" xfId="7" applyBorder="1" applyAlignment="1">
      <alignment horizontal="left"/>
    </xf>
    <xf numFmtId="3" fontId="1" fillId="0" borderId="25" xfId="7" applyNumberFormat="1" applyBorder="1"/>
    <xf numFmtId="3" fontId="1" fillId="0" borderId="24" xfId="7" applyNumberFormat="1" applyBorder="1"/>
    <xf numFmtId="3" fontId="1" fillId="0" borderId="23" xfId="7" applyNumberFormat="1" applyBorder="1"/>
    <xf numFmtId="167" fontId="1" fillId="0" borderId="0" xfId="7" applyNumberFormat="1"/>
    <xf numFmtId="9" fontId="1" fillId="0" borderId="25" xfId="7" applyNumberFormat="1" applyBorder="1"/>
    <xf numFmtId="9" fontId="1" fillId="0" borderId="24" xfId="7" applyNumberFormat="1" applyBorder="1"/>
    <xf numFmtId="9" fontId="1" fillId="0" borderId="23" xfId="7" applyNumberFormat="1" applyBorder="1"/>
    <xf numFmtId="0" fontId="1" fillId="0" borderId="22" xfId="7" applyBorder="1"/>
    <xf numFmtId="0" fontId="1" fillId="0" borderId="20" xfId="7" applyBorder="1" applyAlignment="1">
      <alignment horizontal="left"/>
    </xf>
    <xf numFmtId="3" fontId="1" fillId="0" borderId="21" xfId="7" applyNumberFormat="1" applyBorder="1"/>
    <xf numFmtId="3" fontId="1" fillId="0" borderId="0" xfId="7" applyNumberFormat="1" applyBorder="1"/>
    <xf numFmtId="3" fontId="1" fillId="0" borderId="20" xfId="7" applyNumberFormat="1" applyBorder="1"/>
    <xf numFmtId="9" fontId="1" fillId="0" borderId="21" xfId="7" applyNumberFormat="1" applyBorder="1"/>
    <xf numFmtId="9" fontId="1" fillId="0" borderId="0" xfId="7" applyNumberFormat="1" applyBorder="1"/>
    <xf numFmtId="9" fontId="1" fillId="0" borderId="20" xfId="7" applyNumberFormat="1" applyBorder="1"/>
    <xf numFmtId="0" fontId="1" fillId="0" borderId="19" xfId="7" applyBorder="1"/>
    <xf numFmtId="0" fontId="1" fillId="0" borderId="16" xfId="7" applyBorder="1" applyAlignment="1">
      <alignment horizontal="left"/>
    </xf>
    <xf numFmtId="3" fontId="1" fillId="0" borderId="18" xfId="7" applyNumberFormat="1" applyBorder="1"/>
    <xf numFmtId="3" fontId="1" fillId="0" borderId="17" xfId="7" applyNumberFormat="1" applyBorder="1"/>
    <xf numFmtId="3" fontId="1" fillId="0" borderId="16" xfId="7" applyNumberFormat="1" applyBorder="1"/>
    <xf numFmtId="9" fontId="1" fillId="0" borderId="18" xfId="7" applyNumberFormat="1" applyBorder="1"/>
    <xf numFmtId="9" fontId="1" fillId="0" borderId="17" xfId="7" applyNumberFormat="1" applyBorder="1"/>
    <xf numFmtId="9" fontId="1" fillId="0" borderId="16" xfId="7" applyNumberFormat="1" applyBorder="1"/>
    <xf numFmtId="164" fontId="1" fillId="0" borderId="25" xfId="7" applyNumberFormat="1" applyBorder="1"/>
    <xf numFmtId="164" fontId="1" fillId="0" borderId="24" xfId="7" applyNumberFormat="1" applyBorder="1"/>
    <xf numFmtId="164" fontId="1" fillId="0" borderId="23" xfId="7" applyNumberFormat="1" applyBorder="1"/>
    <xf numFmtId="164" fontId="1" fillId="0" borderId="21" xfId="7" applyNumberFormat="1" applyBorder="1"/>
    <xf numFmtId="164" fontId="1" fillId="0" borderId="0" xfId="7" applyNumberFormat="1" applyBorder="1"/>
    <xf numFmtId="164" fontId="1" fillId="0" borderId="20" xfId="7" applyNumberFormat="1" applyBorder="1"/>
    <xf numFmtId="164" fontId="1" fillId="0" borderId="18" xfId="7" applyNumberFormat="1" applyBorder="1"/>
    <xf numFmtId="164" fontId="1" fillId="0" borderId="17" xfId="7" applyNumberFormat="1" applyBorder="1"/>
    <xf numFmtId="164" fontId="1" fillId="0" borderId="16" xfId="7" applyNumberFormat="1" applyBorder="1"/>
    <xf numFmtId="3" fontId="1" fillId="0" borderId="0" xfId="7" applyNumberFormat="1"/>
    <xf numFmtId="0" fontId="1" fillId="0" borderId="0" xfId="7" applyBorder="1"/>
    <xf numFmtId="0" fontId="1" fillId="0" borderId="0" xfId="7" applyBorder="1" applyAlignment="1">
      <alignment horizontal="left"/>
    </xf>
    <xf numFmtId="0" fontId="12" fillId="0" borderId="0" xfId="7" applyNumberFormat="1" applyFont="1" applyBorder="1"/>
    <xf numFmtId="4" fontId="1" fillId="0" borderId="0" xfId="7" applyNumberFormat="1" applyBorder="1"/>
    <xf numFmtId="167" fontId="1" fillId="0" borderId="0" xfId="7" applyNumberFormat="1" applyBorder="1"/>
    <xf numFmtId="0" fontId="20" fillId="0" borderId="0" xfId="7" applyFont="1"/>
    <xf numFmtId="4" fontId="1" fillId="0" borderId="0" xfId="7" applyNumberFormat="1"/>
    <xf numFmtId="0" fontId="12" fillId="2" borderId="28" xfId="6" applyFont="1" applyFill="1" applyBorder="1" applyAlignment="1">
      <alignment horizontal="center"/>
    </xf>
    <xf numFmtId="0" fontId="12" fillId="2" borderId="28" xfId="7" applyFont="1" applyFill="1" applyBorder="1" applyAlignment="1">
      <alignment horizontal="center"/>
    </xf>
  </cellXfs>
  <cellStyles count="8">
    <cellStyle name="Normal" xfId="0" builtinId="0"/>
    <cellStyle name="Normal 2" xfId="1"/>
    <cellStyle name="Normal 3" xfId="3"/>
    <cellStyle name="Normal 4" xfId="5"/>
    <cellStyle name="Normal 5" xfId="6"/>
    <cellStyle name="Normal 6" xfId="7"/>
    <cellStyle name="Percent" xfId="4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'1.In-Out-HC'!$B$31</c:f>
          <c:strCache>
            <c:ptCount val="1"/>
            <c:pt idx="0">
              <c:v>Averages: 1653, 1348, 226, 6224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IN-FTA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82-4A62-9C19-7A75213484FF}"/>
            </c:ext>
          </c:extLst>
        </c:ser>
        <c:ser>
          <c:idx val="1"/>
          <c:order val="1"/>
          <c:tx>
            <c:strRef>
              <c:f>'1.In-Out-HC'!$G$3</c:f>
              <c:strCache>
                <c:ptCount val="1"/>
                <c:pt idx="0">
                  <c:v>HC-A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'1.In-Out-HC'!$G$4:$G$19</c:f>
              <c:numCache>
                <c:formatCode>#,##0</c:formatCode>
                <c:ptCount val="16"/>
                <c:pt idx="0">
                  <c:v>5766</c:v>
                </c:pt>
                <c:pt idx="1">
                  <c:v>5933</c:v>
                </c:pt>
                <c:pt idx="2">
                  <c:v>5942</c:v>
                </c:pt>
                <c:pt idx="3">
                  <c:v>5676</c:v>
                </c:pt>
                <c:pt idx="4">
                  <c:v>6203</c:v>
                </c:pt>
                <c:pt idx="5">
                  <c:v>6647</c:v>
                </c:pt>
                <c:pt idx="6">
                  <c:v>6739</c:v>
                </c:pt>
                <c:pt idx="7">
                  <c:v>6695</c:v>
                </c:pt>
                <c:pt idx="8">
                  <c:v>6130</c:v>
                </c:pt>
                <c:pt idx="9">
                  <c:v>5948</c:v>
                </c:pt>
                <c:pt idx="10">
                  <c:v>5910</c:v>
                </c:pt>
                <c:pt idx="11">
                  <c:v>5716</c:v>
                </c:pt>
                <c:pt idx="12">
                  <c:v>5971</c:v>
                </c:pt>
                <c:pt idx="13">
                  <c:v>6464</c:v>
                </c:pt>
                <c:pt idx="14">
                  <c:v>6972</c:v>
                </c:pt>
                <c:pt idx="15">
                  <c:v>6878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82-4A62-9C19-7A75213484FF}"/>
            </c:ext>
          </c:extLst>
        </c:ser>
        <c:ser>
          <c:idx val="2"/>
          <c:order val="2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82-4A62-9C19-7A75213484FF}"/>
            </c:ext>
          </c:extLst>
        </c:ser>
        <c:ser>
          <c:idx val="3"/>
          <c:order val="3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82-4A62-9C19-7A752134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7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TestOfHypothesis'!$S$21</c:f>
          <c:strCache>
            <c:ptCount val="1"/>
            <c:pt idx="0">
              <c:v>H0: SATMF-SATMT&gt;=0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strRef>
              <c:f>'4. TestOfHypothesis'!$S$2</c:f>
              <c:strCache>
                <c:ptCount val="1"/>
                <c:pt idx="0">
                  <c:v>SATMF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val>
            <c:numRef>
              <c:f>'4. TestOfHypothesis'!$Z$4:$Z$19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-1</c:v>
                </c:pt>
                <c:pt idx="9">
                  <c:v>-1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-1</c:v>
                </c:pt>
                <c:pt idx="14">
                  <c:v>-1</c:v>
                </c:pt>
                <c:pt idx="15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6E-4313-9780-11BCBF50C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Number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'5. Graduation'!$C$3</c:f>
              <c:strCache>
                <c:ptCount val="1"/>
                <c:pt idx="0">
                  <c:v>GR-F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Graduation'!$C$4:$C$19</c:f>
              <c:numCache>
                <c:formatCode>#,##0</c:formatCode>
                <c:ptCount val="16"/>
                <c:pt idx="0">
                  <c:v>229</c:v>
                </c:pt>
                <c:pt idx="1">
                  <c:v>228</c:v>
                </c:pt>
                <c:pt idx="2">
                  <c:v>311</c:v>
                </c:pt>
                <c:pt idx="3">
                  <c:v>305</c:v>
                </c:pt>
                <c:pt idx="4">
                  <c:v>327</c:v>
                </c:pt>
                <c:pt idx="5">
                  <c:v>335</c:v>
                </c:pt>
                <c:pt idx="6">
                  <c:v>393</c:v>
                </c:pt>
                <c:pt idx="7">
                  <c:v>413</c:v>
                </c:pt>
                <c:pt idx="8">
                  <c:v>425</c:v>
                </c:pt>
                <c:pt idx="9">
                  <c:v>410</c:v>
                </c:pt>
                <c:pt idx="10">
                  <c:v>443</c:v>
                </c:pt>
                <c:pt idx="11">
                  <c:v>384</c:v>
                </c:pt>
                <c:pt idx="12">
                  <c:v>432</c:v>
                </c:pt>
                <c:pt idx="13">
                  <c:v>401</c:v>
                </c:pt>
                <c:pt idx="14">
                  <c:v>521</c:v>
                </c:pt>
                <c:pt idx="15">
                  <c:v>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02-4B3B-A072-C257629FB529}"/>
            </c:ext>
          </c:extLst>
        </c:ser>
        <c:ser>
          <c:idx val="0"/>
          <c:order val="1"/>
          <c:tx>
            <c:strRef>
              <c:f>'5. Graduation'!$G$3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Graduation'!$G$4:$G$19</c:f>
              <c:numCache>
                <c:formatCode>General</c:formatCode>
                <c:ptCount val="16"/>
                <c:pt idx="0">
                  <c:v>558</c:v>
                </c:pt>
                <c:pt idx="1">
                  <c:v>596</c:v>
                </c:pt>
                <c:pt idx="2">
                  <c:v>630</c:v>
                </c:pt>
                <c:pt idx="3">
                  <c:v>638</c:v>
                </c:pt>
                <c:pt idx="4">
                  <c:v>682</c:v>
                </c:pt>
                <c:pt idx="5">
                  <c:v>739</c:v>
                </c:pt>
                <c:pt idx="6">
                  <c:v>752</c:v>
                </c:pt>
                <c:pt idx="7">
                  <c:v>759</c:v>
                </c:pt>
                <c:pt idx="8">
                  <c:v>675</c:v>
                </c:pt>
                <c:pt idx="9">
                  <c:v>679</c:v>
                </c:pt>
                <c:pt idx="10">
                  <c:v>681</c:v>
                </c:pt>
                <c:pt idx="11">
                  <c:v>676</c:v>
                </c:pt>
                <c:pt idx="12">
                  <c:v>737</c:v>
                </c:pt>
                <c:pt idx="13">
                  <c:v>820</c:v>
                </c:pt>
                <c:pt idx="14">
                  <c:v>867</c:v>
                </c:pt>
                <c:pt idx="15">
                  <c:v>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02-4B3B-A072-C257629FB529}"/>
            </c:ext>
          </c:extLst>
        </c:ser>
        <c:ser>
          <c:idx val="1"/>
          <c:order val="2"/>
          <c:tx>
            <c:strRef>
              <c:f>'5. Graduation'!$H$3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Graduation'!$H$4:$H$19</c:f>
              <c:numCache>
                <c:formatCode>General</c:formatCode>
                <c:ptCount val="16"/>
                <c:pt idx="0">
                  <c:v>446</c:v>
                </c:pt>
                <c:pt idx="1">
                  <c:v>477</c:v>
                </c:pt>
                <c:pt idx="2">
                  <c:v>504</c:v>
                </c:pt>
                <c:pt idx="3">
                  <c:v>510</c:v>
                </c:pt>
                <c:pt idx="4">
                  <c:v>546</c:v>
                </c:pt>
                <c:pt idx="5">
                  <c:v>591</c:v>
                </c:pt>
                <c:pt idx="6">
                  <c:v>602</c:v>
                </c:pt>
                <c:pt idx="7">
                  <c:v>607</c:v>
                </c:pt>
                <c:pt idx="8">
                  <c:v>540</c:v>
                </c:pt>
                <c:pt idx="9">
                  <c:v>543</c:v>
                </c:pt>
                <c:pt idx="10">
                  <c:v>545</c:v>
                </c:pt>
                <c:pt idx="11">
                  <c:v>541</c:v>
                </c:pt>
                <c:pt idx="12">
                  <c:v>589</c:v>
                </c:pt>
                <c:pt idx="13">
                  <c:v>656</c:v>
                </c:pt>
                <c:pt idx="14">
                  <c:v>694</c:v>
                </c:pt>
                <c:pt idx="15">
                  <c:v>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02-4B3B-A072-C257629FB529}"/>
            </c:ext>
          </c:extLst>
        </c:ser>
        <c:ser>
          <c:idx val="2"/>
          <c:order val="3"/>
          <c:tx>
            <c:strRef>
              <c:f>'5. Graduation'!$I$3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Graduation'!$I$4:$I$19</c:f>
              <c:numCache>
                <c:formatCode>General</c:formatCode>
                <c:ptCount val="16"/>
                <c:pt idx="0">
                  <c:v>372</c:v>
                </c:pt>
                <c:pt idx="1">
                  <c:v>397</c:v>
                </c:pt>
                <c:pt idx="2">
                  <c:v>420</c:v>
                </c:pt>
                <c:pt idx="3">
                  <c:v>425</c:v>
                </c:pt>
                <c:pt idx="4">
                  <c:v>455</c:v>
                </c:pt>
                <c:pt idx="5">
                  <c:v>492</c:v>
                </c:pt>
                <c:pt idx="6">
                  <c:v>502</c:v>
                </c:pt>
                <c:pt idx="7">
                  <c:v>506</c:v>
                </c:pt>
                <c:pt idx="8">
                  <c:v>450</c:v>
                </c:pt>
                <c:pt idx="9">
                  <c:v>453</c:v>
                </c:pt>
                <c:pt idx="10">
                  <c:v>454</c:v>
                </c:pt>
                <c:pt idx="11">
                  <c:v>451</c:v>
                </c:pt>
                <c:pt idx="12">
                  <c:v>491</c:v>
                </c:pt>
                <c:pt idx="13">
                  <c:v>547</c:v>
                </c:pt>
                <c:pt idx="14">
                  <c:v>578</c:v>
                </c:pt>
                <c:pt idx="15">
                  <c:v>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02-4B3B-A072-C257629FB529}"/>
            </c:ext>
          </c:extLst>
        </c:ser>
        <c:ser>
          <c:idx val="4"/>
          <c:order val="4"/>
          <c:tx>
            <c:strRef>
              <c:f>'5. Graduation'!$J$3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Graduation'!$J$4:$J$19</c:f>
              <c:numCache>
                <c:formatCode>General</c:formatCode>
                <c:ptCount val="16"/>
                <c:pt idx="0">
                  <c:v>319</c:v>
                </c:pt>
                <c:pt idx="1">
                  <c:v>340</c:v>
                </c:pt>
                <c:pt idx="2">
                  <c:v>360</c:v>
                </c:pt>
                <c:pt idx="3">
                  <c:v>364</c:v>
                </c:pt>
                <c:pt idx="4">
                  <c:v>390</c:v>
                </c:pt>
                <c:pt idx="5">
                  <c:v>422</c:v>
                </c:pt>
                <c:pt idx="6">
                  <c:v>430</c:v>
                </c:pt>
                <c:pt idx="7">
                  <c:v>434</c:v>
                </c:pt>
                <c:pt idx="8">
                  <c:v>386</c:v>
                </c:pt>
                <c:pt idx="9">
                  <c:v>388</c:v>
                </c:pt>
                <c:pt idx="10">
                  <c:v>389</c:v>
                </c:pt>
                <c:pt idx="11">
                  <c:v>386</c:v>
                </c:pt>
                <c:pt idx="12">
                  <c:v>421</c:v>
                </c:pt>
                <c:pt idx="13">
                  <c:v>469</c:v>
                </c:pt>
                <c:pt idx="14">
                  <c:v>495</c:v>
                </c:pt>
                <c:pt idx="15">
                  <c:v>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02-4B3B-A072-C257629FB5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9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Graduation'!$L$3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Graduation'!$L$4:$L$19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161.40350877192984</c:v>
                </c:pt>
                <c:pt idx="2">
                  <c:v>102.57234726688105</c:v>
                </c:pt>
                <c:pt idx="3">
                  <c:v>109.18032786885247</c:v>
                </c:pt>
                <c:pt idx="4">
                  <c:v>108.56269113149848</c:v>
                </c:pt>
                <c:pt idx="5">
                  <c:v>120.59701492537313</c:v>
                </c:pt>
                <c:pt idx="6">
                  <c:v>91.348600508905847</c:v>
                </c:pt>
                <c:pt idx="7">
                  <c:v>83.777239709443108</c:v>
                </c:pt>
                <c:pt idx="8">
                  <c:v>58.823529411764696</c:v>
                </c:pt>
                <c:pt idx="9">
                  <c:v>65.609756097560961</c:v>
                </c:pt>
                <c:pt idx="10">
                  <c:v>53.724604966139957</c:v>
                </c:pt>
                <c:pt idx="11">
                  <c:v>76.041666666666671</c:v>
                </c:pt>
                <c:pt idx="12">
                  <c:v>70.601851851851862</c:v>
                </c:pt>
                <c:pt idx="13">
                  <c:v>104.48877805486285</c:v>
                </c:pt>
                <c:pt idx="14">
                  <c:v>66.410748560460647</c:v>
                </c:pt>
                <c:pt idx="15">
                  <c:v>65.310077519379846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2E-4786-B073-C7B70A0C0952}"/>
            </c:ext>
          </c:extLst>
        </c:ser>
        <c:ser>
          <c:idx val="1"/>
          <c:order val="1"/>
          <c:tx>
            <c:strRef>
              <c:f>'5. Graduation'!$M$3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Graduation'!$M$4:$M$19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109.21052631578947</c:v>
                </c:pt>
                <c:pt idx="2">
                  <c:v>62.057877813504824</c:v>
                </c:pt>
                <c:pt idx="3">
                  <c:v>67.21311475409837</c:v>
                </c:pt>
                <c:pt idx="4">
                  <c:v>66.972477064220186</c:v>
                </c:pt>
                <c:pt idx="5">
                  <c:v>76.417910447761187</c:v>
                </c:pt>
                <c:pt idx="6">
                  <c:v>53.180661577608149</c:v>
                </c:pt>
                <c:pt idx="7">
                  <c:v>46.973365617433416</c:v>
                </c:pt>
                <c:pt idx="8">
                  <c:v>27.058823529411757</c:v>
                </c:pt>
                <c:pt idx="9">
                  <c:v>32.439024390243908</c:v>
                </c:pt>
                <c:pt idx="10">
                  <c:v>23.024830699774256</c:v>
                </c:pt>
                <c:pt idx="11">
                  <c:v>40.885416666666671</c:v>
                </c:pt>
                <c:pt idx="12">
                  <c:v>36.342592592592581</c:v>
                </c:pt>
                <c:pt idx="13">
                  <c:v>63.591022443890274</c:v>
                </c:pt>
                <c:pt idx="14">
                  <c:v>33.205374280230316</c:v>
                </c:pt>
                <c:pt idx="15">
                  <c:v>32.170542635658904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2E-4786-B073-C7B70A0C0952}"/>
            </c:ext>
          </c:extLst>
        </c:ser>
        <c:ser>
          <c:idx val="2"/>
          <c:order val="2"/>
          <c:tx>
            <c:strRef>
              <c:f>'5. Graduation'!$N$3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Graduation'!$N$4:$N$19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74.122807017543863</c:v>
                </c:pt>
                <c:pt idx="2">
                  <c:v>35.048231511254023</c:v>
                </c:pt>
                <c:pt idx="3">
                  <c:v>39.344262295081968</c:v>
                </c:pt>
                <c:pt idx="4">
                  <c:v>39.14373088685015</c:v>
                </c:pt>
                <c:pt idx="5">
                  <c:v>46.865671641791053</c:v>
                </c:pt>
                <c:pt idx="6">
                  <c:v>27.735368956743002</c:v>
                </c:pt>
                <c:pt idx="7">
                  <c:v>22.51815980629539</c:v>
                </c:pt>
                <c:pt idx="8">
                  <c:v>5.8823529411764719</c:v>
                </c:pt>
                <c:pt idx="9">
                  <c:v>10.48780487804879</c:v>
                </c:pt>
                <c:pt idx="10">
                  <c:v>2.483069977426644</c:v>
                </c:pt>
                <c:pt idx="11">
                  <c:v>17.447916666666675</c:v>
                </c:pt>
                <c:pt idx="12">
                  <c:v>13.657407407407419</c:v>
                </c:pt>
                <c:pt idx="13">
                  <c:v>36.408977556109726</c:v>
                </c:pt>
                <c:pt idx="14">
                  <c:v>10.940499040307095</c:v>
                </c:pt>
                <c:pt idx="15">
                  <c:v>10.271317829457359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2E-4786-B073-C7B70A0C0952}"/>
            </c:ext>
          </c:extLst>
        </c:ser>
        <c:ser>
          <c:idx val="4"/>
          <c:order val="3"/>
          <c:tx>
            <c:strRef>
              <c:f>'5. Graduation'!$O$3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Graduation'!$O$4:$O$19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49.122807017543856</c:v>
                </c:pt>
                <c:pt idx="2">
                  <c:v>15.7556270096463</c:v>
                </c:pt>
                <c:pt idx="3">
                  <c:v>19.344262295081972</c:v>
                </c:pt>
                <c:pt idx="4">
                  <c:v>19.266055045871553</c:v>
                </c:pt>
                <c:pt idx="5">
                  <c:v>25.970149253731336</c:v>
                </c:pt>
                <c:pt idx="6">
                  <c:v>9.4147582697200924</c:v>
                </c:pt>
                <c:pt idx="7">
                  <c:v>5.0847457627118731</c:v>
                </c:pt>
                <c:pt idx="8">
                  <c:v>-9.176470588235297</c:v>
                </c:pt>
                <c:pt idx="9">
                  <c:v>-5.3658536585365901</c:v>
                </c:pt>
                <c:pt idx="10">
                  <c:v>-12.189616252821667</c:v>
                </c:pt>
                <c:pt idx="11">
                  <c:v>0.52083333333332593</c:v>
                </c:pt>
                <c:pt idx="12">
                  <c:v>-2.546296296296291</c:v>
                </c:pt>
                <c:pt idx="13">
                  <c:v>16.957605985037418</c:v>
                </c:pt>
                <c:pt idx="14">
                  <c:v>-4.9904030710172798</c:v>
                </c:pt>
                <c:pt idx="15">
                  <c:v>-5.6201550387596892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2E-4786-B073-C7B70A0C0952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2E-4786-B073-C7B70A0C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-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Required % Increase in # of Graduates </a:t>
            </a:r>
          </a:p>
          <a:p>
            <a:pPr>
              <a:defRPr/>
            </a:pPr>
            <a:r>
              <a:rPr lang="en-US"/>
              <a:t>(6-Period moving Average)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'5. Graduation'!$R$3</c:f>
              <c:strCache>
                <c:ptCount val="1"/>
                <c:pt idx="0">
                  <c:v>4YG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Graduation'!$R$4:$R$19</c:f>
              <c:numCache>
                <c:formatCode>General</c:formatCode>
                <c:ptCount val="16"/>
                <c:pt idx="0">
                  <c:v>143.66812227074237</c:v>
                </c:pt>
                <c:pt idx="1">
                  <c:v>143.66812227074234</c:v>
                </c:pt>
                <c:pt idx="2">
                  <c:v>148.81138435608671</c:v>
                </c:pt>
                <c:pt idx="3">
                  <c:v>135.40206360021705</c:v>
                </c:pt>
                <c:pt idx="4">
                  <c:v>127.79776023812131</c:v>
                </c:pt>
                <c:pt idx="5">
                  <c:v>122.21959019720069</c:v>
                </c:pt>
                <c:pt idx="6">
                  <c:v>121.74904336837068</c:v>
                </c:pt>
                <c:pt idx="7">
                  <c:v>112.93291493912588</c:v>
                </c:pt>
                <c:pt idx="8">
                  <c:v>104.47776912251787</c:v>
                </c:pt>
                <c:pt idx="9">
                  <c:v>91.23803960639944</c:v>
                </c:pt>
                <c:pt idx="10">
                  <c:v>83.805837388836267</c:v>
                </c:pt>
                <c:pt idx="11">
                  <c:v>75.082279986254335</c:v>
                </c:pt>
                <c:pt idx="12">
                  <c:v>75.360502123573909</c:v>
                </c:pt>
                <c:pt idx="13">
                  <c:v>73.980493544774504</c:v>
                </c:pt>
                <c:pt idx="14">
                  <c:v>82.827896052700112</c:v>
                </c:pt>
                <c:pt idx="15">
                  <c:v>78.066923279950657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BA-4CFC-BC9E-09CA997A674E}"/>
            </c:ext>
          </c:extLst>
        </c:ser>
        <c:ser>
          <c:idx val="1"/>
          <c:order val="1"/>
          <c:tx>
            <c:strRef>
              <c:f>'5. Graduation'!$S$3</c:f>
              <c:strCache>
                <c:ptCount val="1"/>
                <c:pt idx="0">
                  <c:v>5YG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Graduation'!$S$4:$S$19</c:f>
              <c:numCache>
                <c:formatCode>General</c:formatCode>
                <c:ptCount val="16"/>
                <c:pt idx="0">
                  <c:v>94.759825327510924</c:v>
                </c:pt>
                <c:pt idx="1">
                  <c:v>94.759825327510924</c:v>
                </c:pt>
                <c:pt idx="2">
                  <c:v>98.950528614111704</c:v>
                </c:pt>
                <c:pt idx="3">
                  <c:v>88.251659881935709</c:v>
                </c:pt>
                <c:pt idx="4">
                  <c:v>82.15048179486287</c:v>
                </c:pt>
                <c:pt idx="5">
                  <c:v>77.748860422976492</c:v>
                </c:pt>
                <c:pt idx="6">
                  <c:v>77.362884930164057</c:v>
                </c:pt>
                <c:pt idx="7">
                  <c:v>70.350040157922848</c:v>
                </c:pt>
                <c:pt idx="8">
                  <c:v>63.570804541180912</c:v>
                </c:pt>
                <c:pt idx="9">
                  <c:v>52.982330047767853</c:v>
                </c:pt>
                <c:pt idx="10">
                  <c:v>47.024771407085908</c:v>
                </c:pt>
                <c:pt idx="11">
                  <c:v>40.064788601965532</c:v>
                </c:pt>
                <c:pt idx="12">
                  <c:v>40.30277074072886</c:v>
                </c:pt>
                <c:pt idx="13">
                  <c:v>39.154319077769337</c:v>
                </c:pt>
                <c:pt idx="14">
                  <c:v>46.240963053944405</c:v>
                </c:pt>
                <c:pt idx="15">
                  <c:v>42.460642309567312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BA-4CFC-BC9E-09CA997A674E}"/>
            </c:ext>
          </c:extLst>
        </c:ser>
        <c:ser>
          <c:idx val="2"/>
          <c:order val="2"/>
          <c:tx>
            <c:strRef>
              <c:f>'5. Graduation'!$T$3</c:f>
              <c:strCache>
                <c:ptCount val="1"/>
                <c:pt idx="0">
                  <c:v>6YG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Graduation'!$T$4:$T$19</c:f>
              <c:numCache>
                <c:formatCode>General</c:formatCode>
                <c:ptCount val="16"/>
                <c:pt idx="0">
                  <c:v>62.445414847161572</c:v>
                </c:pt>
                <c:pt idx="1">
                  <c:v>62.445414847161572</c:v>
                </c:pt>
                <c:pt idx="2">
                  <c:v>65.831858576572444</c:v>
                </c:pt>
                <c:pt idx="3">
                  <c:v>56.904606727630096</c:v>
                </c:pt>
                <c:pt idx="4">
                  <c:v>51.812106842191135</c:v>
                </c:pt>
                <c:pt idx="5">
                  <c:v>48.138277815142246</c:v>
                </c:pt>
                <c:pt idx="6">
                  <c:v>47.769222024870395</c:v>
                </c:pt>
                <c:pt idx="7">
                  <c:v>41.959404635113451</c:v>
                </c:pt>
                <c:pt idx="8">
                  <c:v>36.321443634756207</c:v>
                </c:pt>
                <c:pt idx="9">
                  <c:v>27.494107333618082</c:v>
                </c:pt>
                <c:pt idx="10">
                  <c:v>22.562279621502984</c:v>
                </c:pt>
                <c:pt idx="11">
                  <c:v>16.739308824720844</c:v>
                </c:pt>
                <c:pt idx="12">
                  <c:v>16.944805098885134</c:v>
                </c:pt>
                <c:pt idx="13">
                  <c:v>15.991459768356595</c:v>
                </c:pt>
                <c:pt idx="14">
                  <c:v>21.912539926805003</c:v>
                </c:pt>
                <c:pt idx="15">
                  <c:v>18.730648069720608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BA-4CFC-BC9E-09CA997A674E}"/>
            </c:ext>
          </c:extLst>
        </c:ser>
        <c:ser>
          <c:idx val="4"/>
          <c:order val="3"/>
          <c:tx>
            <c:strRef>
              <c:f>'5. Graduation'!$U$3</c:f>
              <c:strCache>
                <c:ptCount val="1"/>
                <c:pt idx="0">
                  <c:v>7YG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Graduation'!$U$4:$U$19</c:f>
              <c:numCache>
                <c:formatCode>General</c:formatCode>
                <c:ptCount val="16"/>
                <c:pt idx="0">
                  <c:v>39.301310043668124</c:v>
                </c:pt>
                <c:pt idx="1">
                  <c:v>39.301310043668124</c:v>
                </c:pt>
                <c:pt idx="2">
                  <c:v>42.149544166092085</c:v>
                </c:pt>
                <c:pt idx="3">
                  <c:v>34.495308190722803</c:v>
                </c:pt>
                <c:pt idx="4">
                  <c:v>30.101504880986958</c:v>
                </c:pt>
                <c:pt idx="5">
                  <c:v>26.959224428803488</c:v>
                </c:pt>
                <c:pt idx="6">
                  <c:v>26.672392628032561</c:v>
                </c:pt>
                <c:pt idx="7">
                  <c:v>21.667678664121944</c:v>
                </c:pt>
                <c:pt idx="8">
                  <c:v>16.858628122713021</c:v>
                </c:pt>
                <c:pt idx="9">
                  <c:v>9.3084494965380085</c:v>
                </c:pt>
                <c:pt idx="10">
                  <c:v>5.0529015815663749</c:v>
                </c:pt>
                <c:pt idx="11">
                  <c:v>5.257140959384321E-2</c:v>
                </c:pt>
                <c:pt idx="12">
                  <c:v>0.18836736747829319</c:v>
                </c:pt>
                <c:pt idx="13">
                  <c:v>-0.60468509501633627</c:v>
                </c:pt>
                <c:pt idx="14">
                  <c:v>4.488379318199252</c:v>
                </c:pt>
                <c:pt idx="15">
                  <c:v>1.7395324253264577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BA-4CFC-BC9E-09CA997A674E}"/>
            </c:ext>
          </c:extLst>
        </c:ser>
        <c:ser>
          <c:idx val="3"/>
          <c:order val="4"/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'5. Graduation'!$A$4:$A$19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'5. Graduation'!$Q$4:$Q$19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9BA-4CFC-BC9E-09CA997A6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17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25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08921068554037E-2"/>
          <c:y val="1.6317302586487201E-2"/>
          <c:w val="0.92909107893144594"/>
          <c:h val="0.83044508539361062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B-4620-AB80-D8C23EE0B4A1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5B-4620-AB80-D8C23EE0B4A1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5B-4620-AB80-D8C23EE0B4A1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5B-4620-AB80-D8C23EE0B4A1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5B-4620-AB80-D8C23EE0B4A1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5B-4620-AB80-D8C23EE0B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571224"/>
        <c:axId val="739570896"/>
      </c:lineChart>
      <c:catAx>
        <c:axId val="7395712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0896"/>
        <c:crosses val="autoZero"/>
        <c:auto val="1"/>
        <c:lblAlgn val="ctr"/>
        <c:lblOffset val="100"/>
        <c:noMultiLvlLbl val="0"/>
      </c:catAx>
      <c:valAx>
        <c:axId val="739570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571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YearsATCSUN!$BC$3:$BC$13</c:f>
              <c:numCache>
                <c:formatCode>0%</c:formatCode>
                <c:ptCount val="11"/>
                <c:pt idx="0">
                  <c:v>1</c:v>
                </c:pt>
                <c:pt idx="1">
                  <c:v>0.73263888888888884</c:v>
                </c:pt>
                <c:pt idx="2">
                  <c:v>0.81597222222222221</c:v>
                </c:pt>
                <c:pt idx="3">
                  <c:v>0.77604166666666663</c:v>
                </c:pt>
                <c:pt idx="4">
                  <c:v>0.63020833333333337</c:v>
                </c:pt>
                <c:pt idx="5">
                  <c:v>0.328125</c:v>
                </c:pt>
                <c:pt idx="6">
                  <c:v>0.16145833333333334</c:v>
                </c:pt>
                <c:pt idx="7">
                  <c:v>8.3333333333333329E-2</c:v>
                </c:pt>
                <c:pt idx="8">
                  <c:v>4.5138888888888888E-2</c:v>
                </c:pt>
                <c:pt idx="9">
                  <c:v>3.4722222222222224E-2</c:v>
                </c:pt>
                <c:pt idx="10">
                  <c:v>5.7291666666666664E-2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26-4AD2-AAF6-662203D9C099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YearsATCSUN!$BD$3:$BD$13</c:f>
              <c:numCache>
                <c:formatCode>0%</c:formatCode>
                <c:ptCount val="11"/>
                <c:pt idx="0">
                  <c:v>1</c:v>
                </c:pt>
                <c:pt idx="1">
                  <c:v>0.7936241610738255</c:v>
                </c:pt>
                <c:pt idx="2">
                  <c:v>0.81040268456375841</c:v>
                </c:pt>
                <c:pt idx="3">
                  <c:v>0.80369127516778527</c:v>
                </c:pt>
                <c:pt idx="4">
                  <c:v>0.66778523489932884</c:v>
                </c:pt>
                <c:pt idx="5">
                  <c:v>0.35402684563758391</c:v>
                </c:pt>
                <c:pt idx="6">
                  <c:v>0.15771812080536912</c:v>
                </c:pt>
                <c:pt idx="7">
                  <c:v>5.8724832214765099E-2</c:v>
                </c:pt>
                <c:pt idx="8">
                  <c:v>2.5167785234899327E-2</c:v>
                </c:pt>
                <c:pt idx="9">
                  <c:v>1.0067114093959731E-2</c:v>
                </c:pt>
                <c:pt idx="10">
                  <c:v>3.3557046979865772E-2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6-4AD2-AAF6-662203D9C099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YearsATCSUN!$BE$3:$BE$13</c:f>
              <c:numCache>
                <c:formatCode>0%</c:formatCode>
                <c:ptCount val="11"/>
                <c:pt idx="0">
                  <c:v>1</c:v>
                </c:pt>
                <c:pt idx="1">
                  <c:v>0.82268370607028751</c:v>
                </c:pt>
                <c:pt idx="2">
                  <c:v>0.78115015974440893</c:v>
                </c:pt>
                <c:pt idx="3">
                  <c:v>0.7795527156549521</c:v>
                </c:pt>
                <c:pt idx="4">
                  <c:v>0.60702875399361023</c:v>
                </c:pt>
                <c:pt idx="5">
                  <c:v>0.30351437699680511</c:v>
                </c:pt>
                <c:pt idx="6">
                  <c:v>0.10862619808306709</c:v>
                </c:pt>
                <c:pt idx="7">
                  <c:v>4.9520766773162937E-2</c:v>
                </c:pt>
                <c:pt idx="8">
                  <c:v>3.035143769968051E-2</c:v>
                </c:pt>
                <c:pt idx="9">
                  <c:v>2.2364217252396165E-2</c:v>
                </c:pt>
                <c:pt idx="10">
                  <c:v>3.5143769968051117E-2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26-4AD2-AAF6-662203D9C099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YearsATCSUN!$BF$3:$BF$13</c:f>
              <c:numCache>
                <c:formatCode>0%</c:formatCode>
                <c:ptCount val="11"/>
                <c:pt idx="0">
                  <c:v>1</c:v>
                </c:pt>
                <c:pt idx="1">
                  <c:v>0.79005524861878451</c:v>
                </c:pt>
                <c:pt idx="2">
                  <c:v>0.84346224677716386</c:v>
                </c:pt>
                <c:pt idx="3">
                  <c:v>0.78637200736648249</c:v>
                </c:pt>
                <c:pt idx="4">
                  <c:v>0.59300184162062619</c:v>
                </c:pt>
                <c:pt idx="5">
                  <c:v>0.2559852670349908</c:v>
                </c:pt>
                <c:pt idx="6">
                  <c:v>0.10313075506445672</c:v>
                </c:pt>
                <c:pt idx="7">
                  <c:v>4.0515653775322284E-2</c:v>
                </c:pt>
                <c:pt idx="8">
                  <c:v>1.841620626151013E-2</c:v>
                </c:pt>
                <c:pt idx="9">
                  <c:v>1.4732965009208104E-2</c:v>
                </c:pt>
                <c:pt idx="10">
                  <c:v>4.2357274401473299E-2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26-4AD2-AAF6-662203D9C099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YearsATCSUN!$BG$3:$BG$13</c:f>
              <c:numCache>
                <c:formatCode>0%</c:formatCode>
                <c:ptCount val="11"/>
                <c:pt idx="0">
                  <c:v>1</c:v>
                </c:pt>
                <c:pt idx="1">
                  <c:v>0.87179487179487181</c:v>
                </c:pt>
                <c:pt idx="2">
                  <c:v>0.83257918552036203</c:v>
                </c:pt>
                <c:pt idx="3">
                  <c:v>0.75414781297134237</c:v>
                </c:pt>
                <c:pt idx="4">
                  <c:v>0.49019607843137253</c:v>
                </c:pt>
                <c:pt idx="5">
                  <c:v>0.21568627450980393</c:v>
                </c:pt>
                <c:pt idx="6">
                  <c:v>7.0889894419306182E-2</c:v>
                </c:pt>
                <c:pt idx="7">
                  <c:v>3.7707390648567117E-2</c:v>
                </c:pt>
                <c:pt idx="8">
                  <c:v>1.2066365007541479E-2</c:v>
                </c:pt>
                <c:pt idx="9">
                  <c:v>1.0558069381598794E-2</c:v>
                </c:pt>
                <c:pt idx="10">
                  <c:v>2.8657616892911009E-2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26-4AD2-AAF6-662203D9C099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YearsATCSUN!$BH$3:$BH$13</c:f>
              <c:numCache>
                <c:formatCode>0%</c:formatCode>
                <c:ptCount val="11"/>
                <c:pt idx="0">
                  <c:v>1</c:v>
                </c:pt>
                <c:pt idx="1">
                  <c:v>0.78197674418604646</c:v>
                </c:pt>
                <c:pt idx="2">
                  <c:v>0.72383720930232553</c:v>
                </c:pt>
                <c:pt idx="3">
                  <c:v>0.59302325581395354</c:v>
                </c:pt>
                <c:pt idx="4">
                  <c:v>0.4316860465116279</c:v>
                </c:pt>
                <c:pt idx="5">
                  <c:v>0.16569767441860464</c:v>
                </c:pt>
                <c:pt idx="6">
                  <c:v>6.3953488372093026E-2</c:v>
                </c:pt>
                <c:pt idx="7">
                  <c:v>2.616279069767442E-2</c:v>
                </c:pt>
                <c:pt idx="8">
                  <c:v>1.1627906976744186E-2</c:v>
                </c:pt>
                <c:pt idx="9">
                  <c:v>7.2674418604651162E-3</c:v>
                </c:pt>
                <c:pt idx="10">
                  <c:v>3.7790697674418602E-2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26-4AD2-AAF6-662203D9C099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YearsATCSUN!$BI$3:$BI$12</c:f>
              <c:numCache>
                <c:formatCode>0%</c:formatCode>
                <c:ptCount val="10"/>
                <c:pt idx="0">
                  <c:v>1</c:v>
                </c:pt>
                <c:pt idx="1">
                  <c:v>0.71548117154811719</c:v>
                </c:pt>
                <c:pt idx="2">
                  <c:v>0.62482566248256621</c:v>
                </c:pt>
                <c:pt idx="3">
                  <c:v>0.58019525801952576</c:v>
                </c:pt>
                <c:pt idx="4">
                  <c:v>0.4086471408647141</c:v>
                </c:pt>
                <c:pt idx="5">
                  <c:v>0.16317991631799164</c:v>
                </c:pt>
                <c:pt idx="6">
                  <c:v>6.4156206415620642E-2</c:v>
                </c:pt>
                <c:pt idx="7">
                  <c:v>3.626220362622036E-2</c:v>
                </c:pt>
                <c:pt idx="8">
                  <c:v>1.9525801952580194E-2</c:v>
                </c:pt>
                <c:pt idx="9">
                  <c:v>1.2552301255230125E-2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26-4AD2-AAF6-662203D9C099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YearsATCSUN!$BJ$3:$BJ$11</c:f>
              <c:numCache>
                <c:formatCode>0%</c:formatCode>
                <c:ptCount val="9"/>
                <c:pt idx="0">
                  <c:v>1</c:v>
                </c:pt>
                <c:pt idx="1">
                  <c:v>0.69693251533742329</c:v>
                </c:pt>
                <c:pt idx="2">
                  <c:v>0.64417177914110424</c:v>
                </c:pt>
                <c:pt idx="3">
                  <c:v>0.59754601226993864</c:v>
                </c:pt>
                <c:pt idx="4">
                  <c:v>0.42208588957055215</c:v>
                </c:pt>
                <c:pt idx="5">
                  <c:v>0.16932515337423312</c:v>
                </c:pt>
                <c:pt idx="6">
                  <c:v>7.4846625766871164E-2</c:v>
                </c:pt>
                <c:pt idx="7">
                  <c:v>3.6809815950920248E-2</c:v>
                </c:pt>
                <c:pt idx="8">
                  <c:v>2.2085889570552148E-2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26-4AD2-AAF6-662203D9C099}"/>
            </c:ext>
          </c:extLst>
        </c:ser>
        <c:ser>
          <c:idx val="8"/>
          <c:order val="8"/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YearsATCSUN!$BK$3:$BK$10</c:f>
              <c:numCache>
                <c:formatCode>0%</c:formatCode>
                <c:ptCount val="8"/>
                <c:pt idx="0">
                  <c:v>1</c:v>
                </c:pt>
                <c:pt idx="1">
                  <c:v>0.74767801857585137</c:v>
                </c:pt>
                <c:pt idx="2">
                  <c:v>0.68421052631578949</c:v>
                </c:pt>
                <c:pt idx="3">
                  <c:v>0.66408668730650156</c:v>
                </c:pt>
                <c:pt idx="4">
                  <c:v>0.49226006191950467</c:v>
                </c:pt>
                <c:pt idx="5">
                  <c:v>0.19504643962848298</c:v>
                </c:pt>
                <c:pt idx="6">
                  <c:v>8.6687306501547989E-2</c:v>
                </c:pt>
                <c:pt idx="7">
                  <c:v>3.7151702786377708E-2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26-4AD2-AAF6-662203D9C099}"/>
            </c:ext>
          </c:extLst>
        </c:ser>
        <c:ser>
          <c:idx val="9"/>
          <c:order val="9"/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YearsATCSUN!$BL$3:$BL$9</c:f>
              <c:numCache>
                <c:formatCode>0%</c:formatCode>
                <c:ptCount val="7"/>
                <c:pt idx="0">
                  <c:v>1</c:v>
                </c:pt>
                <c:pt idx="1">
                  <c:v>0.78279266572637518</c:v>
                </c:pt>
                <c:pt idx="2">
                  <c:v>0.78702397743300423</c:v>
                </c:pt>
                <c:pt idx="3">
                  <c:v>0.76163610719322994</c:v>
                </c:pt>
                <c:pt idx="4">
                  <c:v>0.62200282087447112</c:v>
                </c:pt>
                <c:pt idx="5">
                  <c:v>0.2454160789844852</c:v>
                </c:pt>
                <c:pt idx="6">
                  <c:v>9.4499294781382234E-2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26-4AD2-AAF6-662203D9C099}"/>
            </c:ext>
          </c:extLst>
        </c:ser>
        <c:ser>
          <c:idx val="10"/>
          <c:order val="10"/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YearsATCSUN!$BM$3:$BM$8</c:f>
              <c:numCache>
                <c:formatCode>0%</c:formatCode>
                <c:ptCount val="6"/>
                <c:pt idx="0">
                  <c:v>1</c:v>
                </c:pt>
                <c:pt idx="1">
                  <c:v>0.78041958041958037</c:v>
                </c:pt>
                <c:pt idx="2">
                  <c:v>0.83076923076923082</c:v>
                </c:pt>
                <c:pt idx="3">
                  <c:v>0.7846153846153846</c:v>
                </c:pt>
                <c:pt idx="4">
                  <c:v>0.55944055944055948</c:v>
                </c:pt>
                <c:pt idx="5">
                  <c:v>0.23076923076923078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F26-4AD2-AAF6-662203D9C099}"/>
            </c:ext>
          </c:extLst>
        </c:ser>
        <c:ser>
          <c:idx val="11"/>
          <c:order val="11"/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val>
            <c:numRef>
              <c:f>YearsATCSUN!$BN$3:$BN$6</c:f>
              <c:numCache>
                <c:formatCode>0%</c:formatCode>
                <c:ptCount val="4"/>
                <c:pt idx="0">
                  <c:v>1</c:v>
                </c:pt>
                <c:pt idx="1">
                  <c:v>0.83277027027027029</c:v>
                </c:pt>
                <c:pt idx="2">
                  <c:v>0.91216216216216217</c:v>
                </c:pt>
                <c:pt idx="3">
                  <c:v>0.89527027027027029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F26-4AD2-AAF6-662203D9C099}"/>
            </c:ext>
          </c:extLst>
        </c:ser>
        <c:ser>
          <c:idx val="12"/>
          <c:order val="12"/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val>
            <c:numRef>
              <c:f>YearsATCSUN!$BO$3:$BO$6</c:f>
              <c:numCache>
                <c:formatCode>0%</c:formatCode>
                <c:ptCount val="4"/>
                <c:pt idx="0">
                  <c:v>1</c:v>
                </c:pt>
                <c:pt idx="1">
                  <c:v>0.86794871794871797</c:v>
                </c:pt>
                <c:pt idx="2">
                  <c:v>0.92948717948717952</c:v>
                </c:pt>
                <c:pt idx="3">
                  <c:v>0.87948717948717947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F26-4AD2-AAF6-662203D9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819752"/>
        <c:axId val="734816144"/>
      </c:lineChart>
      <c:catAx>
        <c:axId val="7348197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6144"/>
        <c:crosses val="autoZero"/>
        <c:auto val="1"/>
        <c:lblAlgn val="ctr"/>
        <c:lblOffset val="100"/>
        <c:noMultiLvlLbl val="0"/>
      </c:catAx>
      <c:valAx>
        <c:axId val="73481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4819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3.0642961721873583E-3"/>
                  <c:y val="-2.8477798155445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CF-4F95-9B55-2287662CD265}"/>
                </c:ext>
              </c:extLst>
            </c:dLbl>
            <c:dLbl>
              <c:idx val="2"/>
              <c:layout>
                <c:manualLayout>
                  <c:x val="-3.0642961721873861E-3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3CF-4F95-9B55-2287662CD265}"/>
                </c:ext>
              </c:extLst>
            </c:dLbl>
            <c:dLbl>
              <c:idx val="6"/>
              <c:layout>
                <c:manualLayout>
                  <c:x val="-4.5964442582810796E-3"/>
                  <c:y val="-2.847779815544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3CF-4F95-9B55-2287662CD265}"/>
                </c:ext>
              </c:extLst>
            </c:dLbl>
            <c:dLbl>
              <c:idx val="7"/>
              <c:layout>
                <c:manualLayout>
                  <c:x val="-1.1235622836479969E-16"/>
                  <c:y val="-2.84777981554459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3CF-4F95-9B55-2287662CD265}"/>
                </c:ext>
              </c:extLst>
            </c:dLbl>
            <c:dLbl>
              <c:idx val="8"/>
              <c:layout>
                <c:manualLayout>
                  <c:x val="0"/>
                  <c:y val="-3.16419979504954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3CF-4F95-9B55-2287662CD265}"/>
                </c:ext>
              </c:extLst>
            </c:dLbl>
            <c:dLbl>
              <c:idx val="9"/>
              <c:layout>
                <c:manualLayout>
                  <c:x val="-1.5321480860938056E-3"/>
                  <c:y val="-3.4806197745545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3CF-4F95-9B55-2287662CD26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YearsATCSUN!$BT$3:$BT$13</c:f>
              <c:numCache>
                <c:formatCode>0%</c:formatCode>
                <c:ptCount val="11"/>
                <c:pt idx="0">
                  <c:v>1</c:v>
                </c:pt>
                <c:pt idx="1">
                  <c:v>0.79725273219047821</c:v>
                </c:pt>
                <c:pt idx="2">
                  <c:v>0.79114188780793615</c:v>
                </c:pt>
                <c:pt idx="3">
                  <c:v>0.74274351021563179</c:v>
                </c:pt>
                <c:pt idx="4">
                  <c:v>0.54746775264416425</c:v>
                </c:pt>
                <c:pt idx="5">
                  <c:v>0.23879747797020112</c:v>
                </c:pt>
                <c:pt idx="6">
                  <c:v>9.8596622354304733E-2</c:v>
                </c:pt>
                <c:pt idx="7">
                  <c:v>4.5132054422927052E-2</c:v>
                </c:pt>
                <c:pt idx="8">
                  <c:v>2.3047535199049611E-2</c:v>
                </c:pt>
                <c:pt idx="9">
                  <c:v>1.6037761582154326E-2</c:v>
                </c:pt>
                <c:pt idx="10">
                  <c:v>3.9133012097231079E-2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CF-4F95-9B55-2287662CD2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6848608"/>
        <c:axId val="266847952"/>
      </c:lineChart>
      <c:catAx>
        <c:axId val="266848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7952"/>
        <c:crossesAt val="0"/>
        <c:auto val="1"/>
        <c:lblAlgn val="ctr"/>
        <c:lblOffset val="100"/>
        <c:noMultiLvlLbl val="0"/>
      </c:catAx>
      <c:valAx>
        <c:axId val="2668479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84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'Sheet1 (2)'!$T$34:$T$45</c:f>
              <c:numCache>
                <c:formatCode>0%</c:formatCode>
                <c:ptCount val="12"/>
                <c:pt idx="0">
                  <c:v>0.8940692054322984</c:v>
                </c:pt>
                <c:pt idx="1">
                  <c:v>0.88917365336184251</c:v>
                </c:pt>
                <c:pt idx="2">
                  <c:v>0.8665164959214664</c:v>
                </c:pt>
                <c:pt idx="3">
                  <c:v>0.85329573140577419</c:v>
                </c:pt>
                <c:pt idx="4">
                  <c:v>0.80300653418738188</c:v>
                </c:pt>
                <c:pt idx="5">
                  <c:v>0.71494258593312132</c:v>
                </c:pt>
                <c:pt idx="6">
                  <c:v>0.63980896569342183</c:v>
                </c:pt>
                <c:pt idx="7">
                  <c:v>0.6154077482953354</c:v>
                </c:pt>
                <c:pt idx="8">
                  <c:v>0.59518004382313594</c:v>
                </c:pt>
                <c:pt idx="9">
                  <c:v>0.55636875583566758</c:v>
                </c:pt>
                <c:pt idx="10">
                  <c:v>0.5251556683010582</c:v>
                </c:pt>
                <c:pt idx="11">
                  <c:v>0.84438568588157681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2-415E-9727-54A1FF5AD3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867384"/>
        <c:axId val="707867712"/>
      </c:lineChart>
      <c:catAx>
        <c:axId val="707867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712"/>
        <c:crosses val="autoZero"/>
        <c:auto val="1"/>
        <c:lblAlgn val="ctr"/>
        <c:lblOffset val="100"/>
        <c:noMultiLvlLbl val="0"/>
      </c:catAx>
      <c:valAx>
        <c:axId val="7078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7867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Sample</a:t>
            </a:r>
            <a:r>
              <a:rPr lang="en-US" baseline="0"/>
              <a:t> F-Life @ CSUN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Sheet1!$B$2:$B$8</c:f>
              <c:numCache>
                <c:formatCode>General</c:formatCode>
                <c:ptCount val="7"/>
                <c:pt idx="0">
                  <c:v>4049</c:v>
                </c:pt>
                <c:pt idx="1">
                  <c:v>3035</c:v>
                </c:pt>
                <c:pt idx="2">
                  <c:v>2741</c:v>
                </c:pt>
                <c:pt idx="3">
                  <c:v>2510</c:v>
                </c:pt>
                <c:pt idx="4">
                  <c:v>2454</c:v>
                </c:pt>
                <c:pt idx="5">
                  <c:v>2339</c:v>
                </c:pt>
                <c:pt idx="6">
                  <c:v>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607368592"/>
        <c:axId val="607367936"/>
      </c:barChart>
      <c:lineChart>
        <c:grouping val="standard"/>
        <c:varyColors val="0"/>
        <c:ser>
          <c:idx val="1"/>
          <c:order val="1"/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Sheet1!$A$2:$A$8</c:f>
              <c:strCache>
                <c:ptCount val="7"/>
                <c:pt idx="0">
                  <c:v>Year-1</c:v>
                </c:pt>
                <c:pt idx="1">
                  <c:v>Year-2</c:v>
                </c:pt>
                <c:pt idx="2">
                  <c:v>Year-3</c:v>
                </c:pt>
                <c:pt idx="3">
                  <c:v>Year-4</c:v>
                </c:pt>
                <c:pt idx="4">
                  <c:v>Year-5</c:v>
                </c:pt>
                <c:pt idx="5">
                  <c:v>Year-6</c:v>
                </c:pt>
                <c:pt idx="6">
                  <c:v>Year-7</c:v>
                </c:pt>
              </c:strCache>
            </c:strRef>
          </c:cat>
          <c:val>
            <c:numRef>
              <c:f>Sheet1!$C$2:$C$8</c:f>
              <c:numCache>
                <c:formatCode>General</c:formatCode>
                <c:ptCount val="7"/>
                <c:pt idx="0">
                  <c:v>0</c:v>
                </c:pt>
                <c:pt idx="1">
                  <c:v>0.25043220548283529</c:v>
                </c:pt>
                <c:pt idx="2">
                  <c:v>0.32304272659916033</c:v>
                </c:pt>
                <c:pt idx="3">
                  <c:v>0.38009385033341569</c:v>
                </c:pt>
                <c:pt idx="4">
                  <c:v>0.39392442578414422</c:v>
                </c:pt>
                <c:pt idx="5">
                  <c:v>0.42232650037046182</c:v>
                </c:pt>
                <c:pt idx="6">
                  <c:v>0.49567794517164732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5-4B25-BDBB-4162F294EC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823104"/>
        <c:axId val="615641136"/>
      </c:lineChart>
      <c:catAx>
        <c:axId val="607368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7936"/>
        <c:crosses val="autoZero"/>
        <c:auto val="1"/>
        <c:lblAlgn val="ctr"/>
        <c:lblOffset val="100"/>
        <c:noMultiLvlLbl val="0"/>
      </c:catAx>
      <c:valAx>
        <c:axId val="60736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368592"/>
        <c:crosses val="autoZero"/>
        <c:crossBetween val="between"/>
      </c:valAx>
      <c:valAx>
        <c:axId val="61564113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7823104"/>
        <c:crosses val="max"/>
        <c:crossBetween val="between"/>
      </c:valAx>
      <c:catAx>
        <c:axId val="607823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56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7302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A47-49A5-8A47-28C43990E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5452704"/>
        <c:axId val="595452312"/>
      </c:scatterChart>
      <c:valAx>
        <c:axId val="595452704"/>
        <c:scaling>
          <c:orientation val="minMax"/>
          <c:max val="6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312"/>
        <c:crosses val="autoZero"/>
        <c:crossBetween val="midCat"/>
        <c:majorUnit val="1"/>
      </c:valAx>
      <c:valAx>
        <c:axId val="5954523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95452704"/>
        <c:crosses val="autoZero"/>
        <c:crossBetween val="midCat"/>
        <c:majorUnit val="0.16666666000000002"/>
      </c:valAx>
      <c:spPr>
        <a:noFill/>
        <a:ln w="698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'1.In-Out-HC'!$B$32</c:f>
          <c:strCache>
            <c:ptCount val="1"/>
            <c:pt idx="0">
              <c:v>95%CI: 6.8, 7.7, 8.6; 3.2, 3.5, 3.8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'1.In-Out-HC'!$N$3</c:f>
              <c:strCache>
                <c:ptCount val="1"/>
                <c:pt idx="0">
                  <c:v>TtGF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'1.In-Out-HC'!$N$4:$N$19</c:f>
              <c:numCache>
                <c:formatCode>0.0</c:formatCode>
                <c:ptCount val="16"/>
                <c:pt idx="0">
                  <c:v>9.7467248908296948</c:v>
                </c:pt>
                <c:pt idx="1">
                  <c:v>10.451754385964913</c:v>
                </c:pt>
                <c:pt idx="2">
                  <c:v>8.09967845659164</c:v>
                </c:pt>
                <c:pt idx="3">
                  <c:v>8.3606557377049189</c:v>
                </c:pt>
                <c:pt idx="4">
                  <c:v>8.3455657492354742</c:v>
                </c:pt>
                <c:pt idx="5">
                  <c:v>8.8179104477611947</c:v>
                </c:pt>
                <c:pt idx="6">
                  <c:v>7.656488549618321</c:v>
                </c:pt>
                <c:pt idx="7">
                  <c:v>7.3510895883777243</c:v>
                </c:pt>
                <c:pt idx="8">
                  <c:v>6.355294117647059</c:v>
                </c:pt>
                <c:pt idx="9">
                  <c:v>6.626829268292683</c:v>
                </c:pt>
                <c:pt idx="10">
                  <c:v>6.1467268623024829</c:v>
                </c:pt>
                <c:pt idx="11">
                  <c:v>7.044270833333333</c:v>
                </c:pt>
                <c:pt idx="12">
                  <c:v>6.8194444444444446</c:v>
                </c:pt>
                <c:pt idx="13">
                  <c:v>8.1820448877805489</c:v>
                </c:pt>
                <c:pt idx="14">
                  <c:v>6.6564299424184261</c:v>
                </c:pt>
                <c:pt idx="15">
                  <c:v>6.6104651162790695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1-4E62-ACE7-B4BF397A99E9}"/>
            </c:ext>
          </c:extLst>
        </c:ser>
        <c:ser>
          <c:idx val="1"/>
          <c:order val="1"/>
          <c:tx>
            <c:strRef>
              <c:f>'1.In-Out-HC'!$O$3</c:f>
              <c:strCache>
                <c:ptCount val="1"/>
                <c:pt idx="0">
                  <c:v>TtGT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'1.In-Out-HC'!$O$4:$O$19</c:f>
              <c:numCache>
                <c:formatCode>0.0</c:formatCode>
                <c:ptCount val="16"/>
                <c:pt idx="0">
                  <c:v>4.4064837905236907</c:v>
                </c:pt>
                <c:pt idx="1">
                  <c:v>4.0993071593533488</c:v>
                </c:pt>
                <c:pt idx="2">
                  <c:v>3.6069546891464701</c:v>
                </c:pt>
                <c:pt idx="3">
                  <c:v>3.219361483007209</c:v>
                </c:pt>
                <c:pt idx="4">
                  <c:v>3.4430128840436076</c:v>
                </c:pt>
                <c:pt idx="5">
                  <c:v>3.7378542510121457</c:v>
                </c:pt>
                <c:pt idx="6">
                  <c:v>3.5422602089268755</c:v>
                </c:pt>
                <c:pt idx="7">
                  <c:v>3.24955595026643</c:v>
                </c:pt>
                <c:pt idx="8">
                  <c:v>3.395049504950495</c:v>
                </c:pt>
                <c:pt idx="9">
                  <c:v>3.2902240325865582</c:v>
                </c:pt>
                <c:pt idx="10">
                  <c:v>3.0294676806083651</c:v>
                </c:pt>
                <c:pt idx="11">
                  <c:v>3.0977366255144032</c:v>
                </c:pt>
                <c:pt idx="12">
                  <c:v>3.0280280280280278</c:v>
                </c:pt>
                <c:pt idx="13">
                  <c:v>3.5925507900677203</c:v>
                </c:pt>
                <c:pt idx="14">
                  <c:v>4.2836185819070902</c:v>
                </c:pt>
                <c:pt idx="15">
                  <c:v>3.4463220675944335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D1-4E62-ACE7-B4BF397A99E9}"/>
            </c:ext>
          </c:extLst>
        </c:ser>
        <c:ser>
          <c:idx val="2"/>
          <c:order val="2"/>
          <c:tx>
            <c:strRef>
              <c:f>'1.In-Out-HC'!$Q$3</c:f>
              <c:strCache>
                <c:ptCount val="1"/>
                <c:pt idx="0">
                  <c:v>LCLTtGF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'1.In-Out-HC'!$Q$4:$Q$19</c:f>
              <c:numCache>
                <c:formatCode>0.0</c:formatCode>
                <c:ptCount val="16"/>
                <c:pt idx="0">
                  <c:v>6.7831650848784832</c:v>
                </c:pt>
                <c:pt idx="1">
                  <c:v>6.7831650848784832</c:v>
                </c:pt>
                <c:pt idx="2">
                  <c:v>6.7831650848784832</c:v>
                </c:pt>
                <c:pt idx="3">
                  <c:v>6.7831650848784832</c:v>
                </c:pt>
                <c:pt idx="4">
                  <c:v>6.7831650848784832</c:v>
                </c:pt>
                <c:pt idx="5">
                  <c:v>6.7831650848784832</c:v>
                </c:pt>
                <c:pt idx="6">
                  <c:v>6.7831650848784832</c:v>
                </c:pt>
                <c:pt idx="7">
                  <c:v>6.7831650848784832</c:v>
                </c:pt>
                <c:pt idx="8">
                  <c:v>6.7831650848784832</c:v>
                </c:pt>
                <c:pt idx="9">
                  <c:v>6.7831650848784832</c:v>
                </c:pt>
                <c:pt idx="10">
                  <c:v>6.7831650848784832</c:v>
                </c:pt>
                <c:pt idx="11">
                  <c:v>6.7831650848784832</c:v>
                </c:pt>
                <c:pt idx="12">
                  <c:v>6.7831650848784832</c:v>
                </c:pt>
                <c:pt idx="13">
                  <c:v>6.7831650848784832</c:v>
                </c:pt>
                <c:pt idx="14">
                  <c:v>6.7831650848784832</c:v>
                </c:pt>
                <c:pt idx="15">
                  <c:v>6.7831650848784832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1-4E62-ACE7-B4BF397A99E9}"/>
            </c:ext>
          </c:extLst>
        </c:ser>
        <c:ser>
          <c:idx val="3"/>
          <c:order val="3"/>
          <c:tx>
            <c:strRef>
              <c:f>'1.In-Out-HC'!$R$3</c:f>
              <c:strCache>
                <c:ptCount val="1"/>
                <c:pt idx="0">
                  <c:v>UCLTtGF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'1.In-Out-HC'!$R$4:$R$19</c:f>
              <c:numCache>
                <c:formatCode>0.0</c:formatCode>
                <c:ptCount val="16"/>
                <c:pt idx="0">
                  <c:v>8.6168349151215171</c:v>
                </c:pt>
                <c:pt idx="1">
                  <c:v>8.6168349151215171</c:v>
                </c:pt>
                <c:pt idx="2">
                  <c:v>8.6168349151215171</c:v>
                </c:pt>
                <c:pt idx="3">
                  <c:v>8.6168349151215171</c:v>
                </c:pt>
                <c:pt idx="4">
                  <c:v>8.6168349151215171</c:v>
                </c:pt>
                <c:pt idx="5">
                  <c:v>8.6168349151215171</c:v>
                </c:pt>
                <c:pt idx="6">
                  <c:v>8.6168349151215171</c:v>
                </c:pt>
                <c:pt idx="7">
                  <c:v>8.6168349151215171</c:v>
                </c:pt>
                <c:pt idx="8">
                  <c:v>8.6168349151215171</c:v>
                </c:pt>
                <c:pt idx="9">
                  <c:v>8.6168349151215171</c:v>
                </c:pt>
                <c:pt idx="10">
                  <c:v>8.6168349151215171</c:v>
                </c:pt>
                <c:pt idx="11">
                  <c:v>8.6168349151215171</c:v>
                </c:pt>
                <c:pt idx="12">
                  <c:v>8.6168349151215171</c:v>
                </c:pt>
                <c:pt idx="13">
                  <c:v>8.6168349151215171</c:v>
                </c:pt>
                <c:pt idx="14">
                  <c:v>8.6168349151215171</c:v>
                </c:pt>
                <c:pt idx="15">
                  <c:v>8.6168349151215171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D1-4E62-ACE7-B4BF397A99E9}"/>
            </c:ext>
          </c:extLst>
        </c:ser>
        <c:ser>
          <c:idx val="5"/>
          <c:order val="4"/>
          <c:tx>
            <c:strRef>
              <c:f>'1.In-Out-HC'!$S$3</c:f>
              <c:strCache>
                <c:ptCount val="1"/>
                <c:pt idx="0">
                  <c:v>LCLTtGT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'1.In-Out-HC'!$S$4:$S$19</c:f>
              <c:numCache>
                <c:formatCode>0.0</c:formatCode>
                <c:ptCount val="16"/>
                <c:pt idx="0">
                  <c:v>3.1892980035752068</c:v>
                </c:pt>
                <c:pt idx="1">
                  <c:v>3.1892980035752068</c:v>
                </c:pt>
                <c:pt idx="2">
                  <c:v>3.1892980035752068</c:v>
                </c:pt>
                <c:pt idx="3">
                  <c:v>3.1892980035752068</c:v>
                </c:pt>
                <c:pt idx="4">
                  <c:v>3.1892980035752068</c:v>
                </c:pt>
                <c:pt idx="5">
                  <c:v>3.1892980035752068</c:v>
                </c:pt>
                <c:pt idx="6">
                  <c:v>3.1892980035752068</c:v>
                </c:pt>
                <c:pt idx="7">
                  <c:v>3.1892980035752068</c:v>
                </c:pt>
                <c:pt idx="8">
                  <c:v>3.1892980035752068</c:v>
                </c:pt>
                <c:pt idx="9">
                  <c:v>3.1892980035752068</c:v>
                </c:pt>
                <c:pt idx="10">
                  <c:v>3.1892980035752068</c:v>
                </c:pt>
                <c:pt idx="11">
                  <c:v>3.1892980035752068</c:v>
                </c:pt>
                <c:pt idx="12">
                  <c:v>3.1892980035752068</c:v>
                </c:pt>
                <c:pt idx="13">
                  <c:v>3.1892980035752068</c:v>
                </c:pt>
                <c:pt idx="14">
                  <c:v>3.1892980035752068</c:v>
                </c:pt>
                <c:pt idx="15">
                  <c:v>3.1892980035752068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D1-4E62-ACE7-B4BF397A99E9}"/>
            </c:ext>
          </c:extLst>
        </c:ser>
        <c:ser>
          <c:idx val="6"/>
          <c:order val="5"/>
          <c:tx>
            <c:strRef>
              <c:f>'1.In-Out-HC'!$T$3</c:f>
              <c:strCache>
                <c:ptCount val="1"/>
                <c:pt idx="0">
                  <c:v>UCLTtGT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'1.In-Out-HC'!$T$4:$T$19</c:f>
              <c:numCache>
                <c:formatCode>0.0</c:formatCode>
                <c:ptCount val="16"/>
                <c:pt idx="0">
                  <c:v>3.8107019964247932</c:v>
                </c:pt>
                <c:pt idx="1">
                  <c:v>3.8107019964247932</c:v>
                </c:pt>
                <c:pt idx="2">
                  <c:v>3.8107019964247932</c:v>
                </c:pt>
                <c:pt idx="3">
                  <c:v>3.8107019964247932</c:v>
                </c:pt>
                <c:pt idx="4">
                  <c:v>3.8107019964247932</c:v>
                </c:pt>
                <c:pt idx="5">
                  <c:v>3.8107019964247932</c:v>
                </c:pt>
                <c:pt idx="6">
                  <c:v>3.8107019964247932</c:v>
                </c:pt>
                <c:pt idx="7">
                  <c:v>3.8107019964247932</c:v>
                </c:pt>
                <c:pt idx="8">
                  <c:v>3.8107019964247932</c:v>
                </c:pt>
                <c:pt idx="9">
                  <c:v>3.8107019964247932</c:v>
                </c:pt>
                <c:pt idx="10">
                  <c:v>3.8107019964247932</c:v>
                </c:pt>
                <c:pt idx="11">
                  <c:v>3.8107019964247932</c:v>
                </c:pt>
                <c:pt idx="12">
                  <c:v>3.8107019964247932</c:v>
                </c:pt>
                <c:pt idx="13">
                  <c:v>3.8107019964247932</c:v>
                </c:pt>
                <c:pt idx="14">
                  <c:v>3.8107019964247932</c:v>
                </c:pt>
                <c:pt idx="15">
                  <c:v>3.8107019964247932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D1-4E62-ACE7-B4BF397A9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753968"/>
        <c:axId val="355754952"/>
      </c:lineChart>
      <c:catAx>
        <c:axId val="355753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4952"/>
        <c:crosses val="autoZero"/>
        <c:auto val="1"/>
        <c:lblAlgn val="ctr"/>
        <c:lblOffset val="100"/>
        <c:noMultiLvlLbl val="0"/>
      </c:catAx>
      <c:valAx>
        <c:axId val="355754952"/>
        <c:scaling>
          <c:orientation val="minMax"/>
          <c:max val="11"/>
          <c:min val="2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55753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StanfordCSUN!$I$2:$I$7</c:f>
              <c:numCache>
                <c:formatCode>0.00</c:formatCode>
                <c:ptCount val="6"/>
                <c:pt idx="0">
                  <c:v>1</c:v>
                </c:pt>
                <c:pt idx="1">
                  <c:v>0.5</c:v>
                </c:pt>
                <c:pt idx="2">
                  <c:v>0.33333333333333331</c:v>
                </c:pt>
                <c:pt idx="3">
                  <c:v>0.25</c:v>
                </c:pt>
                <c:pt idx="4">
                  <c:v>0.2</c:v>
                </c:pt>
                <c:pt idx="5">
                  <c:v>0.16666666666666666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7B-4FF8-A497-7594E74AC7E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StanfordCSUN!$J$2:$J$7</c:f>
              <c:numCache>
                <c:formatCode>General</c:formatCode>
                <c:ptCount val="6"/>
                <c:pt idx="0">
                  <c:v>1.5</c:v>
                </c:pt>
                <c:pt idx="1">
                  <c:v>0.75</c:v>
                </c:pt>
                <c:pt idx="2">
                  <c:v>0.5</c:v>
                </c:pt>
                <c:pt idx="3">
                  <c:v>0.375</c:v>
                </c:pt>
                <c:pt idx="4">
                  <c:v>0.30000000000000004</c:v>
                </c:pt>
                <c:pt idx="5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7B-4FF8-A497-7594E74AC7E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StanfordCSUN!$K$2:$K$7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0.66666666666666663</c:v>
                </c:pt>
                <c:pt idx="3">
                  <c:v>0.5</c:v>
                </c:pt>
                <c:pt idx="4">
                  <c:v>0.4</c:v>
                </c:pt>
                <c:pt idx="5">
                  <c:v>0.33333333333333331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7B-4FF8-A497-7594E74AC7E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StanfordCSUN!$H$2:$H$7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</c:numCache>
            </c:numRef>
          </c:xVal>
          <c:yVal>
            <c:numRef>
              <c:f>StanfordCSUN!$L$2:$L$7</c:f>
              <c:numCache>
                <c:formatCode>General</c:formatCode>
                <c:ptCount val="6"/>
                <c:pt idx="0">
                  <c:v>3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0.60000000000000009</c:v>
                </c:pt>
                <c:pt idx="5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7B-4FF8-A497-7594E74A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8393480"/>
        <c:axId val="604043304"/>
      </c:scatterChart>
      <c:valAx>
        <c:axId val="418393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043304"/>
        <c:crosses val="autoZero"/>
        <c:crossBetween val="midCat"/>
      </c:valAx>
      <c:valAx>
        <c:axId val="6040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393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'1.In-Out-HC'!$B$33</c:f>
          <c:strCache>
            <c:ptCount val="1"/>
            <c:pt idx="0">
              <c:v>Increase in Freshmen Population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'1.In-Out-HC'!$V$3</c:f>
              <c:strCache>
                <c:ptCount val="1"/>
                <c:pt idx="0">
                  <c:v>IN-F/IN-T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'1.In-Out-HC'!$V$4:$V$19</c:f>
              <c:numCache>
                <c:formatCode>#,##0.00</c:formatCode>
                <c:ptCount val="16"/>
                <c:pt idx="0">
                  <c:v>0.62343572241183165</c:v>
                </c:pt>
                <c:pt idx="1">
                  <c:v>0.76078431372549016</c:v>
                </c:pt>
                <c:pt idx="2">
                  <c:v>0.83066666666666666</c:v>
                </c:pt>
                <c:pt idx="3">
                  <c:v>0.75599435825105787</c:v>
                </c:pt>
                <c:pt idx="4">
                  <c:v>0.66767983789260388</c:v>
                </c:pt>
                <c:pt idx="5">
                  <c:v>0.6556420233463035</c:v>
                </c:pt>
                <c:pt idx="6">
                  <c:v>0.67274472168905952</c:v>
                </c:pt>
                <c:pt idx="7">
                  <c:v>0.84598930481283419</c:v>
                </c:pt>
                <c:pt idx="8">
                  <c:v>0.6652452025586354</c:v>
                </c:pt>
                <c:pt idx="9">
                  <c:v>0.648876404494382</c:v>
                </c:pt>
                <c:pt idx="10">
                  <c:v>0.61398728428701177</c:v>
                </c:pt>
                <c:pt idx="11">
                  <c:v>0.64775413711583929</c:v>
                </c:pt>
                <c:pt idx="12">
                  <c:v>0.63815226689478188</c:v>
                </c:pt>
                <c:pt idx="13">
                  <c:v>0.61424100156494521</c:v>
                </c:pt>
                <c:pt idx="14">
                  <c:v>0.59005275056518458</c:v>
                </c:pt>
                <c:pt idx="15">
                  <c:v>0.56644674835061259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84-4022-A1A6-4FC82555A2A4}"/>
            </c:ext>
          </c:extLst>
        </c:ser>
        <c:ser>
          <c:idx val="1"/>
          <c:order val="1"/>
          <c:tx>
            <c:strRef>
              <c:f>'1.In-Out-HC'!$W$3</c:f>
              <c:strCache>
                <c:ptCount val="1"/>
                <c:pt idx="0">
                  <c:v>HC-F/HC-T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trendline>
            <c:spPr>
              <a:ln w="34925" cap="rnd">
                <a:solidFill>
                  <a:srgbClr val="C0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'1.In-Out-HC'!$W$4:$W$19</c:f>
              <c:numCache>
                <c:formatCode>#,##0.00</c:formatCode>
                <c:ptCount val="16"/>
                <c:pt idx="0">
                  <c:v>0.63157894736842102</c:v>
                </c:pt>
                <c:pt idx="1">
                  <c:v>0.67126760563380283</c:v>
                </c:pt>
                <c:pt idx="2">
                  <c:v>0.73590417762196902</c:v>
                </c:pt>
                <c:pt idx="3">
                  <c:v>0.81573896353166986</c:v>
                </c:pt>
                <c:pt idx="4">
                  <c:v>0.78554979850316642</c:v>
                </c:pt>
                <c:pt idx="5">
                  <c:v>0.79989168697535884</c:v>
                </c:pt>
                <c:pt idx="6">
                  <c:v>0.80670241286863276</c:v>
                </c:pt>
                <c:pt idx="7">
                  <c:v>0.82973490024596885</c:v>
                </c:pt>
                <c:pt idx="8">
                  <c:v>0.78769320501603968</c:v>
                </c:pt>
                <c:pt idx="9">
                  <c:v>0.84091612503868773</c:v>
                </c:pt>
                <c:pt idx="10">
                  <c:v>0.85440853467210542</c:v>
                </c:pt>
                <c:pt idx="11">
                  <c:v>0.89837263367651943</c:v>
                </c:pt>
                <c:pt idx="12">
                  <c:v>0.97388429752066119</c:v>
                </c:pt>
                <c:pt idx="13">
                  <c:v>1.0307885642475652</c:v>
                </c:pt>
                <c:pt idx="14">
                  <c:v>0.98972602739726023</c:v>
                </c:pt>
                <c:pt idx="15">
                  <c:v>0.98384770695125467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84-4022-A1A6-4FC82555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89424"/>
        <c:axId val="441106056"/>
      </c:lineChart>
      <c:catAx>
        <c:axId val="44638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1106056"/>
        <c:crosses val="autoZero"/>
        <c:auto val="1"/>
        <c:lblAlgn val="ctr"/>
        <c:lblOffset val="100"/>
        <c:noMultiLvlLbl val="0"/>
      </c:catAx>
      <c:valAx>
        <c:axId val="441106056"/>
        <c:scaling>
          <c:orientation val="minMax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95000"/>
                    <a:lumOff val="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44638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>
              <a:lumMod val="95000"/>
              <a:lumOff val="5000"/>
            </a:schemeClr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r>
              <a:rPr lang="en-US"/>
              <a:t>6-Period Moving Average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'1.In-Out-HC'!$D$3</c:f>
              <c:strCache>
                <c:ptCount val="1"/>
                <c:pt idx="0">
                  <c:v>IN-FTA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'1.In-Out-HC'!$D$4:$D$19</c:f>
              <c:numCache>
                <c:formatCode>#,##0</c:formatCode>
                <c:ptCount val="16"/>
                <c:pt idx="0">
                  <c:v>1427</c:v>
                </c:pt>
                <c:pt idx="1">
                  <c:v>1347</c:v>
                </c:pt>
                <c:pt idx="2">
                  <c:v>1373</c:v>
                </c:pt>
                <c:pt idx="3">
                  <c:v>1245</c:v>
                </c:pt>
                <c:pt idx="4">
                  <c:v>1646</c:v>
                </c:pt>
                <c:pt idx="5">
                  <c:v>1702</c:v>
                </c:pt>
                <c:pt idx="6">
                  <c:v>1743</c:v>
                </c:pt>
                <c:pt idx="7">
                  <c:v>1726</c:v>
                </c:pt>
                <c:pt idx="8">
                  <c:v>1562</c:v>
                </c:pt>
                <c:pt idx="9">
                  <c:v>1761</c:v>
                </c:pt>
                <c:pt idx="10">
                  <c:v>1777</c:v>
                </c:pt>
                <c:pt idx="11">
                  <c:v>1394</c:v>
                </c:pt>
                <c:pt idx="12">
                  <c:v>1915</c:v>
                </c:pt>
                <c:pt idx="13">
                  <c:v>2063</c:v>
                </c:pt>
                <c:pt idx="14">
                  <c:v>2110</c:v>
                </c:pt>
                <c:pt idx="15">
                  <c:v>1662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1-4104-BB14-3B8F8A802CCB}"/>
            </c:ext>
          </c:extLst>
        </c:ser>
        <c:ser>
          <c:idx val="2"/>
          <c:order val="1"/>
          <c:tx>
            <c:strRef>
              <c:f>'1.In-Out-HC'!$J$3</c:f>
              <c:strCache>
                <c:ptCount val="1"/>
                <c:pt idx="0">
                  <c:v>GR-A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'1.In-Out-HC'!$J$4:$J$19</c:f>
              <c:numCache>
                <c:formatCode>#,##0</c:formatCode>
                <c:ptCount val="16"/>
                <c:pt idx="0">
                  <c:v>1031</c:v>
                </c:pt>
                <c:pt idx="1">
                  <c:v>1094</c:v>
                </c:pt>
                <c:pt idx="2">
                  <c:v>1260</c:v>
                </c:pt>
                <c:pt idx="3">
                  <c:v>1276</c:v>
                </c:pt>
                <c:pt idx="4">
                  <c:v>1336</c:v>
                </c:pt>
                <c:pt idx="5">
                  <c:v>1323</c:v>
                </c:pt>
                <c:pt idx="6">
                  <c:v>1446</c:v>
                </c:pt>
                <c:pt idx="7">
                  <c:v>1539</c:v>
                </c:pt>
                <c:pt idx="8">
                  <c:v>1435</c:v>
                </c:pt>
                <c:pt idx="9">
                  <c:v>1392</c:v>
                </c:pt>
                <c:pt idx="10">
                  <c:v>1495</c:v>
                </c:pt>
                <c:pt idx="11">
                  <c:v>1356</c:v>
                </c:pt>
                <c:pt idx="12">
                  <c:v>1431</c:v>
                </c:pt>
                <c:pt idx="13">
                  <c:v>1287</c:v>
                </c:pt>
                <c:pt idx="14">
                  <c:v>1339</c:v>
                </c:pt>
                <c:pt idx="15">
                  <c:v>1522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1-4104-BB14-3B8F8A802CCB}"/>
            </c:ext>
          </c:extLst>
        </c:ser>
        <c:ser>
          <c:idx val="3"/>
          <c:order val="2"/>
          <c:tx>
            <c:strRef>
              <c:f>'1.In-Out-HC'!$M$3</c:f>
              <c:strCache>
                <c:ptCount val="1"/>
                <c:pt idx="0">
                  <c:v>DR-A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'1.In-Out-HC'!$M$4:$M$19</c:f>
              <c:numCache>
                <c:formatCode>#,##0</c:formatCode>
                <c:ptCount val="16"/>
                <c:pt idx="0" formatCode="General">
                  <c:v>0</c:v>
                </c:pt>
                <c:pt idx="1">
                  <c:v>86</c:v>
                </c:pt>
                <c:pt idx="2">
                  <c:v>104</c:v>
                </c:pt>
                <c:pt idx="3">
                  <c:v>235</c:v>
                </c:pt>
                <c:pt idx="4">
                  <c:v>-217</c:v>
                </c:pt>
                <c:pt idx="5">
                  <c:v>-65</c:v>
                </c:pt>
                <c:pt idx="6">
                  <c:v>205</c:v>
                </c:pt>
                <c:pt idx="7">
                  <c:v>231</c:v>
                </c:pt>
                <c:pt idx="8">
                  <c:v>692</c:v>
                </c:pt>
                <c:pt idx="9">
                  <c:v>551</c:v>
                </c:pt>
                <c:pt idx="10">
                  <c:v>320</c:v>
                </c:pt>
                <c:pt idx="11">
                  <c:v>232</c:v>
                </c:pt>
                <c:pt idx="12">
                  <c:v>229</c:v>
                </c:pt>
                <c:pt idx="13">
                  <c:v>283</c:v>
                </c:pt>
                <c:pt idx="14">
                  <c:v>263</c:v>
                </c:pt>
                <c:pt idx="1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1-4104-BB14-3B8F8A802CCB}"/>
            </c:ext>
          </c:extLst>
        </c:ser>
        <c:ser>
          <c:idx val="1"/>
          <c:order val="3"/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'1.In-Out-HC'!$X$4:$X$19</c:f>
              <c:numCache>
                <c:formatCode>#,##0.0</c:formatCode>
                <c:ptCount val="16"/>
                <c:pt idx="0">
                  <c:v>1427</c:v>
                </c:pt>
                <c:pt idx="1">
                  <c:v>1427</c:v>
                </c:pt>
                <c:pt idx="2">
                  <c:v>1403.8</c:v>
                </c:pt>
                <c:pt idx="3">
                  <c:v>1394.8679999999999</c:v>
                </c:pt>
                <c:pt idx="4">
                  <c:v>1351.4062799999997</c:v>
                </c:pt>
                <c:pt idx="5">
                  <c:v>1436.8384587999997</c:v>
                </c:pt>
                <c:pt idx="6">
                  <c:v>1513.7353057479997</c:v>
                </c:pt>
                <c:pt idx="7">
                  <c:v>1580.2220670810798</c:v>
                </c:pt>
                <c:pt idx="8">
                  <c:v>1622.4976676275664</c:v>
                </c:pt>
                <c:pt idx="9">
                  <c:v>1604.9533440155722</c:v>
                </c:pt>
                <c:pt idx="10">
                  <c:v>1650.206874251056</c:v>
                </c:pt>
                <c:pt idx="11">
                  <c:v>1686.9768807182495</c:v>
                </c:pt>
                <c:pt idx="12">
                  <c:v>1602.0135853099571</c:v>
                </c:pt>
                <c:pt idx="13">
                  <c:v>1692.7796455700693</c:v>
                </c:pt>
                <c:pt idx="14">
                  <c:v>1800.1435483547491</c:v>
                </c:pt>
                <c:pt idx="15">
                  <c:v>1890.0019193318717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1-4104-BB14-3B8F8A802CCB}"/>
            </c:ext>
          </c:extLst>
        </c:ser>
        <c:ser>
          <c:idx val="4"/>
          <c:order val="4"/>
          <c:spPr>
            <a:ln w="28575" cap="rnd">
              <a:solidFill>
                <a:srgbClr val="00206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'1.In-Out-HC'!$Y$4:$Y$19</c:f>
              <c:numCache>
                <c:formatCode>#,##0.0</c:formatCode>
                <c:ptCount val="16"/>
                <c:pt idx="0">
                  <c:v>1031</c:v>
                </c:pt>
                <c:pt idx="1">
                  <c:v>1031</c:v>
                </c:pt>
                <c:pt idx="2">
                  <c:v>1049.27</c:v>
                </c:pt>
                <c:pt idx="3">
                  <c:v>1110.3816999999999</c:v>
                </c:pt>
                <c:pt idx="4">
                  <c:v>1158.4110069999997</c:v>
                </c:pt>
                <c:pt idx="5">
                  <c:v>1209.9118149699998</c:v>
                </c:pt>
                <c:pt idx="6">
                  <c:v>1242.7073886286998</c:v>
                </c:pt>
                <c:pt idx="7">
                  <c:v>1301.6622459263767</c:v>
                </c:pt>
                <c:pt idx="8">
                  <c:v>1370.4901946077275</c:v>
                </c:pt>
                <c:pt idx="9">
                  <c:v>1389.1980381714866</c:v>
                </c:pt>
                <c:pt idx="10">
                  <c:v>1390.0106071017553</c:v>
                </c:pt>
                <c:pt idx="11">
                  <c:v>1420.457531042246</c:v>
                </c:pt>
                <c:pt idx="12">
                  <c:v>1401.7648470399945</c:v>
                </c:pt>
                <c:pt idx="13">
                  <c:v>1410.2430413983959</c:v>
                </c:pt>
                <c:pt idx="14">
                  <c:v>1374.502559392861</c:v>
                </c:pt>
                <c:pt idx="15">
                  <c:v>1364.2068171689311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1-4104-BB14-3B8F8A802CCB}"/>
            </c:ext>
          </c:extLst>
        </c:ser>
        <c:ser>
          <c:idx val="5"/>
          <c:order val="5"/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'1.In-Out-HC'!$A$4:$A$19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'1.In-Out-HC'!$Z$4:$Z$19</c:f>
              <c:numCache>
                <c:formatCode>#,##0.0</c:formatCode>
                <c:ptCount val="16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91.22</c:v>
                </c:pt>
                <c:pt idx="4">
                  <c:v>132.9162</c:v>
                </c:pt>
                <c:pt idx="5">
                  <c:v>31.440502000000009</c:v>
                </c:pt>
                <c:pt idx="6">
                  <c:v>3.4727564200000067</c:v>
                </c:pt>
                <c:pt idx="7">
                  <c:v>61.915657058199997</c:v>
                </c:pt>
                <c:pt idx="8">
                  <c:v>110.95011651132199</c:v>
                </c:pt>
                <c:pt idx="9">
                  <c:v>279.45458272303858</c:v>
                </c:pt>
                <c:pt idx="10">
                  <c:v>358.20275373335738</c:v>
                </c:pt>
                <c:pt idx="11">
                  <c:v>347.12395515068374</c:v>
                </c:pt>
                <c:pt idx="12">
                  <c:v>313.73800815698542</c:v>
                </c:pt>
                <c:pt idx="13">
                  <c:v>289.1639857914596</c:v>
                </c:pt>
                <c:pt idx="14">
                  <c:v>287.37642991193627</c:v>
                </c:pt>
                <c:pt idx="15">
                  <c:v>280.30726523747472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1-4104-BB14-3B8F8A802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8968520"/>
        <c:axId val="348972456"/>
      </c:lineChart>
      <c:catAx>
        <c:axId val="348968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72456"/>
        <c:crossesAt val="-1000"/>
        <c:auto val="1"/>
        <c:lblAlgn val="ctr"/>
        <c:lblOffset val="100"/>
        <c:noMultiLvlLbl val="0"/>
      </c:catAx>
      <c:valAx>
        <c:axId val="348972456"/>
        <c:scaling>
          <c:orientation val="minMax"/>
          <c:max val="2500"/>
          <c:min val="-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348968520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'2. FTE'!$A$26</c:f>
          <c:strCache>
            <c:ptCount val="1"/>
            <c:pt idx="0">
              <c:v>Averages: 0.89, 0.74, 0.83, 0.72, 0.78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 FTE'!$H$3</c:f>
              <c:strCache>
                <c:ptCount val="1"/>
                <c:pt idx="0">
                  <c:v>In-F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FTE'!$H$4:$H$19</c:f>
              <c:numCache>
                <c:formatCode>General</c:formatCode>
                <c:ptCount val="16"/>
                <c:pt idx="0">
                  <c:v>0.89653284671532851</c:v>
                </c:pt>
                <c:pt idx="1">
                  <c:v>0.88573883161512024</c:v>
                </c:pt>
                <c:pt idx="2">
                  <c:v>0.90272873194221503</c:v>
                </c:pt>
                <c:pt idx="3">
                  <c:v>0.87929104477611941</c:v>
                </c:pt>
                <c:pt idx="4">
                  <c:v>0.88391502276176026</c:v>
                </c:pt>
                <c:pt idx="5">
                  <c:v>0.90934718100890199</c:v>
                </c:pt>
                <c:pt idx="6">
                  <c:v>0.90827389443651929</c:v>
                </c:pt>
                <c:pt idx="7">
                  <c:v>0.87458912768647279</c:v>
                </c:pt>
                <c:pt idx="8">
                  <c:v>0.87387820512820502</c:v>
                </c:pt>
                <c:pt idx="9">
                  <c:v>0.89163059163059155</c:v>
                </c:pt>
                <c:pt idx="10">
                  <c:v>0.90414201183431964</c:v>
                </c:pt>
                <c:pt idx="11">
                  <c:v>0.90656934306569348</c:v>
                </c:pt>
                <c:pt idx="12">
                  <c:v>0.89611260053619302</c:v>
                </c:pt>
                <c:pt idx="13">
                  <c:v>0.89261146496815291</c:v>
                </c:pt>
                <c:pt idx="14">
                  <c:v>0.90383141762452113</c:v>
                </c:pt>
                <c:pt idx="15">
                  <c:v>0.90465890183028297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99-43AB-9DE6-92098D9F5AB8}"/>
            </c:ext>
          </c:extLst>
        </c:ser>
        <c:ser>
          <c:idx val="1"/>
          <c:order val="1"/>
          <c:tx>
            <c:strRef>
              <c:f>'2. FTE'!$I$3</c:f>
              <c:strCache>
                <c:ptCount val="1"/>
                <c:pt idx="0">
                  <c:v>In-T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FTE'!$I$4:$I$19</c:f>
              <c:numCache>
                <c:formatCode>General</c:formatCode>
                <c:ptCount val="16"/>
                <c:pt idx="0">
                  <c:v>0.73219567690557452</c:v>
                </c:pt>
                <c:pt idx="1">
                  <c:v>0.73790849673202619</c:v>
                </c:pt>
                <c:pt idx="2">
                  <c:v>0.71933333333333338</c:v>
                </c:pt>
                <c:pt idx="3">
                  <c:v>0.71988716502115657</c:v>
                </c:pt>
                <c:pt idx="4">
                  <c:v>0.75055724417426539</c:v>
                </c:pt>
                <c:pt idx="5">
                  <c:v>0.72587548638132304</c:v>
                </c:pt>
                <c:pt idx="6">
                  <c:v>0.73944337811900196</c:v>
                </c:pt>
                <c:pt idx="7">
                  <c:v>0.738716577540107</c:v>
                </c:pt>
                <c:pt idx="8">
                  <c:v>0.70501066098081022</c:v>
                </c:pt>
                <c:pt idx="9">
                  <c:v>0.7318352059925094</c:v>
                </c:pt>
                <c:pt idx="10">
                  <c:v>0.7495004541326068</c:v>
                </c:pt>
                <c:pt idx="11">
                  <c:v>0.75874704491725764</c:v>
                </c:pt>
                <c:pt idx="12">
                  <c:v>0.76809238665526092</c:v>
                </c:pt>
                <c:pt idx="13">
                  <c:v>0.74553990610328635</c:v>
                </c:pt>
                <c:pt idx="14">
                  <c:v>0.72471740768651094</c:v>
                </c:pt>
                <c:pt idx="15">
                  <c:v>0.74571159283694632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99-43AB-9DE6-92098D9F5AB8}"/>
            </c:ext>
          </c:extLst>
        </c:ser>
        <c:ser>
          <c:idx val="2"/>
          <c:order val="2"/>
          <c:tx>
            <c:strRef>
              <c:f>'2. FTE'!$J$3</c:f>
              <c:strCache>
                <c:ptCount val="1"/>
                <c:pt idx="0">
                  <c:v>Inv-Net-F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FTE'!$J$4:$J$19</c:f>
              <c:numCache>
                <c:formatCode>General</c:formatCode>
                <c:ptCount val="16"/>
                <c:pt idx="0">
                  <c:v>0.83598574821852734</c:v>
                </c:pt>
                <c:pt idx="1">
                  <c:v>0.82343142698500837</c:v>
                </c:pt>
                <c:pt idx="2">
                  <c:v>0.82004219409282686</c:v>
                </c:pt>
                <c:pt idx="3">
                  <c:v>0.81400198609731866</c:v>
                </c:pt>
                <c:pt idx="4">
                  <c:v>0.83275362318840584</c:v>
                </c:pt>
                <c:pt idx="5">
                  <c:v>0.81807017543859639</c:v>
                </c:pt>
                <c:pt idx="6">
                  <c:v>0.81325823223570182</c:v>
                </c:pt>
                <c:pt idx="7">
                  <c:v>0.82276169265033416</c:v>
                </c:pt>
                <c:pt idx="8">
                  <c:v>0.81463649494463175</c:v>
                </c:pt>
                <c:pt idx="9">
                  <c:v>0.80543478260869561</c:v>
                </c:pt>
                <c:pt idx="10">
                  <c:v>0.8497801660967268</c:v>
                </c:pt>
                <c:pt idx="11">
                  <c:v>0.84714881780250351</c:v>
                </c:pt>
                <c:pt idx="12">
                  <c:v>0.86459090909090908</c:v>
                </c:pt>
                <c:pt idx="13">
                  <c:v>0.85464743589743586</c:v>
                </c:pt>
                <c:pt idx="14">
                  <c:v>0.84648044692737434</c:v>
                </c:pt>
                <c:pt idx="15">
                  <c:v>0.85056939501779372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99-43AB-9DE6-92098D9F5AB8}"/>
            </c:ext>
          </c:extLst>
        </c:ser>
        <c:ser>
          <c:idx val="3"/>
          <c:order val="3"/>
          <c:tx>
            <c:strRef>
              <c:f>'2. FTE'!$K$3</c:f>
              <c:strCache>
                <c:ptCount val="1"/>
                <c:pt idx="0">
                  <c:v>Inv-Net-T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4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FTE'!$K$4:$K$19</c:f>
              <c:numCache>
                <c:formatCode>General</c:formatCode>
                <c:ptCount val="16"/>
                <c:pt idx="0">
                  <c:v>0.69231638418079089</c:v>
                </c:pt>
                <c:pt idx="1">
                  <c:v>0.68093357271095156</c:v>
                </c:pt>
                <c:pt idx="2">
                  <c:v>0.67789001122334458</c:v>
                </c:pt>
                <c:pt idx="3">
                  <c:v>0.67592056268100942</c:v>
                </c:pt>
                <c:pt idx="4">
                  <c:v>0.70860474467229595</c:v>
                </c:pt>
                <c:pt idx="5">
                  <c:v>0.69099437148217624</c:v>
                </c:pt>
                <c:pt idx="6">
                  <c:v>0.70636160714285712</c:v>
                </c:pt>
                <c:pt idx="7">
                  <c:v>0.72239353891336266</c:v>
                </c:pt>
                <c:pt idx="8">
                  <c:v>0.72484945804897638</c:v>
                </c:pt>
                <c:pt idx="9">
                  <c:v>0.70522422561257514</c:v>
                </c:pt>
                <c:pt idx="10">
                  <c:v>0.73859060402684562</c:v>
                </c:pt>
                <c:pt idx="11">
                  <c:v>0.75852193995381056</c:v>
                </c:pt>
                <c:pt idx="12">
                  <c:v>0.74057112068965514</c:v>
                </c:pt>
                <c:pt idx="13">
                  <c:v>0.73979002624671919</c:v>
                </c:pt>
                <c:pt idx="14">
                  <c:v>0.75264124942581523</c:v>
                </c:pt>
                <c:pt idx="15">
                  <c:v>0.74164588528678299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99-43AB-9DE6-92098D9F5AB8}"/>
            </c:ext>
          </c:extLst>
        </c:ser>
        <c:ser>
          <c:idx val="4"/>
          <c:order val="4"/>
          <c:tx>
            <c:strRef>
              <c:f>'2. FTE'!$L$3</c:f>
              <c:strCache>
                <c:ptCount val="1"/>
                <c:pt idx="0">
                  <c:v>Inv-Net-A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5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'2. FTE'!$A$4:$A$19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'2. FTE'!$L$4:$L$19</c:f>
              <c:numCache>
                <c:formatCode>General</c:formatCode>
                <c:ptCount val="16"/>
                <c:pt idx="0">
                  <c:v>0.75976413458203251</c:v>
                </c:pt>
                <c:pt idx="1">
                  <c:v>0.75162649587055441</c:v>
                </c:pt>
                <c:pt idx="2">
                  <c:v>0.75205318074722316</c:v>
                </c:pt>
                <c:pt idx="3">
                  <c:v>0.74961240310077504</c:v>
                </c:pt>
                <c:pt idx="4">
                  <c:v>0.77533451555698851</c:v>
                </c:pt>
                <c:pt idx="5">
                  <c:v>0.76211824883406032</c:v>
                </c:pt>
                <c:pt idx="6">
                  <c:v>0.76909036949102239</c:v>
                </c:pt>
                <c:pt idx="7">
                  <c:v>0.77631067961165046</c:v>
                </c:pt>
                <c:pt idx="8">
                  <c:v>0.76740619902120732</c:v>
                </c:pt>
                <c:pt idx="9">
                  <c:v>0.76582044384667125</c:v>
                </c:pt>
                <c:pt idx="10">
                  <c:v>0.79807106598984778</c:v>
                </c:pt>
                <c:pt idx="11">
                  <c:v>0.80619314205738279</c:v>
                </c:pt>
                <c:pt idx="12">
                  <c:v>0.81108692011388372</c:v>
                </c:pt>
                <c:pt idx="13">
                  <c:v>0.80383663366336633</c:v>
                </c:pt>
                <c:pt idx="14">
                  <c:v>0.80044463568559954</c:v>
                </c:pt>
                <c:pt idx="15">
                  <c:v>0.80101773771445184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99-43AB-9DE6-92098D9F5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513016"/>
        <c:axId val="437714592"/>
      </c:lineChart>
      <c:catAx>
        <c:axId val="428513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714592"/>
        <c:crosses val="autoZero"/>
        <c:auto val="1"/>
        <c:lblAlgn val="ctr"/>
        <c:lblOffset val="100"/>
        <c:noMultiLvlLbl val="0"/>
      </c:catAx>
      <c:valAx>
        <c:axId val="437714592"/>
        <c:scaling>
          <c:orientation val="minMax"/>
          <c:min val="0.65000000000000013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513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'3.SAT-GPA'!$B$22</c:f>
          <c:strCache>
            <c:ptCount val="1"/>
            <c:pt idx="0">
              <c:v>461/466, 487/507, 3.13/3.08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'3.SAT-GPA'!$I$3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'3.SAT-GPA'!$I$4:$I$19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0.94026503148277696</c:v>
                </c:pt>
                <c:pt idx="2">
                  <c:v>1.0816744186046512</c:v>
                </c:pt>
                <c:pt idx="3">
                  <c:v>1.032088100945231</c:v>
                </c:pt>
                <c:pt idx="4">
                  <c:v>0.98294059634471331</c:v>
                </c:pt>
                <c:pt idx="5">
                  <c:v>1.0129988243384132</c:v>
                </c:pt>
                <c:pt idx="6">
                  <c:v>0.99879010478556762</c:v>
                </c:pt>
                <c:pt idx="7">
                  <c:v>0.96108223656635083</c:v>
                </c:pt>
                <c:pt idx="8">
                  <c:v>1.0018584978210716</c:v>
                </c:pt>
                <c:pt idx="9">
                  <c:v>0.99693727892330264</c:v>
                </c:pt>
                <c:pt idx="10">
                  <c:v>0.98720397249809011</c:v>
                </c:pt>
                <c:pt idx="11">
                  <c:v>0.9546865301055244</c:v>
                </c:pt>
                <c:pt idx="12">
                  <c:v>0.99528576041330319</c:v>
                </c:pt>
                <c:pt idx="13">
                  <c:v>0.97353114726460421</c:v>
                </c:pt>
                <c:pt idx="14">
                  <c:v>0.98007942608250054</c:v>
                </c:pt>
                <c:pt idx="15">
                  <c:v>1.0051705170517051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E3-4765-B9F8-AE9AA30CA403}"/>
            </c:ext>
          </c:extLst>
        </c:ser>
        <c:ser>
          <c:idx val="1"/>
          <c:order val="1"/>
          <c:tx>
            <c:strRef>
              <c:f>'3.SAT-GPA'!$J$3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'3.SAT-GPA'!$J$4:$J$19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0.93042638228553032</c:v>
                </c:pt>
                <c:pt idx="2">
                  <c:v>1.0177684332034713</c:v>
                </c:pt>
                <c:pt idx="3">
                  <c:v>0.98949078438057803</c:v>
                </c:pt>
                <c:pt idx="4">
                  <c:v>0.96781631466770002</c:v>
                </c:pt>
                <c:pt idx="5">
                  <c:v>0.9678019577704069</c:v>
                </c:pt>
                <c:pt idx="6">
                  <c:v>0.97528952871159724</c:v>
                </c:pt>
                <c:pt idx="7">
                  <c:v>0.9316610169491526</c:v>
                </c:pt>
                <c:pt idx="8">
                  <c:v>0.9494023981558608</c:v>
                </c:pt>
                <c:pt idx="9">
                  <c:v>0.94606098127224891</c:v>
                </c:pt>
                <c:pt idx="10">
                  <c:v>0.99153908138597913</c:v>
                </c:pt>
                <c:pt idx="11">
                  <c:v>0.96604047661111436</c:v>
                </c:pt>
                <c:pt idx="12">
                  <c:v>0.98752405063291138</c:v>
                </c:pt>
                <c:pt idx="13">
                  <c:v>0.95246030190158792</c:v>
                </c:pt>
                <c:pt idx="14">
                  <c:v>0.93070856896855381</c:v>
                </c:pt>
                <c:pt idx="15">
                  <c:v>0.95607750549540016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765-B9F8-AE9AA30CA403}"/>
            </c:ext>
          </c:extLst>
        </c:ser>
        <c:ser>
          <c:idx val="2"/>
          <c:order val="2"/>
          <c:tx>
            <c:strRef>
              <c:f>'3.SAT-GPA'!$K$3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  <a:prstDash val="solid"/>
              </a:ln>
              <a:effectLst/>
            </c:spPr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'3.SAT-GPA'!$K$4:$K$19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0.98095238095238091</c:v>
                </c:pt>
                <c:pt idx="2">
                  <c:v>1.0064516129032257</c:v>
                </c:pt>
                <c:pt idx="3">
                  <c:v>1.033003300330033</c:v>
                </c:pt>
                <c:pt idx="4">
                  <c:v>1.0262295081967214</c:v>
                </c:pt>
                <c:pt idx="5">
                  <c:v>1.0369127516778522</c:v>
                </c:pt>
                <c:pt idx="6">
                  <c:v>1.03</c:v>
                </c:pt>
                <c:pt idx="7">
                  <c:v>1.0098360655737706</c:v>
                </c:pt>
                <c:pt idx="8">
                  <c:v>0.98422712933753953</c:v>
                </c:pt>
                <c:pt idx="9">
                  <c:v>1.0194174757281553</c:v>
                </c:pt>
                <c:pt idx="10">
                  <c:v>1.0225806451612902</c:v>
                </c:pt>
                <c:pt idx="11">
                  <c:v>1.0361842105263157</c:v>
                </c:pt>
                <c:pt idx="12">
                  <c:v>1.0427631578947367</c:v>
                </c:pt>
                <c:pt idx="13">
                  <c:v>1.0127388535031847</c:v>
                </c:pt>
                <c:pt idx="14">
                  <c:v>1.0031847133757961</c:v>
                </c:pt>
                <c:pt idx="15">
                  <c:v>1.0323624595469256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E3-4765-B9F8-AE9AA30CA403}"/>
            </c:ext>
          </c:extLst>
        </c:ser>
        <c:ser>
          <c:idx val="3"/>
          <c:order val="3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E3-4765-B9F8-AE9AA30CA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in val="0.9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'3.SAT-GPA'!$N$21</c:f>
          <c:strCache>
            <c:ptCount val="1"/>
            <c:pt idx="0">
              <c:v>6-P-MA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0"/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'3.SAT-GPA'!$L$4:$L$19</c:f>
              <c:numCache>
                <c:formatCode>General</c:formatCode>
                <c:ptCount val="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0-4572-9442-37F2E1907647}"/>
            </c:ext>
          </c:extLst>
        </c:ser>
        <c:ser>
          <c:idx val="4"/>
          <c:order val="1"/>
          <c:tx>
            <c:strRef>
              <c:f>'3.SAT-GPA'!$N$3</c:f>
              <c:strCache>
                <c:ptCount val="1"/>
                <c:pt idx="0">
                  <c:v>SATV(F/T)</c:v>
                </c:pt>
              </c:strCache>
            </c:strRef>
          </c:tx>
          <c:spPr>
            <a:ln w="28575" cap="rnd">
              <a:solidFill>
                <a:srgbClr val="00206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'3.SAT-GPA'!$N$4:$N$19</c:f>
              <c:numCache>
                <c:formatCode>General</c:formatCode>
                <c:ptCount val="16"/>
                <c:pt idx="0">
                  <c:v>0.94701986754966894</c:v>
                </c:pt>
                <c:pt idx="1">
                  <c:v>0.94701986754966883</c:v>
                </c:pt>
                <c:pt idx="2">
                  <c:v>0.94506096509027016</c:v>
                </c:pt>
                <c:pt idx="3">
                  <c:v>0.9846788666094406</c:v>
                </c:pt>
                <c:pt idx="4">
                  <c:v>0.99842754456681981</c:v>
                </c:pt>
                <c:pt idx="5">
                  <c:v>0.99393632958240885</c:v>
                </c:pt>
                <c:pt idx="6">
                  <c:v>0.99946445306164999</c:v>
                </c:pt>
                <c:pt idx="7">
                  <c:v>0.99926889206158609</c:v>
                </c:pt>
                <c:pt idx="8">
                  <c:v>0.98819476196796785</c:v>
                </c:pt>
                <c:pt idx="9">
                  <c:v>0.99215724536536787</c:v>
                </c:pt>
                <c:pt idx="10">
                  <c:v>0.9935434550971689</c:v>
                </c:pt>
                <c:pt idx="11">
                  <c:v>0.99170500514343596</c:v>
                </c:pt>
                <c:pt idx="12">
                  <c:v>0.98096964738244163</c:v>
                </c:pt>
                <c:pt idx="13">
                  <c:v>0.98512132016139153</c:v>
                </c:pt>
                <c:pt idx="14">
                  <c:v>0.98176017002132321</c:v>
                </c:pt>
                <c:pt idx="15">
                  <c:v>0.98127275427906469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50-4572-9442-37F2E1907647}"/>
            </c:ext>
          </c:extLst>
        </c:ser>
        <c:ser>
          <c:idx val="5"/>
          <c:order val="2"/>
          <c:tx>
            <c:strRef>
              <c:f>'3.SAT-GPA'!$O$3</c:f>
              <c:strCache>
                <c:ptCount val="1"/>
                <c:pt idx="0">
                  <c:v>SATM(F/T)</c:v>
                </c:pt>
              </c:strCache>
            </c:strRef>
          </c:tx>
          <c:spPr>
            <a:ln w="28575" cap="rnd">
              <a:solidFill>
                <a:srgbClr val="00B0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'3.SAT-GPA'!$O$4:$O$19</c:f>
              <c:numCache>
                <c:formatCode>General</c:formatCode>
                <c:ptCount val="16"/>
                <c:pt idx="0">
                  <c:v>0.91630187686700371</c:v>
                </c:pt>
                <c:pt idx="1">
                  <c:v>0.91630187686700371</c:v>
                </c:pt>
                <c:pt idx="2">
                  <c:v>0.92039798343837642</c:v>
                </c:pt>
                <c:pt idx="3">
                  <c:v>0.94863541387025385</c:v>
                </c:pt>
                <c:pt idx="4">
                  <c:v>0.96048347131824774</c:v>
                </c:pt>
                <c:pt idx="5">
                  <c:v>0.96260999588958884</c:v>
                </c:pt>
                <c:pt idx="6">
                  <c:v>0.96411566483502598</c:v>
                </c:pt>
                <c:pt idx="7">
                  <c:v>0.96735608535923157</c:v>
                </c:pt>
                <c:pt idx="8">
                  <c:v>0.95700451552030863</c:v>
                </c:pt>
                <c:pt idx="9">
                  <c:v>0.95479990148461868</c:v>
                </c:pt>
                <c:pt idx="10">
                  <c:v>0.95226561462303139</c:v>
                </c:pt>
                <c:pt idx="11">
                  <c:v>0.96365491998428621</c:v>
                </c:pt>
                <c:pt idx="12">
                  <c:v>0.9643467314060663</c:v>
                </c:pt>
                <c:pt idx="13">
                  <c:v>0.97106815398185131</c:v>
                </c:pt>
                <c:pt idx="14">
                  <c:v>0.96567187687857492</c:v>
                </c:pt>
                <c:pt idx="15">
                  <c:v>0.95553251758466873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50-4572-9442-37F2E1907647}"/>
            </c:ext>
          </c:extLst>
        </c:ser>
        <c:ser>
          <c:idx val="6"/>
          <c:order val="3"/>
          <c:tx>
            <c:strRef>
              <c:f>'3.SAT-GPA'!$P$3</c:f>
              <c:strCache>
                <c:ptCount val="1"/>
                <c:pt idx="0">
                  <c:v>HGPA(F/T)</c:v>
                </c:pt>
              </c:strCache>
            </c:strRef>
          </c:tx>
          <c:spPr>
            <a:ln w="28575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'3.SAT-GPA'!$A$4:$A$19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'3.SAT-GPA'!$P$4:$P$19</c:f>
              <c:numCache>
                <c:formatCode>General</c:formatCode>
                <c:ptCount val="16"/>
                <c:pt idx="0">
                  <c:v>0.98713826366559487</c:v>
                </c:pt>
                <c:pt idx="1">
                  <c:v>0.98713826366559476</c:v>
                </c:pt>
                <c:pt idx="2">
                  <c:v>0.98534435767876272</c:v>
                </c:pt>
                <c:pt idx="3">
                  <c:v>0.99146546169385696</c:v>
                </c:pt>
                <c:pt idx="4">
                  <c:v>1.003511434898348</c:v>
                </c:pt>
                <c:pt idx="5">
                  <c:v>1.0100996761548764</c:v>
                </c:pt>
                <c:pt idx="6">
                  <c:v>1.0178754680565394</c:v>
                </c:pt>
                <c:pt idx="7">
                  <c:v>1.0213915823201429</c:v>
                </c:pt>
                <c:pt idx="8">
                  <c:v>1.0180404824636948</c:v>
                </c:pt>
                <c:pt idx="9">
                  <c:v>1.0082346100571098</c:v>
                </c:pt>
                <c:pt idx="10">
                  <c:v>1.0114776411017128</c:v>
                </c:pt>
                <c:pt idx="11">
                  <c:v>1.0146975122789903</c:v>
                </c:pt>
                <c:pt idx="12">
                  <c:v>1.0209286547707146</c:v>
                </c:pt>
                <c:pt idx="13">
                  <c:v>1.027260660676681</c:v>
                </c:pt>
                <c:pt idx="14">
                  <c:v>1.0230493365963671</c:v>
                </c:pt>
                <c:pt idx="15">
                  <c:v>1.0172885958624014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50-4572-9442-37F2E1907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4492776"/>
        <c:axId val="154493104"/>
      </c:lineChart>
      <c:catAx>
        <c:axId val="154492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3104"/>
        <c:crosses val="autoZero"/>
        <c:auto val="1"/>
        <c:lblAlgn val="ctr"/>
        <c:lblOffset val="100"/>
        <c:noMultiLvlLbl val="0"/>
      </c:catAx>
      <c:valAx>
        <c:axId val="154493104"/>
        <c:scaling>
          <c:orientation val="minMax"/>
          <c:max val="1.04"/>
          <c:min val="0.91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544927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TestOfHypothesis'!$B$21</c:f>
          <c:strCache>
            <c:ptCount val="1"/>
            <c:pt idx="0">
              <c:v>H0: HGPAF-HGPAT&gt;=0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'4. TestOfHypothesis'!$B$2</c:f>
              <c:strCache>
                <c:ptCount val="1"/>
                <c:pt idx="0">
                  <c:v>HGPAF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'4. TestOfHypothesis'!$A$4:$A$19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'4. TestOfHypothesis'!$I$4:$I$19</c:f>
              <c:numCache>
                <c:formatCode>0</c:formatCode>
                <c:ptCount val="16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AF-4541-B904-05C69D8AA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'4. TestOfHypothesis'!$K$21</c:f>
          <c:strCache>
            <c:ptCount val="1"/>
            <c:pt idx="0">
              <c:v>H0: SATVF-SATVT&gt;=0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'4. TestOfHypothesis'!$K$2</c:f>
              <c:strCache>
                <c:ptCount val="1"/>
                <c:pt idx="0">
                  <c:v>SATVF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'4. TestOfHypothesis'!$R$4:$R$19</c:f>
              <c:numCache>
                <c:formatCode>0</c:formatCode>
                <c:ptCount val="16"/>
                <c:pt idx="0">
                  <c:v>-1</c:v>
                </c:pt>
                <c:pt idx="1">
                  <c:v>-1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-1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5-4EE2-AAB5-A48ECDF5F6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298424"/>
        <c:axId val="640298752"/>
      </c:lineChart>
      <c:catAx>
        <c:axId val="640298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40298752"/>
        <c:crosses val="autoZero"/>
        <c:auto val="1"/>
        <c:lblAlgn val="ctr"/>
        <c:lblOffset val="100"/>
        <c:noMultiLvlLbl val="0"/>
      </c:catAx>
      <c:valAx>
        <c:axId val="640298752"/>
        <c:scaling>
          <c:orientation val="minMax"/>
          <c:max val="1"/>
          <c:min val="-1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4029842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163394</xdr:colOff>
      <xdr:row>20</xdr:row>
      <xdr:rowOff>98702</xdr:rowOff>
    </xdr:from>
    <xdr:to>
      <xdr:col>21</xdr:col>
      <xdr:colOff>22273</xdr:colOff>
      <xdr:row>39</xdr:row>
      <xdr:rowOff>116102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219807</xdr:colOff>
      <xdr:row>23</xdr:row>
      <xdr:rowOff>82855</xdr:rowOff>
    </xdr:from>
    <xdr:to>
      <xdr:col>9</xdr:col>
      <xdr:colOff>232337</xdr:colOff>
      <xdr:row>42</xdr:row>
      <xdr:rowOff>28712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441494</xdr:colOff>
      <xdr:row>20</xdr:row>
      <xdr:rowOff>52335</xdr:rowOff>
    </xdr:from>
    <xdr:to>
      <xdr:col>10</xdr:col>
      <xdr:colOff>144175</xdr:colOff>
      <xdr:row>39</xdr:row>
      <xdr:rowOff>119981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272144</xdr:colOff>
      <xdr:row>18</xdr:row>
      <xdr:rowOff>136073</xdr:rowOff>
    </xdr:from>
    <xdr:to>
      <xdr:col>30</xdr:col>
      <xdr:colOff>89154</xdr:colOff>
      <xdr:row>37</xdr:row>
      <xdr:rowOff>132539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300037</xdr:colOff>
      <xdr:row>8</xdr:row>
      <xdr:rowOff>90487</xdr:rowOff>
    </xdr:from>
    <xdr:to>
      <xdr:col>22</xdr:col>
      <xdr:colOff>604837</xdr:colOff>
      <xdr:row>22</xdr:row>
      <xdr:rowOff>166687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12</xdr:row>
      <xdr:rowOff>14287</xdr:rowOff>
    </xdr:from>
    <xdr:to>
      <xdr:col>13</xdr:col>
      <xdr:colOff>57150</xdr:colOff>
      <xdr:row>26</xdr:row>
      <xdr:rowOff>90487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275724</xdr:colOff>
      <xdr:row>6</xdr:row>
      <xdr:rowOff>22059</xdr:rowOff>
    </xdr:from>
    <xdr:to>
      <xdr:col>21</xdr:col>
      <xdr:colOff>155408</xdr:colOff>
      <xdr:row>25</xdr:row>
      <xdr:rowOff>78206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17</xdr:row>
      <xdr:rowOff>85725</xdr:rowOff>
    </xdr:from>
    <xdr:to>
      <xdr:col>15</xdr:col>
      <xdr:colOff>266700</xdr:colOff>
      <xdr:row>31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16</xdr:row>
      <xdr:rowOff>161925</xdr:rowOff>
    </xdr:from>
    <xdr:to>
      <xdr:col>7</xdr:col>
      <xdr:colOff>104775</xdr:colOff>
      <xdr:row>31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9</xdr:row>
      <xdr:rowOff>104775</xdr:rowOff>
    </xdr:from>
    <xdr:to>
      <xdr:col>8</xdr:col>
      <xdr:colOff>285750</xdr:colOff>
      <xdr:row>22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361950</xdr:colOff>
      <xdr:row>3</xdr:row>
      <xdr:rowOff>161925</xdr:rowOff>
    </xdr:from>
    <xdr:to>
      <xdr:col>11</xdr:col>
      <xdr:colOff>476250</xdr:colOff>
      <xdr:row>16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209550</xdr:colOff>
      <xdr:row>21</xdr:row>
      <xdr:rowOff>76200</xdr:rowOff>
    </xdr:from>
    <xdr:to>
      <xdr:col>19</xdr:col>
      <xdr:colOff>447675</xdr:colOff>
      <xdr:row>35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94203</xdr:colOff>
      <xdr:row>8</xdr:row>
      <xdr:rowOff>94204</xdr:rowOff>
    </xdr:from>
    <xdr:to>
      <xdr:col>10</xdr:col>
      <xdr:colOff>47283</xdr:colOff>
      <xdr:row>26</xdr:row>
      <xdr:rowOff>132538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167470</xdr:colOff>
      <xdr:row>8</xdr:row>
      <xdr:rowOff>73268</xdr:rowOff>
    </xdr:from>
    <xdr:to>
      <xdr:col>14</xdr:col>
      <xdr:colOff>476433</xdr:colOff>
      <xdr:row>26</xdr:row>
      <xdr:rowOff>111602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146538</xdr:colOff>
      <xdr:row>8</xdr:row>
      <xdr:rowOff>73269</xdr:rowOff>
    </xdr:from>
    <xdr:to>
      <xdr:col>21</xdr:col>
      <xdr:colOff>455499</xdr:colOff>
      <xdr:row>26</xdr:row>
      <xdr:rowOff>111603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170089</xdr:colOff>
      <xdr:row>39</xdr:row>
      <xdr:rowOff>102054</xdr:rowOff>
    </xdr:from>
    <xdr:to>
      <xdr:col>43</xdr:col>
      <xdr:colOff>68035</xdr:colOff>
      <xdr:row>61</xdr:row>
      <xdr:rowOff>136072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336550</xdr:colOff>
      <xdr:row>27</xdr:row>
      <xdr:rowOff>158751</xdr:rowOff>
    </xdr:from>
    <xdr:to>
      <xdr:col>47</xdr:col>
      <xdr:colOff>86178</xdr:colOff>
      <xdr:row>42</xdr:row>
      <xdr:rowOff>10433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56</xdr:col>
      <xdr:colOff>272142</xdr:colOff>
      <xdr:row>22</xdr:row>
      <xdr:rowOff>192767</xdr:rowOff>
    </xdr:from>
    <xdr:to>
      <xdr:col>72</xdr:col>
      <xdr:colOff>34015</xdr:colOff>
      <xdr:row>43</xdr:row>
      <xdr:rowOff>158295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26</xdr:row>
      <xdr:rowOff>0</xdr:rowOff>
    </xdr:from>
    <xdr:to>
      <xdr:col>19</xdr:col>
      <xdr:colOff>228600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1</xdr:row>
      <xdr:rowOff>9525</xdr:rowOff>
    </xdr:from>
    <xdr:to>
      <xdr:col>12</xdr:col>
      <xdr:colOff>371475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15</xdr:col>
          <xdr:colOff>333375</xdr:colOff>
          <xdr:row>56</xdr:row>
          <xdr:rowOff>76200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Relationship Id="rId4" Type="http://schemas.openxmlformats.org/officeDocument/2006/relationships/image" Target="../media/image1.emf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2"/>
  <sheetViews>
    <sheetView topLeftCell="O1" zoomScale="91" zoomScaleNormal="91" workbookViewId="0">
      <selection activeCell="AB5" sqref="AB5"/>
    </sheetView>
  </sheetViews>
  <sheetFormatPr defaultColWidth="9.1640625" defaultRowHeight="11.25" x14ac:dyDescent="0.2"/>
  <cols>
    <col min="1" max="1" width="8.1640625" style="19" bestFit="1" customWidth="1"/>
    <col min="2" max="2" width="9" style="3" customWidth="1"/>
    <col min="3" max="3" width="7.6640625" style="3" customWidth="1"/>
    <col min="4" max="4" width="7.83203125" style="3" customWidth="1"/>
    <col min="5" max="5" width="8.83203125" style="3" customWidth="1"/>
    <col min="6" max="7" width="8.1640625" style="3" customWidth="1"/>
    <col min="8" max="8" width="9.33203125" style="3" customWidth="1"/>
    <col min="9" max="9" width="8.1640625" style="3" customWidth="1"/>
    <col min="10" max="10" width="9.5" style="3" customWidth="1"/>
    <col min="11" max="11" width="8.5" style="3" customWidth="1"/>
    <col min="12" max="12" width="6.6640625" style="3" customWidth="1"/>
    <col min="13" max="13" width="7.6640625" style="3" customWidth="1"/>
    <col min="14" max="16" width="7.1640625" style="3" bestFit="1" customWidth="1"/>
    <col min="17" max="17" width="9" style="3" bestFit="1" customWidth="1"/>
    <col min="18" max="18" width="9.1640625" style="3" bestFit="1" customWidth="1"/>
    <col min="19" max="19" width="9" style="3" bestFit="1" customWidth="1"/>
    <col min="20" max="20" width="12.83203125" style="3" bestFit="1" customWidth="1"/>
    <col min="21" max="21" width="5.5" style="3" bestFit="1" customWidth="1"/>
    <col min="22" max="22" width="8.83203125" style="3" bestFit="1" customWidth="1"/>
    <col min="23" max="23" width="9" style="3" customWidth="1"/>
    <col min="24" max="16384" width="9.1640625" style="2"/>
  </cols>
  <sheetData>
    <row r="1" spans="1:43" x14ac:dyDescent="0.2">
      <c r="X1" s="2">
        <v>0.28999999999999998</v>
      </c>
    </row>
    <row r="2" spans="1:43" ht="12" thickBot="1" x14ac:dyDescent="0.25">
      <c r="B2" s="17" t="s">
        <v>36</v>
      </c>
      <c r="E2" s="17" t="s">
        <v>37</v>
      </c>
      <c r="H2" s="3" t="s">
        <v>38</v>
      </c>
      <c r="K2" s="17" t="s">
        <v>31</v>
      </c>
      <c r="N2" s="17" t="s">
        <v>32</v>
      </c>
      <c r="X2" s="2" t="s">
        <v>71</v>
      </c>
      <c r="Y2" s="47" t="s">
        <v>71</v>
      </c>
      <c r="Z2" s="47" t="s">
        <v>71</v>
      </c>
    </row>
    <row r="3" spans="1:43" ht="12" thickBot="1" x14ac:dyDescent="0.25">
      <c r="A3" s="19" t="s">
        <v>30</v>
      </c>
      <c r="B3" s="37" t="s">
        <v>47</v>
      </c>
      <c r="C3" s="38" t="s">
        <v>48</v>
      </c>
      <c r="D3" s="38" t="s">
        <v>49</v>
      </c>
      <c r="E3" s="37" t="s">
        <v>50</v>
      </c>
      <c r="F3" s="38" t="s">
        <v>51</v>
      </c>
      <c r="G3" s="39" t="s">
        <v>52</v>
      </c>
      <c r="H3" s="38" t="s">
        <v>53</v>
      </c>
      <c r="I3" s="38" t="s">
        <v>54</v>
      </c>
      <c r="J3" s="39" t="s">
        <v>55</v>
      </c>
      <c r="K3" s="40" t="s">
        <v>56</v>
      </c>
      <c r="L3" s="40" t="s">
        <v>57</v>
      </c>
      <c r="M3" s="40" t="s">
        <v>58</v>
      </c>
      <c r="N3" s="37" t="s">
        <v>32</v>
      </c>
      <c r="O3" s="38" t="s">
        <v>39</v>
      </c>
      <c r="P3" s="39" t="s">
        <v>33</v>
      </c>
      <c r="Q3" s="24" t="s">
        <v>34</v>
      </c>
      <c r="R3" s="24" t="s">
        <v>35</v>
      </c>
      <c r="S3" s="24" t="s">
        <v>59</v>
      </c>
      <c r="T3" s="24" t="s">
        <v>60</v>
      </c>
      <c r="U3" s="24" t="s">
        <v>33</v>
      </c>
      <c r="V3" s="24" t="s">
        <v>63</v>
      </c>
      <c r="W3" s="24" t="s">
        <v>64</v>
      </c>
      <c r="X3" s="2" t="str">
        <f>D3</f>
        <v>IN-FTA</v>
      </c>
      <c r="Y3" s="47" t="str">
        <f>J3</f>
        <v>GR-A</v>
      </c>
      <c r="Z3" s="47" t="str">
        <f>M3</f>
        <v>DR-A</v>
      </c>
      <c r="AA3" s="2" t="s">
        <v>72</v>
      </c>
      <c r="AE3" s="47"/>
      <c r="AF3" s="47"/>
      <c r="AH3" s="47"/>
      <c r="AI3" s="47"/>
      <c r="AJ3" s="47"/>
      <c r="AK3" s="47"/>
      <c r="AN3" s="47"/>
      <c r="AO3" s="47"/>
      <c r="AP3" s="47"/>
      <c r="AQ3" s="47"/>
    </row>
    <row r="4" spans="1:43" x14ac:dyDescent="0.2">
      <c r="A4" s="16">
        <v>2001</v>
      </c>
      <c r="B4" s="45">
        <v>548</v>
      </c>
      <c r="C4" s="46">
        <v>879</v>
      </c>
      <c r="D4" s="46">
        <f t="shared" ref="D4:D19" si="0">B4+C4</f>
        <v>1427</v>
      </c>
      <c r="E4" s="23">
        <v>2232</v>
      </c>
      <c r="F4" s="30">
        <v>3534</v>
      </c>
      <c r="G4" s="31">
        <f t="shared" ref="G4:G19" si="1">SUM(E4:F4)</f>
        <v>5766</v>
      </c>
      <c r="H4" s="30">
        <v>229</v>
      </c>
      <c r="I4" s="30">
        <v>802</v>
      </c>
      <c r="J4" s="30">
        <f t="shared" ref="J4:J19" si="2">H4+I4</f>
        <v>1031</v>
      </c>
      <c r="K4" s="34">
        <v>0</v>
      </c>
      <c r="L4" s="3">
        <v>0</v>
      </c>
      <c r="M4" s="34">
        <v>0</v>
      </c>
      <c r="N4" s="26">
        <f>E4/H4</f>
        <v>9.7467248908296948</v>
      </c>
      <c r="O4" s="26">
        <f>F4/I4</f>
        <v>4.4064837905236907</v>
      </c>
      <c r="P4" s="27">
        <f>G4/J4</f>
        <v>5.59262851600388</v>
      </c>
      <c r="Q4" s="26">
        <f>N$20-N$22</f>
        <v>6.7831650848784832</v>
      </c>
      <c r="R4" s="26">
        <f>N$20+N$22</f>
        <v>8.6168349151215171</v>
      </c>
      <c r="S4" s="26">
        <f>O$20-O$22</f>
        <v>3.1892980035752068</v>
      </c>
      <c r="T4" s="26">
        <f>O$20+O$22</f>
        <v>3.8107019964247932</v>
      </c>
      <c r="U4" s="8">
        <f>$P$20</f>
        <v>4.7</v>
      </c>
      <c r="V4" s="10">
        <f>B4/C4</f>
        <v>0.62343572241183165</v>
      </c>
      <c r="W4" s="50">
        <f>E4/F4</f>
        <v>0.63157894736842102</v>
      </c>
      <c r="X4" s="55">
        <f>D4</f>
        <v>1427</v>
      </c>
      <c r="Y4" s="55">
        <f>J4</f>
        <v>1031</v>
      </c>
      <c r="Z4" s="55">
        <f>M5</f>
        <v>86</v>
      </c>
      <c r="AA4" s="2">
        <f>E4/H4</f>
        <v>9.7467248908296948</v>
      </c>
      <c r="AC4" s="47"/>
      <c r="AD4" s="47"/>
      <c r="AE4" s="47"/>
      <c r="AF4" s="47"/>
      <c r="AH4" s="47"/>
      <c r="AI4" s="47"/>
      <c r="AJ4" s="47"/>
      <c r="AK4" s="47"/>
      <c r="AN4" s="47"/>
      <c r="AO4" s="47"/>
      <c r="AP4" s="47"/>
      <c r="AQ4" s="47"/>
    </row>
    <row r="5" spans="1:43" x14ac:dyDescent="0.2">
      <c r="A5" s="16">
        <v>2002</v>
      </c>
      <c r="B5" s="23">
        <v>582</v>
      </c>
      <c r="C5" s="30">
        <v>765</v>
      </c>
      <c r="D5" s="30">
        <f t="shared" si="0"/>
        <v>1347</v>
      </c>
      <c r="E5" s="23">
        <v>2383</v>
      </c>
      <c r="F5" s="30">
        <v>3550</v>
      </c>
      <c r="G5" s="31">
        <f t="shared" si="1"/>
        <v>5933</v>
      </c>
      <c r="H5" s="30">
        <v>228</v>
      </c>
      <c r="I5" s="30">
        <v>866</v>
      </c>
      <c r="J5" s="30">
        <f t="shared" si="2"/>
        <v>1094</v>
      </c>
      <c r="K5" s="35">
        <f>E4+B5-H5-E5</f>
        <v>203</v>
      </c>
      <c r="L5" s="35">
        <f>F4+C5-I5-F5</f>
        <v>-117</v>
      </c>
      <c r="M5" s="35">
        <f>G4+D5-J5-G5</f>
        <v>86</v>
      </c>
      <c r="N5" s="26">
        <f t="shared" ref="N5:N19" si="3">E5/H5</f>
        <v>10.451754385964913</v>
      </c>
      <c r="O5" s="26">
        <f t="shared" ref="O5:O19" si="4">F5/I5</f>
        <v>4.0993071593533488</v>
      </c>
      <c r="P5" s="27">
        <f t="shared" ref="P5:P19" si="5">G5/J5</f>
        <v>5.4232175502742228</v>
      </c>
      <c r="Q5" s="26">
        <f t="shared" ref="Q5:Q19" si="6">N$20-N$22</f>
        <v>6.7831650848784832</v>
      </c>
      <c r="R5" s="26">
        <f t="shared" ref="R5:R19" si="7">N$20+N$22</f>
        <v>8.6168349151215171</v>
      </c>
      <c r="S5" s="26">
        <f t="shared" ref="S5:S19" si="8">O$20-O$22</f>
        <v>3.1892980035752068</v>
      </c>
      <c r="T5" s="26">
        <f t="shared" ref="T5:T19" si="9">O$20+O$22</f>
        <v>3.8107019964247932</v>
      </c>
      <c r="U5" s="8">
        <f t="shared" ref="U5:U19" si="10">$P$20</f>
        <v>4.7</v>
      </c>
      <c r="V5" s="50">
        <f t="shared" ref="V5:V19" si="11">B5/C5</f>
        <v>0.76078431372549016</v>
      </c>
      <c r="W5" s="50">
        <f t="shared" ref="W5:W19" si="12">E5/F5</f>
        <v>0.67126760563380283</v>
      </c>
      <c r="X5" s="55">
        <f>(1-$X$1)*X4+$X$1*D4</f>
        <v>1427</v>
      </c>
      <c r="Y5" s="55">
        <f>(1-$X$1)*Y4+$X$1*J4</f>
        <v>1031</v>
      </c>
      <c r="Z5" s="55">
        <v>86</v>
      </c>
      <c r="AA5" s="47">
        <f t="shared" ref="AA5:AA19" si="13">E5/H5</f>
        <v>10.451754385964913</v>
      </c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N5" s="47"/>
      <c r="AO5" s="47"/>
      <c r="AP5" s="47"/>
      <c r="AQ5" s="47"/>
    </row>
    <row r="6" spans="1:43" x14ac:dyDescent="0.2">
      <c r="A6" s="16">
        <v>2003</v>
      </c>
      <c r="B6" s="23">
        <v>623</v>
      </c>
      <c r="C6" s="30">
        <v>750</v>
      </c>
      <c r="D6" s="30">
        <f t="shared" si="0"/>
        <v>1373</v>
      </c>
      <c r="E6" s="23">
        <v>2519</v>
      </c>
      <c r="F6" s="30">
        <v>3423</v>
      </c>
      <c r="G6" s="31">
        <f t="shared" si="1"/>
        <v>5942</v>
      </c>
      <c r="H6" s="30">
        <v>311</v>
      </c>
      <c r="I6" s="30">
        <v>949</v>
      </c>
      <c r="J6" s="30">
        <f t="shared" si="2"/>
        <v>1260</v>
      </c>
      <c r="K6" s="35">
        <f t="shared" ref="K6:K19" si="14">E5+B6-H6-E6</f>
        <v>176</v>
      </c>
      <c r="L6" s="35">
        <f t="shared" ref="L6:L19" si="15">F5+C6-I6-F6</f>
        <v>-72</v>
      </c>
      <c r="M6" s="35">
        <f t="shared" ref="M6:M19" si="16">G5+D6-J6-G6</f>
        <v>104</v>
      </c>
      <c r="N6" s="26">
        <f t="shared" si="3"/>
        <v>8.09967845659164</v>
      </c>
      <c r="O6" s="26">
        <f t="shared" si="4"/>
        <v>3.6069546891464701</v>
      </c>
      <c r="P6" s="27">
        <f t="shared" si="5"/>
        <v>4.715873015873016</v>
      </c>
      <c r="Q6" s="26">
        <f t="shared" si="6"/>
        <v>6.7831650848784832</v>
      </c>
      <c r="R6" s="26">
        <f t="shared" si="7"/>
        <v>8.6168349151215171</v>
      </c>
      <c r="S6" s="26">
        <f t="shared" si="8"/>
        <v>3.1892980035752068</v>
      </c>
      <c r="T6" s="26">
        <f t="shared" si="9"/>
        <v>3.8107019964247932</v>
      </c>
      <c r="U6" s="8">
        <f t="shared" si="10"/>
        <v>4.7</v>
      </c>
      <c r="V6" s="50">
        <f t="shared" si="11"/>
        <v>0.83066666666666666</v>
      </c>
      <c r="W6" s="50">
        <f t="shared" si="12"/>
        <v>0.73590417762196902</v>
      </c>
      <c r="X6" s="55">
        <f t="shared" ref="X6:X8" si="17">(1-$X$1)*X5+$X$1*D5</f>
        <v>1403.8</v>
      </c>
      <c r="Y6" s="55">
        <f t="shared" ref="Y6:Y19" si="18">(1-$X$1)*Y5+$X$1*J5</f>
        <v>1049.27</v>
      </c>
      <c r="Z6" s="55">
        <f>(1-$X$1)*Z5+$X$1*M5</f>
        <v>86</v>
      </c>
      <c r="AA6" s="47">
        <f t="shared" si="13"/>
        <v>8.09967845659164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</row>
    <row r="7" spans="1:43" x14ac:dyDescent="0.2">
      <c r="A7" s="16">
        <v>2004</v>
      </c>
      <c r="B7" s="23">
        <v>536</v>
      </c>
      <c r="C7" s="30">
        <v>709</v>
      </c>
      <c r="D7" s="30">
        <f t="shared" si="0"/>
        <v>1245</v>
      </c>
      <c r="E7" s="23">
        <v>2550</v>
      </c>
      <c r="F7" s="30">
        <v>3126</v>
      </c>
      <c r="G7" s="31">
        <f t="shared" si="1"/>
        <v>5676</v>
      </c>
      <c r="H7" s="30">
        <v>305</v>
      </c>
      <c r="I7" s="30">
        <v>971</v>
      </c>
      <c r="J7" s="30">
        <f t="shared" si="2"/>
        <v>1276</v>
      </c>
      <c r="K7" s="35">
        <f t="shared" si="14"/>
        <v>200</v>
      </c>
      <c r="L7" s="35">
        <f t="shared" si="15"/>
        <v>35</v>
      </c>
      <c r="M7" s="35">
        <f t="shared" si="16"/>
        <v>235</v>
      </c>
      <c r="N7" s="26">
        <f t="shared" si="3"/>
        <v>8.3606557377049189</v>
      </c>
      <c r="O7" s="26">
        <f t="shared" si="4"/>
        <v>3.219361483007209</v>
      </c>
      <c r="P7" s="27">
        <f t="shared" si="5"/>
        <v>4.4482758620689653</v>
      </c>
      <c r="Q7" s="26">
        <f t="shared" si="6"/>
        <v>6.7831650848784832</v>
      </c>
      <c r="R7" s="26">
        <f t="shared" si="7"/>
        <v>8.6168349151215171</v>
      </c>
      <c r="S7" s="26">
        <f t="shared" si="8"/>
        <v>3.1892980035752068</v>
      </c>
      <c r="T7" s="26">
        <f t="shared" si="9"/>
        <v>3.8107019964247932</v>
      </c>
      <c r="U7" s="8">
        <f t="shared" si="10"/>
        <v>4.7</v>
      </c>
      <c r="V7" s="50">
        <f t="shared" si="11"/>
        <v>0.75599435825105787</v>
      </c>
      <c r="W7" s="50">
        <f t="shared" si="12"/>
        <v>0.81573896353166986</v>
      </c>
      <c r="X7" s="55">
        <f t="shared" si="17"/>
        <v>1394.8679999999999</v>
      </c>
      <c r="Y7" s="55">
        <f t="shared" si="18"/>
        <v>1110.3816999999999</v>
      </c>
      <c r="Z7" s="55">
        <f t="shared" ref="Z7:Z19" si="19">(1-$X$1)*Z6+$X$1*M6</f>
        <v>91.22</v>
      </c>
      <c r="AA7" s="47">
        <f t="shared" si="13"/>
        <v>8.3606557377049189</v>
      </c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</row>
    <row r="8" spans="1:43" x14ac:dyDescent="0.2">
      <c r="A8" s="16">
        <v>2005</v>
      </c>
      <c r="B8" s="23">
        <v>659</v>
      </c>
      <c r="C8" s="30">
        <v>987</v>
      </c>
      <c r="D8" s="30">
        <f t="shared" si="0"/>
        <v>1646</v>
      </c>
      <c r="E8" s="23">
        <v>2729</v>
      </c>
      <c r="F8" s="30">
        <v>3474</v>
      </c>
      <c r="G8" s="31">
        <f t="shared" si="1"/>
        <v>6203</v>
      </c>
      <c r="H8" s="30">
        <v>327</v>
      </c>
      <c r="I8" s="30">
        <v>1009</v>
      </c>
      <c r="J8" s="30">
        <f t="shared" si="2"/>
        <v>1336</v>
      </c>
      <c r="K8" s="35">
        <f t="shared" si="14"/>
        <v>153</v>
      </c>
      <c r="L8" s="35">
        <f t="shared" si="15"/>
        <v>-370</v>
      </c>
      <c r="M8" s="35">
        <f t="shared" si="16"/>
        <v>-217</v>
      </c>
      <c r="N8" s="26">
        <f t="shared" si="3"/>
        <v>8.3455657492354742</v>
      </c>
      <c r="O8" s="26">
        <f t="shared" si="4"/>
        <v>3.4430128840436076</v>
      </c>
      <c r="P8" s="27">
        <f t="shared" si="5"/>
        <v>4.6429640718562872</v>
      </c>
      <c r="Q8" s="26">
        <f t="shared" si="6"/>
        <v>6.7831650848784832</v>
      </c>
      <c r="R8" s="26">
        <f t="shared" si="7"/>
        <v>8.6168349151215171</v>
      </c>
      <c r="S8" s="26">
        <f t="shared" si="8"/>
        <v>3.1892980035752068</v>
      </c>
      <c r="T8" s="26">
        <f t="shared" si="9"/>
        <v>3.8107019964247932</v>
      </c>
      <c r="U8" s="8">
        <f t="shared" si="10"/>
        <v>4.7</v>
      </c>
      <c r="V8" s="50">
        <f t="shared" si="11"/>
        <v>0.66767983789260388</v>
      </c>
      <c r="W8" s="50">
        <f t="shared" si="12"/>
        <v>0.78554979850316642</v>
      </c>
      <c r="X8" s="55">
        <f t="shared" si="17"/>
        <v>1351.4062799999997</v>
      </c>
      <c r="Y8" s="55">
        <f t="shared" si="18"/>
        <v>1158.4110069999997</v>
      </c>
      <c r="Z8" s="55">
        <f t="shared" si="19"/>
        <v>132.9162</v>
      </c>
      <c r="AA8" s="47">
        <f t="shared" si="13"/>
        <v>8.3455657492354742</v>
      </c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47"/>
    </row>
    <row r="9" spans="1:43" x14ac:dyDescent="0.2">
      <c r="A9" s="16">
        <v>2006</v>
      </c>
      <c r="B9" s="23">
        <v>674</v>
      </c>
      <c r="C9" s="30">
        <v>1028</v>
      </c>
      <c r="D9" s="30">
        <f t="shared" si="0"/>
        <v>1702</v>
      </c>
      <c r="E9" s="23">
        <v>2954</v>
      </c>
      <c r="F9" s="30">
        <v>3693</v>
      </c>
      <c r="G9" s="31">
        <f t="shared" si="1"/>
        <v>6647</v>
      </c>
      <c r="H9" s="30">
        <v>335</v>
      </c>
      <c r="I9" s="30">
        <v>988</v>
      </c>
      <c r="J9" s="30">
        <f t="shared" si="2"/>
        <v>1323</v>
      </c>
      <c r="K9" s="35">
        <f t="shared" si="14"/>
        <v>114</v>
      </c>
      <c r="L9" s="35">
        <f t="shared" si="15"/>
        <v>-179</v>
      </c>
      <c r="M9" s="35">
        <f t="shared" si="16"/>
        <v>-65</v>
      </c>
      <c r="N9" s="26">
        <f t="shared" si="3"/>
        <v>8.8179104477611947</v>
      </c>
      <c r="O9" s="26">
        <f t="shared" si="4"/>
        <v>3.7378542510121457</v>
      </c>
      <c r="P9" s="27">
        <f t="shared" si="5"/>
        <v>5.0241874527588815</v>
      </c>
      <c r="Q9" s="26">
        <f t="shared" si="6"/>
        <v>6.7831650848784832</v>
      </c>
      <c r="R9" s="26">
        <f t="shared" si="7"/>
        <v>8.6168349151215171</v>
      </c>
      <c r="S9" s="26">
        <f t="shared" si="8"/>
        <v>3.1892980035752068</v>
      </c>
      <c r="T9" s="26">
        <f t="shared" si="9"/>
        <v>3.8107019964247932</v>
      </c>
      <c r="U9" s="8">
        <f t="shared" si="10"/>
        <v>4.7</v>
      </c>
      <c r="V9" s="50">
        <f t="shared" si="11"/>
        <v>0.6556420233463035</v>
      </c>
      <c r="W9" s="50">
        <f t="shared" si="12"/>
        <v>0.79989168697535884</v>
      </c>
      <c r="X9" s="55">
        <f>(1-$X$1)*X8+$X$1*D8</f>
        <v>1436.8384587999997</v>
      </c>
      <c r="Y9" s="55">
        <f t="shared" si="18"/>
        <v>1209.9118149699998</v>
      </c>
      <c r="Z9" s="55">
        <f t="shared" si="19"/>
        <v>31.440502000000009</v>
      </c>
      <c r="AA9" s="47">
        <f t="shared" si="13"/>
        <v>8.8179104477611947</v>
      </c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</row>
    <row r="10" spans="1:43" x14ac:dyDescent="0.2">
      <c r="A10" s="16">
        <v>2007</v>
      </c>
      <c r="B10" s="23">
        <v>701</v>
      </c>
      <c r="C10" s="30">
        <v>1042</v>
      </c>
      <c r="D10" s="30">
        <f t="shared" si="0"/>
        <v>1743</v>
      </c>
      <c r="E10" s="23">
        <v>3009</v>
      </c>
      <c r="F10" s="30">
        <v>3730</v>
      </c>
      <c r="G10" s="31">
        <f t="shared" si="1"/>
        <v>6739</v>
      </c>
      <c r="H10" s="30">
        <v>393</v>
      </c>
      <c r="I10" s="30">
        <v>1053</v>
      </c>
      <c r="J10" s="30">
        <f t="shared" si="2"/>
        <v>1446</v>
      </c>
      <c r="K10" s="35">
        <f t="shared" si="14"/>
        <v>253</v>
      </c>
      <c r="L10" s="35">
        <f t="shared" si="15"/>
        <v>-48</v>
      </c>
      <c r="M10" s="35">
        <f t="shared" si="16"/>
        <v>205</v>
      </c>
      <c r="N10" s="26">
        <f t="shared" si="3"/>
        <v>7.656488549618321</v>
      </c>
      <c r="O10" s="26">
        <f t="shared" si="4"/>
        <v>3.5422602089268755</v>
      </c>
      <c r="P10" s="27">
        <f t="shared" si="5"/>
        <v>4.6604426002766255</v>
      </c>
      <c r="Q10" s="26">
        <f t="shared" si="6"/>
        <v>6.7831650848784832</v>
      </c>
      <c r="R10" s="26">
        <f t="shared" si="7"/>
        <v>8.6168349151215171</v>
      </c>
      <c r="S10" s="26">
        <f t="shared" si="8"/>
        <v>3.1892980035752068</v>
      </c>
      <c r="T10" s="26">
        <f t="shared" si="9"/>
        <v>3.8107019964247932</v>
      </c>
      <c r="U10" s="8">
        <f t="shared" si="10"/>
        <v>4.7</v>
      </c>
      <c r="V10" s="50">
        <f t="shared" si="11"/>
        <v>0.67274472168905952</v>
      </c>
      <c r="W10" s="50">
        <f t="shared" si="12"/>
        <v>0.80670241286863276</v>
      </c>
      <c r="X10" s="55">
        <f>(1-$X$1)*X9+$X$1*D9</f>
        <v>1513.7353057479997</v>
      </c>
      <c r="Y10" s="55">
        <f t="shared" si="18"/>
        <v>1242.7073886286998</v>
      </c>
      <c r="Z10" s="55">
        <f t="shared" si="19"/>
        <v>3.4727564200000067</v>
      </c>
      <c r="AA10" s="47">
        <f t="shared" si="13"/>
        <v>7.656488549618321</v>
      </c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</row>
    <row r="11" spans="1:43" x14ac:dyDescent="0.2">
      <c r="A11" s="16">
        <v>2008</v>
      </c>
      <c r="B11" s="23">
        <v>791</v>
      </c>
      <c r="C11" s="30">
        <v>935</v>
      </c>
      <c r="D11" s="30">
        <f t="shared" si="0"/>
        <v>1726</v>
      </c>
      <c r="E11" s="23">
        <v>3036</v>
      </c>
      <c r="F11" s="30">
        <v>3659</v>
      </c>
      <c r="G11" s="31">
        <f t="shared" si="1"/>
        <v>6695</v>
      </c>
      <c r="H11" s="30">
        <v>413</v>
      </c>
      <c r="I11" s="30">
        <v>1126</v>
      </c>
      <c r="J11" s="30">
        <f t="shared" si="2"/>
        <v>1539</v>
      </c>
      <c r="K11" s="35">
        <f t="shared" si="14"/>
        <v>351</v>
      </c>
      <c r="L11" s="35">
        <f t="shared" si="15"/>
        <v>-120</v>
      </c>
      <c r="M11" s="35">
        <f t="shared" si="16"/>
        <v>231</v>
      </c>
      <c r="N11" s="26">
        <f t="shared" si="3"/>
        <v>7.3510895883777243</v>
      </c>
      <c r="O11" s="26">
        <f t="shared" si="4"/>
        <v>3.24955595026643</v>
      </c>
      <c r="P11" s="27">
        <f t="shared" si="5"/>
        <v>4.3502274204028586</v>
      </c>
      <c r="Q11" s="26">
        <f t="shared" si="6"/>
        <v>6.7831650848784832</v>
      </c>
      <c r="R11" s="26">
        <f t="shared" si="7"/>
        <v>8.6168349151215171</v>
      </c>
      <c r="S11" s="26">
        <f t="shared" si="8"/>
        <v>3.1892980035752068</v>
      </c>
      <c r="T11" s="26">
        <f t="shared" si="9"/>
        <v>3.8107019964247932</v>
      </c>
      <c r="U11" s="8">
        <f t="shared" si="10"/>
        <v>4.7</v>
      </c>
      <c r="V11" s="50">
        <f t="shared" si="11"/>
        <v>0.84598930481283419</v>
      </c>
      <c r="W11" s="50">
        <f t="shared" si="12"/>
        <v>0.82973490024596885</v>
      </c>
      <c r="X11" s="55">
        <f t="shared" ref="X11" si="20">(1-$X$1)*X10+$X$1*D10</f>
        <v>1580.2220670810798</v>
      </c>
      <c r="Y11" s="55">
        <f t="shared" si="18"/>
        <v>1301.6622459263767</v>
      </c>
      <c r="Z11" s="55">
        <f t="shared" si="19"/>
        <v>61.915657058199997</v>
      </c>
      <c r="AA11" s="47">
        <f t="shared" si="13"/>
        <v>7.3510895883777243</v>
      </c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</row>
    <row r="12" spans="1:43" x14ac:dyDescent="0.2">
      <c r="A12" s="16">
        <v>2009</v>
      </c>
      <c r="B12" s="23">
        <v>624</v>
      </c>
      <c r="C12" s="30">
        <v>938</v>
      </c>
      <c r="D12" s="30">
        <f t="shared" si="0"/>
        <v>1562</v>
      </c>
      <c r="E12" s="23">
        <v>2701</v>
      </c>
      <c r="F12" s="30">
        <v>3429</v>
      </c>
      <c r="G12" s="31">
        <f t="shared" si="1"/>
        <v>6130</v>
      </c>
      <c r="H12" s="30">
        <v>425</v>
      </c>
      <c r="I12" s="30">
        <v>1010</v>
      </c>
      <c r="J12" s="30">
        <f t="shared" si="2"/>
        <v>1435</v>
      </c>
      <c r="K12" s="35">
        <f t="shared" si="14"/>
        <v>534</v>
      </c>
      <c r="L12" s="35">
        <f t="shared" si="15"/>
        <v>158</v>
      </c>
      <c r="M12" s="35">
        <f t="shared" si="16"/>
        <v>692</v>
      </c>
      <c r="N12" s="26">
        <f t="shared" si="3"/>
        <v>6.355294117647059</v>
      </c>
      <c r="O12" s="26">
        <f t="shared" si="4"/>
        <v>3.395049504950495</v>
      </c>
      <c r="P12" s="27">
        <f t="shared" si="5"/>
        <v>4.2717770034843205</v>
      </c>
      <c r="Q12" s="26">
        <f t="shared" si="6"/>
        <v>6.7831650848784832</v>
      </c>
      <c r="R12" s="26">
        <f t="shared" si="7"/>
        <v>8.6168349151215171</v>
      </c>
      <c r="S12" s="26">
        <f t="shared" si="8"/>
        <v>3.1892980035752068</v>
      </c>
      <c r="T12" s="26">
        <f t="shared" si="9"/>
        <v>3.8107019964247932</v>
      </c>
      <c r="U12" s="8">
        <f t="shared" si="10"/>
        <v>4.7</v>
      </c>
      <c r="V12" s="50">
        <f t="shared" si="11"/>
        <v>0.6652452025586354</v>
      </c>
      <c r="W12" s="50">
        <f t="shared" si="12"/>
        <v>0.78769320501603968</v>
      </c>
      <c r="X12" s="55">
        <f>(1-$X$1)*X11+$X$1*D11</f>
        <v>1622.4976676275664</v>
      </c>
      <c r="Y12" s="55">
        <f t="shared" si="18"/>
        <v>1370.4901946077275</v>
      </c>
      <c r="Z12" s="55">
        <f t="shared" si="19"/>
        <v>110.95011651132199</v>
      </c>
      <c r="AA12" s="47">
        <f t="shared" si="13"/>
        <v>6.355294117647059</v>
      </c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</row>
    <row r="13" spans="1:43" x14ac:dyDescent="0.2">
      <c r="A13" s="16">
        <v>2010</v>
      </c>
      <c r="B13" s="23">
        <v>693</v>
      </c>
      <c r="C13" s="30">
        <v>1068</v>
      </c>
      <c r="D13" s="30">
        <f t="shared" si="0"/>
        <v>1761</v>
      </c>
      <c r="E13" s="23">
        <v>2717</v>
      </c>
      <c r="F13" s="30">
        <v>3231</v>
      </c>
      <c r="G13" s="31">
        <f t="shared" si="1"/>
        <v>5948</v>
      </c>
      <c r="H13" s="30">
        <v>410</v>
      </c>
      <c r="I13" s="30">
        <v>982</v>
      </c>
      <c r="J13" s="30">
        <f t="shared" si="2"/>
        <v>1392</v>
      </c>
      <c r="K13" s="35">
        <f t="shared" si="14"/>
        <v>267</v>
      </c>
      <c r="L13" s="35">
        <f t="shared" si="15"/>
        <v>284</v>
      </c>
      <c r="M13" s="35">
        <f t="shared" si="16"/>
        <v>551</v>
      </c>
      <c r="N13" s="26">
        <f t="shared" si="3"/>
        <v>6.626829268292683</v>
      </c>
      <c r="O13" s="26">
        <f t="shared" si="4"/>
        <v>3.2902240325865582</v>
      </c>
      <c r="P13" s="27">
        <f t="shared" si="5"/>
        <v>4.2729885057471266</v>
      </c>
      <c r="Q13" s="26">
        <f t="shared" si="6"/>
        <v>6.7831650848784832</v>
      </c>
      <c r="R13" s="26">
        <f t="shared" si="7"/>
        <v>8.6168349151215171</v>
      </c>
      <c r="S13" s="26">
        <f t="shared" si="8"/>
        <v>3.1892980035752068</v>
      </c>
      <c r="T13" s="26">
        <f t="shared" si="9"/>
        <v>3.8107019964247932</v>
      </c>
      <c r="U13" s="8">
        <f t="shared" si="10"/>
        <v>4.7</v>
      </c>
      <c r="V13" s="50">
        <f t="shared" si="11"/>
        <v>0.648876404494382</v>
      </c>
      <c r="W13" s="50">
        <f t="shared" si="12"/>
        <v>0.84091612503868773</v>
      </c>
      <c r="X13" s="55">
        <f t="shared" ref="X13:X14" si="21">(1-$X$1)*X12+$X$1*D12</f>
        <v>1604.9533440155722</v>
      </c>
      <c r="Y13" s="55">
        <f t="shared" si="18"/>
        <v>1389.1980381714866</v>
      </c>
      <c r="Z13" s="55">
        <f t="shared" si="19"/>
        <v>279.45458272303858</v>
      </c>
      <c r="AA13" s="47">
        <f t="shared" si="13"/>
        <v>6.626829268292683</v>
      </c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</row>
    <row r="14" spans="1:43" x14ac:dyDescent="0.2">
      <c r="A14" s="16">
        <v>2011</v>
      </c>
      <c r="B14" s="23">
        <v>676</v>
      </c>
      <c r="C14" s="30">
        <v>1101</v>
      </c>
      <c r="D14" s="30">
        <f t="shared" si="0"/>
        <v>1777</v>
      </c>
      <c r="E14" s="23">
        <v>2723</v>
      </c>
      <c r="F14" s="30">
        <v>3187</v>
      </c>
      <c r="G14" s="31">
        <f t="shared" si="1"/>
        <v>5910</v>
      </c>
      <c r="H14" s="30">
        <v>443</v>
      </c>
      <c r="I14" s="30">
        <v>1052</v>
      </c>
      <c r="J14" s="30">
        <f t="shared" si="2"/>
        <v>1495</v>
      </c>
      <c r="K14" s="35">
        <f t="shared" si="14"/>
        <v>227</v>
      </c>
      <c r="L14" s="35">
        <f t="shared" si="15"/>
        <v>93</v>
      </c>
      <c r="M14" s="35">
        <f t="shared" si="16"/>
        <v>320</v>
      </c>
      <c r="N14" s="26">
        <f t="shared" si="3"/>
        <v>6.1467268623024829</v>
      </c>
      <c r="O14" s="26">
        <f t="shared" si="4"/>
        <v>3.0294676806083651</v>
      </c>
      <c r="P14" s="27">
        <f t="shared" si="5"/>
        <v>3.9531772575250836</v>
      </c>
      <c r="Q14" s="26">
        <f t="shared" si="6"/>
        <v>6.7831650848784832</v>
      </c>
      <c r="R14" s="26">
        <f t="shared" si="7"/>
        <v>8.6168349151215171</v>
      </c>
      <c r="S14" s="26">
        <f t="shared" si="8"/>
        <v>3.1892980035752068</v>
      </c>
      <c r="T14" s="26">
        <f t="shared" si="9"/>
        <v>3.8107019964247932</v>
      </c>
      <c r="U14" s="8">
        <f t="shared" si="10"/>
        <v>4.7</v>
      </c>
      <c r="V14" s="50">
        <f t="shared" si="11"/>
        <v>0.61398728428701177</v>
      </c>
      <c r="W14" s="50">
        <f t="shared" si="12"/>
        <v>0.85440853467210542</v>
      </c>
      <c r="X14" s="55">
        <f t="shared" si="21"/>
        <v>1650.206874251056</v>
      </c>
      <c r="Y14" s="55">
        <f t="shared" si="18"/>
        <v>1390.0106071017553</v>
      </c>
      <c r="Z14" s="55">
        <f t="shared" si="19"/>
        <v>358.20275373335738</v>
      </c>
      <c r="AA14" s="47">
        <f t="shared" si="13"/>
        <v>6.1467268623024829</v>
      </c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</row>
    <row r="15" spans="1:43" x14ac:dyDescent="0.2">
      <c r="A15" s="16">
        <v>2012</v>
      </c>
      <c r="B15" s="23">
        <v>548</v>
      </c>
      <c r="C15" s="30">
        <v>846</v>
      </c>
      <c r="D15" s="30">
        <f t="shared" si="0"/>
        <v>1394</v>
      </c>
      <c r="E15" s="23">
        <v>2705</v>
      </c>
      <c r="F15" s="30">
        <v>3011</v>
      </c>
      <c r="G15" s="31">
        <f t="shared" si="1"/>
        <v>5716</v>
      </c>
      <c r="H15" s="30">
        <v>384</v>
      </c>
      <c r="I15" s="30">
        <v>972</v>
      </c>
      <c r="J15" s="30">
        <f t="shared" si="2"/>
        <v>1356</v>
      </c>
      <c r="K15" s="35">
        <f t="shared" si="14"/>
        <v>182</v>
      </c>
      <c r="L15" s="35">
        <f t="shared" si="15"/>
        <v>50</v>
      </c>
      <c r="M15" s="35">
        <f t="shared" si="16"/>
        <v>232</v>
      </c>
      <c r="N15" s="26">
        <f t="shared" si="3"/>
        <v>7.044270833333333</v>
      </c>
      <c r="O15" s="26">
        <f t="shared" si="4"/>
        <v>3.0977366255144032</v>
      </c>
      <c r="P15" s="27">
        <f t="shared" si="5"/>
        <v>4.2153392330383479</v>
      </c>
      <c r="Q15" s="26">
        <f t="shared" si="6"/>
        <v>6.7831650848784832</v>
      </c>
      <c r="R15" s="26">
        <f t="shared" si="7"/>
        <v>8.6168349151215171</v>
      </c>
      <c r="S15" s="26">
        <f t="shared" si="8"/>
        <v>3.1892980035752068</v>
      </c>
      <c r="T15" s="26">
        <f t="shared" si="9"/>
        <v>3.8107019964247932</v>
      </c>
      <c r="U15" s="8">
        <f t="shared" si="10"/>
        <v>4.7</v>
      </c>
      <c r="V15" s="50">
        <f t="shared" si="11"/>
        <v>0.64775413711583929</v>
      </c>
      <c r="W15" s="50">
        <f t="shared" si="12"/>
        <v>0.89837263367651943</v>
      </c>
      <c r="X15" s="55">
        <f>(1-$X$1)*X14+$X$1*D14</f>
        <v>1686.9768807182495</v>
      </c>
      <c r="Y15" s="55">
        <f t="shared" si="18"/>
        <v>1420.457531042246</v>
      </c>
      <c r="Z15" s="55">
        <f t="shared" si="19"/>
        <v>347.12395515068374</v>
      </c>
      <c r="AA15" s="47">
        <f t="shared" si="13"/>
        <v>7.044270833333333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</row>
    <row r="16" spans="1:43" x14ac:dyDescent="0.2">
      <c r="A16" s="16">
        <v>2013</v>
      </c>
      <c r="B16" s="23">
        <v>746</v>
      </c>
      <c r="C16" s="30">
        <v>1169</v>
      </c>
      <c r="D16" s="30">
        <f t="shared" si="0"/>
        <v>1915</v>
      </c>
      <c r="E16" s="23">
        <v>2946</v>
      </c>
      <c r="F16" s="30">
        <v>3025</v>
      </c>
      <c r="G16" s="31">
        <f t="shared" si="1"/>
        <v>5971</v>
      </c>
      <c r="H16" s="30">
        <v>432</v>
      </c>
      <c r="I16" s="30">
        <v>999</v>
      </c>
      <c r="J16" s="30">
        <f t="shared" si="2"/>
        <v>1431</v>
      </c>
      <c r="K16" s="35">
        <f t="shared" si="14"/>
        <v>73</v>
      </c>
      <c r="L16" s="35">
        <f t="shared" si="15"/>
        <v>156</v>
      </c>
      <c r="M16" s="35">
        <f t="shared" si="16"/>
        <v>229</v>
      </c>
      <c r="N16" s="26">
        <f t="shared" si="3"/>
        <v>6.8194444444444446</v>
      </c>
      <c r="O16" s="26">
        <f t="shared" si="4"/>
        <v>3.0280280280280278</v>
      </c>
      <c r="P16" s="27">
        <f t="shared" si="5"/>
        <v>4.1726065688329843</v>
      </c>
      <c r="Q16" s="26">
        <f t="shared" si="6"/>
        <v>6.7831650848784832</v>
      </c>
      <c r="R16" s="26">
        <f t="shared" si="7"/>
        <v>8.6168349151215171</v>
      </c>
      <c r="S16" s="26">
        <f t="shared" si="8"/>
        <v>3.1892980035752068</v>
      </c>
      <c r="T16" s="26">
        <f t="shared" si="9"/>
        <v>3.8107019964247932</v>
      </c>
      <c r="U16" s="8">
        <f t="shared" si="10"/>
        <v>4.7</v>
      </c>
      <c r="V16" s="50">
        <f t="shared" si="11"/>
        <v>0.63815226689478188</v>
      </c>
      <c r="W16" s="50">
        <f t="shared" si="12"/>
        <v>0.97388429752066119</v>
      </c>
      <c r="X16" s="55">
        <f t="shared" ref="X16:X18" si="22">(1-$X$1)*X15+$X$1*D15</f>
        <v>1602.0135853099571</v>
      </c>
      <c r="Y16" s="55">
        <f t="shared" si="18"/>
        <v>1401.7648470399945</v>
      </c>
      <c r="Z16" s="55">
        <f t="shared" si="19"/>
        <v>313.73800815698542</v>
      </c>
      <c r="AA16" s="47">
        <f t="shared" si="13"/>
        <v>6.8194444444444446</v>
      </c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</row>
    <row r="17" spans="1:43" x14ac:dyDescent="0.2">
      <c r="A17" s="16">
        <v>2014</v>
      </c>
      <c r="B17" s="23">
        <v>785</v>
      </c>
      <c r="C17" s="30">
        <v>1278</v>
      </c>
      <c r="D17" s="30">
        <f t="shared" si="0"/>
        <v>2063</v>
      </c>
      <c r="E17" s="23">
        <v>3281</v>
      </c>
      <c r="F17" s="30">
        <v>3183</v>
      </c>
      <c r="G17" s="31">
        <f t="shared" si="1"/>
        <v>6464</v>
      </c>
      <c r="H17" s="30">
        <v>401</v>
      </c>
      <c r="I17" s="30">
        <v>886</v>
      </c>
      <c r="J17" s="30">
        <f t="shared" si="2"/>
        <v>1287</v>
      </c>
      <c r="K17" s="35">
        <f t="shared" si="14"/>
        <v>49</v>
      </c>
      <c r="L17" s="35">
        <f t="shared" si="15"/>
        <v>234</v>
      </c>
      <c r="M17" s="35">
        <f t="shared" si="16"/>
        <v>283</v>
      </c>
      <c r="N17" s="26">
        <f t="shared" si="3"/>
        <v>8.1820448877805489</v>
      </c>
      <c r="O17" s="26">
        <f t="shared" si="4"/>
        <v>3.5925507900677203</v>
      </c>
      <c r="P17" s="27">
        <f t="shared" si="5"/>
        <v>5.0225330225330227</v>
      </c>
      <c r="Q17" s="26">
        <f t="shared" si="6"/>
        <v>6.7831650848784832</v>
      </c>
      <c r="R17" s="26">
        <f t="shared" si="7"/>
        <v>8.6168349151215171</v>
      </c>
      <c r="S17" s="26">
        <f t="shared" si="8"/>
        <v>3.1892980035752068</v>
      </c>
      <c r="T17" s="26">
        <f t="shared" si="9"/>
        <v>3.8107019964247932</v>
      </c>
      <c r="U17" s="8">
        <f t="shared" si="10"/>
        <v>4.7</v>
      </c>
      <c r="V17" s="50">
        <f t="shared" si="11"/>
        <v>0.61424100156494521</v>
      </c>
      <c r="W17" s="50">
        <f t="shared" si="12"/>
        <v>1.0307885642475652</v>
      </c>
      <c r="X17" s="55">
        <f t="shared" si="22"/>
        <v>1692.7796455700693</v>
      </c>
      <c r="Y17" s="55">
        <f t="shared" si="18"/>
        <v>1410.2430413983959</v>
      </c>
      <c r="Z17" s="55">
        <f t="shared" si="19"/>
        <v>289.1639857914596</v>
      </c>
      <c r="AA17" s="47">
        <f t="shared" si="13"/>
        <v>8.1820448877805489</v>
      </c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</row>
    <row r="18" spans="1:43" x14ac:dyDescent="0.2">
      <c r="A18" s="16">
        <v>2015</v>
      </c>
      <c r="B18" s="23">
        <v>783</v>
      </c>
      <c r="C18" s="30">
        <v>1327</v>
      </c>
      <c r="D18" s="30">
        <f t="shared" si="0"/>
        <v>2110</v>
      </c>
      <c r="E18" s="23">
        <v>3468</v>
      </c>
      <c r="F18" s="30">
        <v>3504</v>
      </c>
      <c r="G18" s="31">
        <f t="shared" si="1"/>
        <v>6972</v>
      </c>
      <c r="H18" s="30">
        <v>521</v>
      </c>
      <c r="I18" s="30">
        <v>818</v>
      </c>
      <c r="J18" s="30">
        <f t="shared" si="2"/>
        <v>1339</v>
      </c>
      <c r="K18" s="35">
        <f t="shared" si="14"/>
        <v>75</v>
      </c>
      <c r="L18" s="35">
        <f t="shared" si="15"/>
        <v>188</v>
      </c>
      <c r="M18" s="35">
        <f t="shared" si="16"/>
        <v>263</v>
      </c>
      <c r="N18" s="26">
        <f t="shared" si="3"/>
        <v>6.6564299424184261</v>
      </c>
      <c r="O18" s="26">
        <f t="shared" si="4"/>
        <v>4.2836185819070902</v>
      </c>
      <c r="P18" s="27">
        <f t="shared" si="5"/>
        <v>5.2068707991038092</v>
      </c>
      <c r="Q18" s="26">
        <f t="shared" si="6"/>
        <v>6.7831650848784832</v>
      </c>
      <c r="R18" s="26">
        <f t="shared" si="7"/>
        <v>8.6168349151215171</v>
      </c>
      <c r="S18" s="26">
        <f t="shared" si="8"/>
        <v>3.1892980035752068</v>
      </c>
      <c r="T18" s="26">
        <f t="shared" si="9"/>
        <v>3.8107019964247932</v>
      </c>
      <c r="U18" s="8">
        <f t="shared" si="10"/>
        <v>4.7</v>
      </c>
      <c r="V18" s="50">
        <f t="shared" si="11"/>
        <v>0.59005275056518458</v>
      </c>
      <c r="W18" s="50">
        <f t="shared" si="12"/>
        <v>0.98972602739726023</v>
      </c>
      <c r="X18" s="55">
        <f t="shared" si="22"/>
        <v>1800.1435483547491</v>
      </c>
      <c r="Y18" s="55">
        <f t="shared" si="18"/>
        <v>1374.502559392861</v>
      </c>
      <c r="Z18" s="55">
        <f t="shared" si="19"/>
        <v>287.37642991193627</v>
      </c>
      <c r="AA18" s="47">
        <f t="shared" si="13"/>
        <v>6.6564299424184261</v>
      </c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</row>
    <row r="19" spans="1:43" ht="12" thickBot="1" x14ac:dyDescent="0.25">
      <c r="A19" s="16">
        <v>2016</v>
      </c>
      <c r="B19" s="25">
        <v>601</v>
      </c>
      <c r="C19" s="32">
        <v>1061</v>
      </c>
      <c r="D19" s="32">
        <f t="shared" si="0"/>
        <v>1662</v>
      </c>
      <c r="E19" s="25">
        <v>3411</v>
      </c>
      <c r="F19" s="32">
        <v>3467</v>
      </c>
      <c r="G19" s="33">
        <f t="shared" si="1"/>
        <v>6878</v>
      </c>
      <c r="H19" s="32">
        <v>516</v>
      </c>
      <c r="I19" s="32">
        <v>1006</v>
      </c>
      <c r="J19" s="32">
        <f t="shared" si="2"/>
        <v>1522</v>
      </c>
      <c r="K19" s="35">
        <f t="shared" si="14"/>
        <v>142</v>
      </c>
      <c r="L19" s="35">
        <f t="shared" si="15"/>
        <v>92</v>
      </c>
      <c r="M19" s="36">
        <f t="shared" si="16"/>
        <v>234</v>
      </c>
      <c r="N19" s="28">
        <f t="shared" si="3"/>
        <v>6.6104651162790695</v>
      </c>
      <c r="O19" s="28">
        <f t="shared" si="4"/>
        <v>3.4463220675944335</v>
      </c>
      <c r="P19" s="29">
        <f t="shared" si="5"/>
        <v>4.5190538764783179</v>
      </c>
      <c r="Q19" s="26">
        <f t="shared" si="6"/>
        <v>6.7831650848784832</v>
      </c>
      <c r="R19" s="26">
        <f t="shared" si="7"/>
        <v>8.6168349151215171</v>
      </c>
      <c r="S19" s="26">
        <f t="shared" si="8"/>
        <v>3.1892980035752068</v>
      </c>
      <c r="T19" s="26">
        <f t="shared" si="9"/>
        <v>3.8107019964247932</v>
      </c>
      <c r="U19" s="8">
        <f t="shared" si="10"/>
        <v>4.7</v>
      </c>
      <c r="V19" s="50">
        <f t="shared" si="11"/>
        <v>0.56644674835061259</v>
      </c>
      <c r="W19" s="50">
        <f t="shared" si="12"/>
        <v>0.98384770695125467</v>
      </c>
      <c r="X19" s="55">
        <f>(1-$X$1)*X18+$X$1*D18</f>
        <v>1890.0019193318717</v>
      </c>
      <c r="Y19" s="55">
        <f t="shared" si="18"/>
        <v>1364.2068171689311</v>
      </c>
      <c r="Z19" s="55">
        <f t="shared" si="19"/>
        <v>280.30726523747472</v>
      </c>
      <c r="AA19" s="47">
        <f t="shared" si="13"/>
        <v>6.6104651162790695</v>
      </c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</row>
    <row r="20" spans="1:43" ht="12" thickBot="1" x14ac:dyDescent="0.25">
      <c r="A20" s="19" t="s">
        <v>29</v>
      </c>
      <c r="B20" s="41">
        <f>ROUND(AVERAGE(B4:B19),0)</f>
        <v>661</v>
      </c>
      <c r="C20" s="41">
        <f t="shared" ref="C20:J20" si="23">ROUND(AVERAGE(C4:C19),0)</f>
        <v>993</v>
      </c>
      <c r="D20" s="41">
        <f t="shared" si="23"/>
        <v>1653</v>
      </c>
      <c r="E20" s="41">
        <f t="shared" si="23"/>
        <v>2835</v>
      </c>
      <c r="F20" s="41">
        <f t="shared" si="23"/>
        <v>3389</v>
      </c>
      <c r="G20" s="41">
        <f t="shared" si="23"/>
        <v>6224</v>
      </c>
      <c r="H20" s="41">
        <f t="shared" si="23"/>
        <v>380</v>
      </c>
      <c r="I20" s="41">
        <f t="shared" si="23"/>
        <v>968</v>
      </c>
      <c r="J20" s="41">
        <f t="shared" si="23"/>
        <v>1348</v>
      </c>
      <c r="K20" s="42">
        <f>ROUND(AVERAGE(K5:K19),0)</f>
        <v>200</v>
      </c>
      <c r="L20" s="42">
        <f>ROUND(AVERAGE(L5:L19),0)</f>
        <v>26</v>
      </c>
      <c r="M20" s="42">
        <f>ROUND(AVERAGE(M5:M19),0)</f>
        <v>226</v>
      </c>
      <c r="N20" s="43">
        <f>ROUND(AVERAGE(N4:N19),1)</f>
        <v>7.7</v>
      </c>
      <c r="O20" s="43">
        <f>ROUND(AVERAGE(O4:O19),1)</f>
        <v>3.5</v>
      </c>
      <c r="P20" s="43">
        <f>ROUND(AVERAGE(P4:P19),1)</f>
        <v>4.7</v>
      </c>
      <c r="Q20" s="44"/>
      <c r="R20" s="44"/>
      <c r="S20" s="44"/>
      <c r="T20" s="44"/>
      <c r="U20" s="44"/>
      <c r="V20" s="44"/>
      <c r="W20" s="44"/>
      <c r="AE20" s="47"/>
    </row>
    <row r="21" spans="1:43" x14ac:dyDescent="0.2">
      <c r="A21" s="19" t="s">
        <v>40</v>
      </c>
      <c r="B21" s="21">
        <f>_xlfn.STDEV.S(B4:B19)</f>
        <v>86.109136178069591</v>
      </c>
      <c r="C21" s="21">
        <f t="shared" ref="C21:P21" si="24">_xlfn.STDEV.S(C4:C19)</f>
        <v>179.26022750924608</v>
      </c>
      <c r="D21" s="21">
        <f t="shared" si="24"/>
        <v>252.12819986401098</v>
      </c>
      <c r="E21" s="21">
        <f t="shared" si="24"/>
        <v>351.19728548685185</v>
      </c>
      <c r="F21" s="21">
        <f t="shared" si="24"/>
        <v>232.4630078098449</v>
      </c>
      <c r="G21" s="21">
        <f t="shared" si="24"/>
        <v>439.02982055133032</v>
      </c>
      <c r="H21" s="21">
        <f t="shared" si="24"/>
        <v>85.95034903943089</v>
      </c>
      <c r="I21" s="21">
        <f t="shared" si="24"/>
        <v>86.894931766281204</v>
      </c>
      <c r="J21" s="21">
        <f t="shared" si="24"/>
        <v>140.69583031016472</v>
      </c>
      <c r="K21" s="21">
        <f t="shared" si="24"/>
        <v>128.65766915863716</v>
      </c>
      <c r="L21" s="21">
        <f t="shared" si="24"/>
        <v>170.52780809396845</v>
      </c>
      <c r="M21" s="21">
        <f t="shared" si="24"/>
        <v>216.02282865475121</v>
      </c>
      <c r="N21" s="21">
        <f>_xlfn.STDEV.S(N4:N19)</f>
        <v>1.2445527628606121</v>
      </c>
      <c r="O21" s="21">
        <f t="shared" si="24"/>
        <v>0.42176080088042162</v>
      </c>
      <c r="P21" s="21">
        <f t="shared" si="24"/>
        <v>0.47711444072397069</v>
      </c>
      <c r="Q21" s="21"/>
      <c r="R21" s="21"/>
      <c r="S21" s="21"/>
      <c r="T21" s="21"/>
      <c r="U21" s="21"/>
      <c r="V21" s="21"/>
      <c r="W21" s="21"/>
      <c r="AE21" s="47"/>
    </row>
    <row r="22" spans="1:43" x14ac:dyDescent="0.2">
      <c r="A22" s="19" t="s">
        <v>41</v>
      </c>
      <c r="B22" s="21">
        <f t="shared" ref="B22:J22" si="25">_xlfn.CONFIDENCE.T(0.05,B21,COUNT(B4:B19))</f>
        <v>45.884319793822783</v>
      </c>
      <c r="C22" s="21">
        <f t="shared" si="25"/>
        <v>95.521032615381074</v>
      </c>
      <c r="D22" s="21">
        <f t="shared" si="25"/>
        <v>134.34963425573753</v>
      </c>
      <c r="E22" s="21">
        <f t="shared" si="25"/>
        <v>187.13982363819417</v>
      </c>
      <c r="F22" s="21">
        <f t="shared" si="25"/>
        <v>123.87079308893803</v>
      </c>
      <c r="G22" s="21">
        <f t="shared" si="25"/>
        <v>233.94247787533055</v>
      </c>
      <c r="H22" s="21">
        <f t="shared" si="25"/>
        <v>45.799708100199737</v>
      </c>
      <c r="I22" s="21">
        <f t="shared" si="25"/>
        <v>46.303040706171913</v>
      </c>
      <c r="J22" s="21">
        <f t="shared" si="25"/>
        <v>74.971515894188926</v>
      </c>
      <c r="K22" s="21">
        <f>_xlfn.CONFIDENCE.T(0.05,K21,COUNT(K5:K19))</f>
        <v>71.248242360812867</v>
      </c>
      <c r="L22" s="21">
        <f>_xlfn.CONFIDENCE.T(0.05,L21,COUNT(L5:L19))</f>
        <v>94.435152445955822</v>
      </c>
      <c r="M22" s="21">
        <f>_xlfn.CONFIDENCE.T(0.05,M21,COUNT(M5:M19))</f>
        <v>119.62945506563148</v>
      </c>
      <c r="N22" s="21">
        <f>_xlfn.CONFIDENCE.T(0.01,N21,COUNT(N4:N19))</f>
        <v>0.91683491512151716</v>
      </c>
      <c r="O22" s="21">
        <f>_xlfn.CONFIDENCE.T(0.01,O21,COUNT(O4:O19))</f>
        <v>0.31070199642479324</v>
      </c>
      <c r="P22" s="21">
        <f>_xlfn.CONFIDENCE.T(0.01,P21,COUNT(P4:P19))</f>
        <v>0.35147981734335182</v>
      </c>
      <c r="Q22" s="21"/>
      <c r="R22" s="21"/>
      <c r="S22" s="21"/>
      <c r="T22" s="21"/>
      <c r="U22" s="21"/>
      <c r="V22" s="21"/>
      <c r="W22" s="21"/>
      <c r="AE22" s="47"/>
    </row>
    <row r="23" spans="1:43" x14ac:dyDescent="0.2">
      <c r="A23" s="19" t="s">
        <v>42</v>
      </c>
      <c r="B23" s="20">
        <f>ROUND(B20-B22,0)</f>
        <v>615</v>
      </c>
      <c r="C23" s="20">
        <f>ROUND(C20-C22,0)</f>
        <v>897</v>
      </c>
      <c r="D23" s="20">
        <f t="shared" ref="D23:M23" si="26">ROUND(D20-D22,0)</f>
        <v>1519</v>
      </c>
      <c r="E23" s="20">
        <f t="shared" si="26"/>
        <v>2648</v>
      </c>
      <c r="F23" s="20">
        <f t="shared" si="26"/>
        <v>3265</v>
      </c>
      <c r="G23" s="20">
        <f t="shared" si="26"/>
        <v>5990</v>
      </c>
      <c r="H23" s="20">
        <f t="shared" si="26"/>
        <v>334</v>
      </c>
      <c r="I23" s="20">
        <f t="shared" si="26"/>
        <v>922</v>
      </c>
      <c r="J23" s="20">
        <f t="shared" si="26"/>
        <v>1273</v>
      </c>
      <c r="K23" s="20">
        <f t="shared" si="26"/>
        <v>129</v>
      </c>
      <c r="L23" s="20">
        <f t="shared" si="26"/>
        <v>-68</v>
      </c>
      <c r="M23" s="20">
        <f t="shared" si="26"/>
        <v>106</v>
      </c>
      <c r="N23" s="22">
        <f>ROUND(N20-N22,1)</f>
        <v>6.8</v>
      </c>
      <c r="O23" s="22">
        <f>ROUND(O20-O22,1)</f>
        <v>3.2</v>
      </c>
      <c r="P23" s="22">
        <f>ROUND(P20-P22,1)</f>
        <v>4.3</v>
      </c>
      <c r="Q23" s="22"/>
      <c r="R23" s="22"/>
      <c r="S23" s="22"/>
      <c r="T23" s="22"/>
      <c r="U23" s="22"/>
      <c r="V23" s="22"/>
      <c r="W23" s="22"/>
      <c r="AE23" s="47"/>
    </row>
    <row r="24" spans="1:43" x14ac:dyDescent="0.2">
      <c r="A24" s="19" t="s">
        <v>43</v>
      </c>
      <c r="B24" s="20">
        <f>ROUND(B20+B22,0)</f>
        <v>707</v>
      </c>
      <c r="C24" s="20">
        <f>ROUND(C20+C22,0)</f>
        <v>1089</v>
      </c>
      <c r="D24" s="20">
        <f t="shared" ref="D24:M24" si="27">ROUND(D20+D22,0)</f>
        <v>1787</v>
      </c>
      <c r="E24" s="20">
        <f t="shared" si="27"/>
        <v>3022</v>
      </c>
      <c r="F24" s="20">
        <f t="shared" si="27"/>
        <v>3513</v>
      </c>
      <c r="G24" s="20">
        <f t="shared" si="27"/>
        <v>6458</v>
      </c>
      <c r="H24" s="20">
        <f t="shared" si="27"/>
        <v>426</v>
      </c>
      <c r="I24" s="20">
        <f t="shared" si="27"/>
        <v>1014</v>
      </c>
      <c r="J24" s="20">
        <f t="shared" si="27"/>
        <v>1423</v>
      </c>
      <c r="K24" s="20">
        <f t="shared" si="27"/>
        <v>271</v>
      </c>
      <c r="L24" s="20">
        <f t="shared" si="27"/>
        <v>120</v>
      </c>
      <c r="M24" s="20">
        <f t="shared" si="27"/>
        <v>346</v>
      </c>
      <c r="N24" s="22">
        <f>ROUND(N20+N22,1)</f>
        <v>8.6</v>
      </c>
      <c r="O24" s="22">
        <f>ROUND(O20+O22,1)</f>
        <v>3.8</v>
      </c>
      <c r="P24" s="22">
        <f>ROUND(P20+P22,1)</f>
        <v>5.0999999999999996</v>
      </c>
      <c r="Q24" s="22"/>
      <c r="R24" s="22"/>
      <c r="S24" s="22"/>
      <c r="T24" s="22"/>
      <c r="U24" s="22"/>
      <c r="V24" s="22"/>
      <c r="W24" s="22"/>
      <c r="AE24" s="47"/>
    </row>
    <row r="25" spans="1:43" x14ac:dyDescent="0.2">
      <c r="B25" s="18">
        <f>B20/D20</f>
        <v>0.39987900786448882</v>
      </c>
      <c r="C25" s="18">
        <f>1-B25</f>
        <v>0.60012099213551118</v>
      </c>
      <c r="D25" s="18"/>
      <c r="E25" s="18">
        <f>E20/G20</f>
        <v>0.4554948586118252</v>
      </c>
      <c r="F25" s="18">
        <f>1-E25</f>
        <v>0.54450514138817474</v>
      </c>
      <c r="G25" s="18"/>
      <c r="H25" s="18">
        <f>H20/J20</f>
        <v>0.28189910979228489</v>
      </c>
      <c r="I25" s="18">
        <f>1-H25</f>
        <v>0.71810089020771506</v>
      </c>
      <c r="J25" s="18"/>
      <c r="K25" s="18">
        <f>K20/M20</f>
        <v>0.88495575221238942</v>
      </c>
      <c r="L25" s="18">
        <f>1-K25</f>
        <v>0.11504424778761058</v>
      </c>
      <c r="M25" s="18">
        <f>M20/D20</f>
        <v>0.1367211131276467</v>
      </c>
      <c r="AE25" s="47"/>
    </row>
    <row r="26" spans="1:43" x14ac:dyDescent="0.2">
      <c r="F26" s="2"/>
      <c r="G26" s="2"/>
      <c r="I26" s="3">
        <f>B20/D20</f>
        <v>0.39987900786448882</v>
      </c>
      <c r="T26" s="3">
        <f>E4/F4</f>
        <v>0.63157894736842102</v>
      </c>
      <c r="AE26" s="47"/>
    </row>
    <row r="27" spans="1:43" x14ac:dyDescent="0.2">
      <c r="B27" s="13">
        <f>J20+M20-D20</f>
        <v>-79</v>
      </c>
      <c r="C27" s="3">
        <f>B27/D20</f>
        <v>-4.7791893526920752E-2</v>
      </c>
      <c r="F27" s="2"/>
      <c r="G27" s="2"/>
      <c r="H27" s="2"/>
      <c r="I27" s="2"/>
      <c r="AE27" s="47"/>
    </row>
    <row r="28" spans="1:43" x14ac:dyDescent="0.2">
      <c r="E28" s="3">
        <f>G20/D20</f>
        <v>3.7652752571082879</v>
      </c>
      <c r="F28" s="3">
        <f>E20/B20</f>
        <v>4.2889561270801817</v>
      </c>
      <c r="G28" s="3">
        <f>F20/C20</f>
        <v>3.4128902316213496</v>
      </c>
      <c r="AE28" s="47"/>
    </row>
    <row r="30" spans="1:43" x14ac:dyDescent="0.2">
      <c r="G30" s="6"/>
    </row>
    <row r="31" spans="1:43" x14ac:dyDescent="0.2">
      <c r="A31" s="19" t="s">
        <v>61</v>
      </c>
      <c r="B31" s="17" t="str">
        <f>"Averages: "&amp;D20&amp;", "&amp;J20&amp;", "&amp;M20&amp;", "&amp;G20</f>
        <v>Averages: 1653, 1348, 226, 6224</v>
      </c>
      <c r="G31" s="6"/>
    </row>
    <row r="32" spans="1:43" x14ac:dyDescent="0.2">
      <c r="A32" s="19" t="s">
        <v>62</v>
      </c>
      <c r="B32" s="17" t="str">
        <f>"95%CI: "&amp;N23&amp;", "&amp;N20&amp;", "&amp;N24&amp;"; "&amp;O23&amp;", "&amp;O20&amp;", "&amp;O24</f>
        <v>95%CI: 6.8, 7.7, 8.6; 3.2, 3.5, 3.8</v>
      </c>
      <c r="G32" s="6"/>
    </row>
    <row r="33" spans="1:7" x14ac:dyDescent="0.2">
      <c r="A33" s="19" t="s">
        <v>65</v>
      </c>
      <c r="B33" s="17" t="s">
        <v>66</v>
      </c>
      <c r="G33" s="6"/>
    </row>
    <row r="34" spans="1:7" x14ac:dyDescent="0.2">
      <c r="G34" s="6"/>
    </row>
    <row r="35" spans="1:7" x14ac:dyDescent="0.2">
      <c r="G35" s="6"/>
    </row>
    <row r="36" spans="1:7" x14ac:dyDescent="0.2">
      <c r="G36" s="6"/>
    </row>
    <row r="37" spans="1:7" x14ac:dyDescent="0.2">
      <c r="G37" s="6"/>
    </row>
    <row r="38" spans="1:7" x14ac:dyDescent="0.2">
      <c r="G38" s="6"/>
    </row>
    <row r="39" spans="1:7" x14ac:dyDescent="0.2">
      <c r="G39" s="6"/>
    </row>
    <row r="40" spans="1:7" x14ac:dyDescent="0.2">
      <c r="G40" s="6"/>
    </row>
    <row r="41" spans="1:7" x14ac:dyDescent="0.2">
      <c r="G41" s="6"/>
    </row>
    <row r="42" spans="1:7" x14ac:dyDescent="0.2">
      <c r="G42" s="6"/>
    </row>
  </sheetData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Q25" sqref="Q25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3" width="18.6640625" style="2" customWidth="1"/>
    <col min="4" max="19" width="8.1640625" style="3" customWidth="1"/>
    <col min="20" max="16384" width="9.1640625" style="2"/>
  </cols>
  <sheetData>
    <row r="1" spans="1:19" ht="15.75" x14ac:dyDescent="0.25">
      <c r="A1" s="1" t="s">
        <v>7</v>
      </c>
    </row>
    <row r="2" spans="1:19" ht="14.45" customHeight="1" x14ac:dyDescent="0.2">
      <c r="A2" s="7"/>
    </row>
    <row r="3" spans="1:19" x14ac:dyDescent="0.2">
      <c r="A3" s="4" t="s">
        <v>8</v>
      </c>
    </row>
    <row r="4" spans="1:19" x14ac:dyDescent="0.2">
      <c r="A4" s="4"/>
      <c r="C4" s="4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16</v>
      </c>
      <c r="K4" s="5" t="s">
        <v>17</v>
      </c>
      <c r="L4" s="5" t="s">
        <v>18</v>
      </c>
      <c r="M4" s="5" t="s">
        <v>19</v>
      </c>
      <c r="N4" s="5" t="s">
        <v>20</v>
      </c>
      <c r="O4" s="5" t="s">
        <v>21</v>
      </c>
      <c r="P4" s="5" t="s">
        <v>22</v>
      </c>
      <c r="Q4" s="5" t="s">
        <v>23</v>
      </c>
      <c r="R4" s="5" t="s">
        <v>24</v>
      </c>
      <c r="S4" s="5" t="s">
        <v>25</v>
      </c>
    </row>
    <row r="5" spans="1:19" x14ac:dyDescent="0.2">
      <c r="A5" s="4"/>
      <c r="B5" s="2" t="s">
        <v>1</v>
      </c>
      <c r="C5" s="2" t="s">
        <v>2</v>
      </c>
      <c r="D5" s="6">
        <v>229</v>
      </c>
      <c r="E5" s="6">
        <v>228</v>
      </c>
      <c r="F5" s="6">
        <v>311</v>
      </c>
      <c r="G5" s="6">
        <v>305</v>
      </c>
      <c r="H5" s="6">
        <v>327</v>
      </c>
      <c r="I5" s="6">
        <v>335</v>
      </c>
      <c r="J5" s="6">
        <v>393</v>
      </c>
      <c r="K5" s="6">
        <v>413</v>
      </c>
      <c r="L5" s="6">
        <v>425</v>
      </c>
      <c r="M5" s="6">
        <v>410</v>
      </c>
      <c r="N5" s="6">
        <v>443</v>
      </c>
      <c r="O5" s="6">
        <v>384</v>
      </c>
      <c r="P5" s="6">
        <v>432</v>
      </c>
      <c r="Q5" s="6">
        <v>401</v>
      </c>
      <c r="R5" s="6">
        <v>521</v>
      </c>
      <c r="S5" s="6">
        <v>516</v>
      </c>
    </row>
    <row r="6" spans="1:19" x14ac:dyDescent="0.2">
      <c r="A6" s="4"/>
      <c r="C6" s="2" t="s">
        <v>3</v>
      </c>
      <c r="D6" s="6">
        <v>802</v>
      </c>
      <c r="E6" s="6">
        <v>866</v>
      </c>
      <c r="F6" s="6">
        <v>949</v>
      </c>
      <c r="G6" s="6">
        <v>971</v>
      </c>
      <c r="H6" s="6">
        <v>1009</v>
      </c>
      <c r="I6" s="6">
        <v>988</v>
      </c>
      <c r="J6" s="6">
        <v>1053</v>
      </c>
      <c r="K6" s="6">
        <v>1126</v>
      </c>
      <c r="L6" s="6">
        <v>1010</v>
      </c>
      <c r="M6" s="6">
        <v>982</v>
      </c>
      <c r="N6" s="6">
        <v>1052</v>
      </c>
      <c r="O6" s="6">
        <v>972</v>
      </c>
      <c r="P6" s="6">
        <v>999</v>
      </c>
      <c r="Q6" s="6">
        <v>886</v>
      </c>
      <c r="R6" s="6">
        <v>818</v>
      </c>
      <c r="S6" s="6">
        <v>1006</v>
      </c>
    </row>
    <row r="7" spans="1:19" x14ac:dyDescent="0.2">
      <c r="A7" s="4"/>
      <c r="C7" s="2" t="s">
        <v>26</v>
      </c>
      <c r="D7" s="6">
        <v>1031</v>
      </c>
      <c r="E7" s="6">
        <v>1094</v>
      </c>
      <c r="F7" s="6">
        <v>1260</v>
      </c>
      <c r="G7" s="6">
        <v>1276</v>
      </c>
      <c r="H7" s="6">
        <v>1336</v>
      </c>
      <c r="I7" s="6">
        <v>1323</v>
      </c>
      <c r="J7" s="6">
        <v>1446</v>
      </c>
      <c r="K7" s="6">
        <v>1539</v>
      </c>
      <c r="L7" s="6">
        <v>1435</v>
      </c>
      <c r="M7" s="6">
        <v>1392</v>
      </c>
      <c r="N7" s="6">
        <v>1495</v>
      </c>
      <c r="O7" s="6">
        <v>1356</v>
      </c>
      <c r="P7" s="6">
        <v>1431</v>
      </c>
      <c r="Q7" s="6">
        <v>1287</v>
      </c>
      <c r="R7" s="6">
        <v>1339</v>
      </c>
      <c r="S7" s="6">
        <v>1522</v>
      </c>
    </row>
    <row r="8" spans="1:19" x14ac:dyDescent="0.2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x14ac:dyDescent="0.2">
      <c r="B9" s="2" t="s">
        <v>4</v>
      </c>
      <c r="C9" s="2" t="s">
        <v>2</v>
      </c>
      <c r="D9" s="6">
        <v>1004</v>
      </c>
      <c r="E9" s="6">
        <v>1154</v>
      </c>
      <c r="F9" s="6">
        <v>1265</v>
      </c>
      <c r="G9" s="6">
        <v>1382</v>
      </c>
      <c r="H9" s="6">
        <v>1531</v>
      </c>
      <c r="I9" s="6">
        <v>1618</v>
      </c>
      <c r="J9" s="6">
        <v>1905</v>
      </c>
      <c r="K9" s="6">
        <v>2084</v>
      </c>
      <c r="L9" s="6">
        <v>1993</v>
      </c>
      <c r="M9" s="6">
        <v>2093</v>
      </c>
      <c r="N9" s="6">
        <v>2282</v>
      </c>
      <c r="O9" s="6">
        <v>2292</v>
      </c>
      <c r="P9" s="6">
        <v>2351</v>
      </c>
      <c r="Q9" s="6">
        <v>2584</v>
      </c>
      <c r="R9" s="6">
        <v>3019</v>
      </c>
      <c r="S9" s="6">
        <v>3087</v>
      </c>
    </row>
    <row r="10" spans="1:19" x14ac:dyDescent="0.2">
      <c r="C10" s="2" t="s">
        <v>3</v>
      </c>
      <c r="D10" s="6">
        <v>3485</v>
      </c>
      <c r="E10" s="6">
        <v>3653</v>
      </c>
      <c r="F10" s="6">
        <v>3788</v>
      </c>
      <c r="G10" s="6">
        <v>3799</v>
      </c>
      <c r="H10" s="6">
        <v>3944</v>
      </c>
      <c r="I10" s="6">
        <v>3866</v>
      </c>
      <c r="J10" s="6">
        <v>4103</v>
      </c>
      <c r="K10" s="6">
        <v>4431</v>
      </c>
      <c r="L10" s="6">
        <v>4279</v>
      </c>
      <c r="M10" s="6">
        <v>4355</v>
      </c>
      <c r="N10" s="6">
        <v>4479</v>
      </c>
      <c r="O10" s="6">
        <v>4227</v>
      </c>
      <c r="P10" s="6">
        <v>4463</v>
      </c>
      <c r="Q10" s="6">
        <v>4449</v>
      </c>
      <c r="R10" s="6">
        <v>4314</v>
      </c>
      <c r="S10" s="6">
        <v>4732</v>
      </c>
    </row>
    <row r="11" spans="1:19" x14ac:dyDescent="0.2">
      <c r="C11" s="2" t="s">
        <v>26</v>
      </c>
      <c r="D11" s="6">
        <v>4489</v>
      </c>
      <c r="E11" s="6">
        <v>4807</v>
      </c>
      <c r="F11" s="6">
        <v>5053</v>
      </c>
      <c r="G11" s="6">
        <v>5181</v>
      </c>
      <c r="H11" s="6">
        <v>5475</v>
      </c>
      <c r="I11" s="6">
        <v>5484</v>
      </c>
      <c r="J11" s="6">
        <v>6008</v>
      </c>
      <c r="K11" s="6">
        <v>6515</v>
      </c>
      <c r="L11" s="6">
        <v>6272</v>
      </c>
      <c r="M11" s="6">
        <v>6448</v>
      </c>
      <c r="N11" s="6">
        <v>6761</v>
      </c>
      <c r="O11" s="6">
        <v>6519</v>
      </c>
      <c r="P11" s="6">
        <v>6814</v>
      </c>
      <c r="Q11" s="6">
        <v>7033</v>
      </c>
      <c r="R11" s="6">
        <v>7333</v>
      </c>
      <c r="S11" s="6">
        <v>7819</v>
      </c>
    </row>
    <row r="14" spans="1:19" x14ac:dyDescent="0.2">
      <c r="A14" s="2" t="s">
        <v>27</v>
      </c>
    </row>
  </sheetData>
  <pageMargins left="0.7" right="0.7" top="0.75" bottom="0.75" header="0.3" footer="0.3"/>
  <pageSetup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workbookViewId="0">
      <selection activeCell="C11" sqref="C11:R11"/>
    </sheetView>
  </sheetViews>
  <sheetFormatPr defaultColWidth="9.1640625" defaultRowHeight="11.25" x14ac:dyDescent="0.2"/>
  <cols>
    <col min="1" max="1" width="5.1640625" style="2" customWidth="1"/>
    <col min="2" max="2" width="9.1640625" style="2"/>
    <col min="3" max="18" width="8.1640625" style="3" customWidth="1"/>
    <col min="19" max="16384" width="9.1640625" style="2"/>
  </cols>
  <sheetData>
    <row r="1" spans="1:18" ht="15.75" x14ac:dyDescent="0.25">
      <c r="A1" s="1" t="s">
        <v>28</v>
      </c>
    </row>
    <row r="2" spans="1:18" ht="14.45" customHeight="1" x14ac:dyDescent="0.2">
      <c r="A2" s="7"/>
    </row>
    <row r="3" spans="1:18" x14ac:dyDescent="0.2">
      <c r="A3" s="4" t="s">
        <v>0</v>
      </c>
      <c r="C3" s="5">
        <v>2001</v>
      </c>
      <c r="D3" s="5">
        <v>2002</v>
      </c>
      <c r="E3" s="5">
        <v>2003</v>
      </c>
      <c r="F3" s="5">
        <v>2004</v>
      </c>
      <c r="G3" s="5">
        <v>2005</v>
      </c>
      <c r="H3" s="5">
        <v>2006</v>
      </c>
      <c r="I3" s="5">
        <v>2007</v>
      </c>
      <c r="J3" s="5">
        <v>2008</v>
      </c>
      <c r="K3" s="5">
        <v>2009</v>
      </c>
      <c r="L3" s="5">
        <v>2010</v>
      </c>
      <c r="M3" s="5">
        <v>2011</v>
      </c>
      <c r="N3" s="5">
        <v>2012</v>
      </c>
      <c r="O3" s="5">
        <v>2013</v>
      </c>
      <c r="P3" s="5">
        <v>2014</v>
      </c>
      <c r="Q3" s="5">
        <v>2015</v>
      </c>
      <c r="R3" s="5">
        <v>2016</v>
      </c>
    </row>
    <row r="4" spans="1:18" x14ac:dyDescent="0.2">
      <c r="A4" s="4"/>
      <c r="B4" s="2" t="s">
        <v>1</v>
      </c>
      <c r="C4" s="2">
        <v>5766</v>
      </c>
      <c r="D4" s="3">
        <v>5933</v>
      </c>
      <c r="E4" s="3">
        <v>5942</v>
      </c>
      <c r="F4" s="3">
        <v>5676</v>
      </c>
      <c r="G4" s="3">
        <v>6203</v>
      </c>
      <c r="H4" s="3">
        <v>6647</v>
      </c>
      <c r="I4" s="3">
        <v>6739</v>
      </c>
      <c r="J4" s="3">
        <v>6695</v>
      </c>
      <c r="K4" s="3">
        <v>6130</v>
      </c>
      <c r="L4" s="3">
        <v>5948</v>
      </c>
      <c r="M4" s="3">
        <v>5910</v>
      </c>
      <c r="N4" s="3">
        <v>5716</v>
      </c>
      <c r="O4" s="3">
        <v>5971</v>
      </c>
      <c r="P4" s="3">
        <v>6464</v>
      </c>
      <c r="Q4" s="3">
        <v>6972</v>
      </c>
      <c r="R4" s="3">
        <v>6878</v>
      </c>
    </row>
    <row r="5" spans="1:18" x14ac:dyDescent="0.2">
      <c r="A5" s="4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1:18" x14ac:dyDescent="0.2">
      <c r="A6" s="4"/>
      <c r="B6" s="2" t="s">
        <v>4</v>
      </c>
      <c r="C6" s="2">
        <v>24463</v>
      </c>
      <c r="D6" s="3">
        <v>25781</v>
      </c>
      <c r="E6" s="3">
        <v>25773</v>
      </c>
      <c r="F6" s="3">
        <v>24653</v>
      </c>
      <c r="G6" s="3">
        <v>26854</v>
      </c>
      <c r="H6" s="3">
        <v>28281</v>
      </c>
      <c r="I6" s="3">
        <v>29484</v>
      </c>
      <c r="J6" s="3">
        <v>30235</v>
      </c>
      <c r="K6" s="3">
        <v>29275</v>
      </c>
      <c r="L6" s="3">
        <v>29880</v>
      </c>
      <c r="M6" s="3">
        <v>31504</v>
      </c>
      <c r="N6" s="3">
        <v>31119</v>
      </c>
      <c r="O6" s="3">
        <v>33398</v>
      </c>
      <c r="P6" s="3">
        <v>35206</v>
      </c>
      <c r="Q6" s="3">
        <v>36917</v>
      </c>
      <c r="R6" s="3">
        <v>35552</v>
      </c>
    </row>
    <row r="7" spans="1:18" x14ac:dyDescent="0.2">
      <c r="A7" s="4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</row>
    <row r="8" spans="1:18" x14ac:dyDescent="0.2">
      <c r="A8" s="4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x14ac:dyDescent="0.2">
      <c r="A9" s="4"/>
    </row>
    <row r="10" spans="1:18" x14ac:dyDescent="0.2">
      <c r="A10" s="4" t="s">
        <v>5</v>
      </c>
      <c r="C10" s="5">
        <v>2001</v>
      </c>
      <c r="D10" s="5">
        <v>2002</v>
      </c>
      <c r="E10" s="5">
        <v>2003</v>
      </c>
      <c r="F10" s="5">
        <v>2004</v>
      </c>
      <c r="G10" s="5">
        <v>2005</v>
      </c>
      <c r="H10" s="5">
        <v>2006</v>
      </c>
      <c r="I10" s="5">
        <v>2007</v>
      </c>
      <c r="J10" s="5">
        <v>2008</v>
      </c>
      <c r="K10" s="5">
        <v>2009</v>
      </c>
      <c r="L10" s="5">
        <v>2010</v>
      </c>
      <c r="M10" s="5">
        <v>2011</v>
      </c>
      <c r="N10" s="5">
        <v>2012</v>
      </c>
      <c r="O10" s="5">
        <v>2013</v>
      </c>
      <c r="P10" s="5">
        <v>2014</v>
      </c>
      <c r="Q10" s="5">
        <v>2015</v>
      </c>
      <c r="R10" s="5">
        <v>2016</v>
      </c>
    </row>
    <row r="11" spans="1:18" x14ac:dyDescent="0.2">
      <c r="A11" s="4"/>
      <c r="B11" s="2" t="s">
        <v>1</v>
      </c>
      <c r="C11" s="11">
        <v>4380.8</v>
      </c>
      <c r="D11" s="12">
        <v>4459.3999999999996</v>
      </c>
      <c r="E11" s="12">
        <v>4468.7</v>
      </c>
      <c r="F11" s="12">
        <v>4254.8</v>
      </c>
      <c r="G11" s="12">
        <v>4809.3</v>
      </c>
      <c r="H11" s="12">
        <v>5065.8</v>
      </c>
      <c r="I11" s="12">
        <v>5182.8999999999996</v>
      </c>
      <c r="J11" s="12">
        <v>5197.3999999999996</v>
      </c>
      <c r="K11" s="12">
        <v>4704.2</v>
      </c>
      <c r="L11" s="12">
        <v>4555.1000000000004</v>
      </c>
      <c r="M11" s="12">
        <v>4716.7</v>
      </c>
      <c r="N11" s="12">
        <v>4608.2</v>
      </c>
      <c r="O11" s="12">
        <v>4843</v>
      </c>
      <c r="P11" s="12">
        <v>5196</v>
      </c>
      <c r="Q11" s="12">
        <v>5580.7</v>
      </c>
      <c r="R11" s="12">
        <v>5509.4</v>
      </c>
    </row>
    <row r="12" spans="1:18" x14ac:dyDescent="0.2">
      <c r="A12" s="4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</row>
    <row r="13" spans="1:18" x14ac:dyDescent="0.2">
      <c r="A13" s="4"/>
      <c r="B13" s="2" t="s">
        <v>4</v>
      </c>
      <c r="C13" s="11">
        <v>19725</v>
      </c>
      <c r="D13" s="12">
        <v>20836.900000000001</v>
      </c>
      <c r="E13" s="12">
        <v>20807.5</v>
      </c>
      <c r="F13" s="12">
        <v>19789.099999999999</v>
      </c>
      <c r="G13" s="12">
        <v>21941.5</v>
      </c>
      <c r="H13" s="12">
        <v>22861.9</v>
      </c>
      <c r="I13" s="12">
        <v>23749.3</v>
      </c>
      <c r="J13" s="12">
        <v>24666.6</v>
      </c>
      <c r="K13" s="12">
        <v>23510.6</v>
      </c>
      <c r="L13" s="12">
        <v>23814.799999999999</v>
      </c>
      <c r="M13" s="12">
        <v>26010.2</v>
      </c>
      <c r="N13" s="12">
        <v>25725.4</v>
      </c>
      <c r="O13" s="12">
        <v>27920.5</v>
      </c>
      <c r="P13" s="12">
        <v>29110.7</v>
      </c>
      <c r="Q13" s="12">
        <v>30313.7</v>
      </c>
      <c r="R13" s="12">
        <v>29240.400000000001</v>
      </c>
    </row>
    <row r="14" spans="1:18" x14ac:dyDescent="0.2">
      <c r="A14" s="4"/>
    </row>
    <row r="15" spans="1:18" x14ac:dyDescent="0.2">
      <c r="A15" s="2" t="s">
        <v>6</v>
      </c>
    </row>
    <row r="29" spans="2:17" x14ac:dyDescent="0.2">
      <c r="B29" s="9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</row>
    <row r="30" spans="2:17" x14ac:dyDescent="0.2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</row>
    <row r="31" spans="2:17" x14ac:dyDescent="0.2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</row>
  </sheetData>
  <pageMargins left="0.7" right="0.7" top="0.75" bottom="0.75" header="0.3" footer="0.3"/>
  <pageSetup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cols>
    <col min="1" max="16384" width="9.33203125" style="14"/>
  </cols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2049" r:id="rId3">
          <object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15</xdr:col>
                <xdr:colOff>333375</xdr:colOff>
                <xdr:row>56</xdr:row>
                <xdr:rowOff>76200</xdr:rowOff>
              </to>
            </anchor>
          </objectPr>
        </oleObject>
      </mc:Choice>
      <mc:Fallback>
        <oleObject progId="Excel.Sheet.12" shapeId="2049" r:id="rId3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"/>
  <sheetViews>
    <sheetView workbookViewId="0">
      <selection activeCell="O5" sqref="O5"/>
    </sheetView>
  </sheetViews>
  <sheetFormatPr defaultRowHeight="15" x14ac:dyDescent="0.25"/>
  <cols>
    <col min="1" max="16384" width="9.33203125" style="14"/>
  </cols>
  <sheetData>
    <row r="1" spans="1:12" x14ac:dyDescent="0.25">
      <c r="A1" s="14">
        <v>0.41</v>
      </c>
      <c r="B1" s="14">
        <f>ROUND(A1/$A$4,2)</f>
        <v>0.37</v>
      </c>
      <c r="C1" s="14">
        <v>1</v>
      </c>
    </row>
    <row r="2" spans="1:12" x14ac:dyDescent="0.25">
      <c r="A2" s="14">
        <f>1-A1</f>
        <v>0.59000000000000008</v>
      </c>
      <c r="B2" s="14">
        <f>ROUND(A2/$A$4,2)</f>
        <v>0.53</v>
      </c>
      <c r="C2" s="14">
        <v>0.5</v>
      </c>
      <c r="G2" s="14">
        <f t="shared" ref="G2:G7" si="0">6/H2</f>
        <v>6</v>
      </c>
      <c r="H2" s="14">
        <v>1</v>
      </c>
      <c r="I2" s="15">
        <f t="shared" ref="I2:I7" si="1">1/H2</f>
        <v>1</v>
      </c>
      <c r="J2" s="14">
        <f t="shared" ref="J2:J7" si="2">I2*1.5</f>
        <v>1.5</v>
      </c>
      <c r="K2" s="14">
        <f t="shared" ref="K2:K7" si="3">I2*2</f>
        <v>2</v>
      </c>
      <c r="L2" s="14">
        <f t="shared" ref="L2:L7" si="4">I2*3</f>
        <v>3</v>
      </c>
    </row>
    <row r="3" spans="1:12" x14ac:dyDescent="0.25">
      <c r="A3" s="14">
        <v>0.11</v>
      </c>
      <c r="B3" s="14">
        <f>ROUND(A3/$A$4,2)</f>
        <v>0.1</v>
      </c>
      <c r="C3" s="14">
        <v>0.25</v>
      </c>
      <c r="G3" s="14">
        <f t="shared" si="0"/>
        <v>3</v>
      </c>
      <c r="H3" s="14">
        <v>2</v>
      </c>
      <c r="I3" s="15">
        <f t="shared" si="1"/>
        <v>0.5</v>
      </c>
      <c r="J3" s="14">
        <f t="shared" si="2"/>
        <v>0.75</v>
      </c>
      <c r="K3" s="14">
        <f t="shared" si="3"/>
        <v>1</v>
      </c>
      <c r="L3" s="14">
        <f t="shared" si="4"/>
        <v>1.5</v>
      </c>
    </row>
    <row r="4" spans="1:12" x14ac:dyDescent="0.25">
      <c r="A4" s="14">
        <f>SUM(A1:A3)</f>
        <v>1.1100000000000001</v>
      </c>
      <c r="B4" s="14">
        <f>SUM(B1:B3)</f>
        <v>1</v>
      </c>
      <c r="D4" s="14">
        <f>SUMPRODUCT(B1:B3,C1:C3)</f>
        <v>0.66</v>
      </c>
      <c r="E4" s="14">
        <v>3.94</v>
      </c>
      <c r="G4" s="14">
        <f t="shared" si="0"/>
        <v>2</v>
      </c>
      <c r="H4" s="14">
        <v>3</v>
      </c>
      <c r="I4" s="15">
        <f t="shared" si="1"/>
        <v>0.33333333333333331</v>
      </c>
      <c r="J4" s="14">
        <f t="shared" si="2"/>
        <v>0.5</v>
      </c>
      <c r="K4" s="14">
        <f t="shared" si="3"/>
        <v>0.66666666666666663</v>
      </c>
      <c r="L4" s="14">
        <f t="shared" si="4"/>
        <v>1</v>
      </c>
    </row>
    <row r="5" spans="1:12" x14ac:dyDescent="0.25">
      <c r="E5" s="14">
        <f>E4/D4</f>
        <v>5.9696969696969697</v>
      </c>
      <c r="G5" s="14">
        <f t="shared" si="0"/>
        <v>1.5</v>
      </c>
      <c r="H5" s="14">
        <v>4</v>
      </c>
      <c r="I5" s="15">
        <f t="shared" si="1"/>
        <v>0.25</v>
      </c>
      <c r="J5" s="14">
        <f t="shared" si="2"/>
        <v>0.375</v>
      </c>
      <c r="K5" s="14">
        <f t="shared" si="3"/>
        <v>0.5</v>
      </c>
      <c r="L5" s="14">
        <f t="shared" si="4"/>
        <v>0.75</v>
      </c>
    </row>
    <row r="6" spans="1:12" x14ac:dyDescent="0.25">
      <c r="G6" s="14">
        <f t="shared" si="0"/>
        <v>1.2</v>
      </c>
      <c r="H6" s="14">
        <v>5</v>
      </c>
      <c r="I6" s="15">
        <f t="shared" si="1"/>
        <v>0.2</v>
      </c>
      <c r="J6" s="14">
        <f t="shared" si="2"/>
        <v>0.30000000000000004</v>
      </c>
      <c r="K6" s="14">
        <f t="shared" si="3"/>
        <v>0.4</v>
      </c>
      <c r="L6" s="14">
        <f t="shared" si="4"/>
        <v>0.60000000000000009</v>
      </c>
    </row>
    <row r="7" spans="1:12" x14ac:dyDescent="0.25">
      <c r="G7" s="14">
        <f t="shared" si="0"/>
        <v>1</v>
      </c>
      <c r="H7" s="14">
        <v>6</v>
      </c>
      <c r="I7" s="15">
        <f t="shared" si="1"/>
        <v>0.16666666666666666</v>
      </c>
      <c r="J7" s="14">
        <f t="shared" si="2"/>
        <v>0.25</v>
      </c>
      <c r="K7" s="14">
        <f t="shared" si="3"/>
        <v>0.33333333333333331</v>
      </c>
      <c r="L7" s="14">
        <f t="shared" si="4"/>
        <v>0.5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zoomScale="95" zoomScaleNormal="95" workbookViewId="0">
      <selection activeCell="K33" sqref="K33"/>
    </sheetView>
  </sheetViews>
  <sheetFormatPr defaultColWidth="9.1640625" defaultRowHeight="11.25" x14ac:dyDescent="0.2"/>
  <cols>
    <col min="1" max="1" width="8.1640625" style="19" bestFit="1" customWidth="1"/>
    <col min="2" max="2" width="9" style="48" customWidth="1"/>
    <col min="3" max="3" width="7.6640625" style="48" customWidth="1"/>
    <col min="4" max="4" width="7.83203125" style="48" customWidth="1"/>
    <col min="5" max="5" width="8.83203125" style="48" customWidth="1"/>
    <col min="6" max="7" width="8.1640625" style="48" customWidth="1"/>
    <col min="8" max="11" width="9.1640625" style="47"/>
    <col min="12" max="12" width="12.83203125" style="47" bestFit="1" customWidth="1"/>
    <col min="13" max="16384" width="9.1640625" style="47"/>
  </cols>
  <sheetData>
    <row r="2" spans="1:12" ht="12" thickBot="1" x14ac:dyDescent="0.25">
      <c r="B2" s="17" t="s">
        <v>67</v>
      </c>
      <c r="E2" s="17" t="s">
        <v>37</v>
      </c>
      <c r="H2" s="47" t="s">
        <v>44</v>
      </c>
    </row>
    <row r="3" spans="1:12" ht="12" thickBot="1" x14ac:dyDescent="0.25">
      <c r="A3" s="19" t="s">
        <v>30</v>
      </c>
      <c r="B3" s="37" t="s">
        <v>47</v>
      </c>
      <c r="C3" s="38" t="s">
        <v>48</v>
      </c>
      <c r="D3" s="40" t="s">
        <v>49</v>
      </c>
      <c r="E3" s="38" t="s">
        <v>50</v>
      </c>
      <c r="F3" s="38" t="s">
        <v>51</v>
      </c>
      <c r="G3" s="40" t="s">
        <v>52</v>
      </c>
      <c r="H3" s="47" t="s">
        <v>45</v>
      </c>
      <c r="I3" s="47" t="s">
        <v>46</v>
      </c>
      <c r="J3" s="47" t="s">
        <v>68</v>
      </c>
      <c r="K3" s="47" t="s">
        <v>69</v>
      </c>
      <c r="L3" s="47" t="s">
        <v>70</v>
      </c>
    </row>
    <row r="4" spans="1:12" x14ac:dyDescent="0.2">
      <c r="A4" s="16">
        <v>2001</v>
      </c>
      <c r="B4" s="22">
        <v>491.3</v>
      </c>
      <c r="C4" s="22">
        <v>643.6</v>
      </c>
      <c r="D4" s="51">
        <f>B4+C4</f>
        <v>1134.9000000000001</v>
      </c>
      <c r="E4" s="22">
        <v>1899.1</v>
      </c>
      <c r="F4" s="22">
        <v>2481.6999999999998</v>
      </c>
      <c r="G4" s="35">
        <f>SUM(E4:F4)</f>
        <v>4380.7999999999993</v>
      </c>
      <c r="H4" s="47">
        <f>B4/'1.In-Out-HC'!B4</f>
        <v>0.89653284671532851</v>
      </c>
      <c r="I4" s="47">
        <f>C4/'1.In-Out-HC'!C4</f>
        <v>0.73219567690557452</v>
      </c>
      <c r="J4" s="47">
        <f>(E4-B4)/('1.In-Out-HC'!E4-'1.In-Out-HC'!B4)</f>
        <v>0.83598574821852734</v>
      </c>
      <c r="K4" s="47">
        <f>(F4-C4)/('1.In-Out-HC'!F4-'1.In-Out-HC'!C4)</f>
        <v>0.69231638418079089</v>
      </c>
      <c r="L4" s="47">
        <f>G4/'1.In-Out-HC'!G4</f>
        <v>0.75976413458203251</v>
      </c>
    </row>
    <row r="5" spans="1:12" x14ac:dyDescent="0.2">
      <c r="A5" s="16">
        <v>2002</v>
      </c>
      <c r="B5" s="22">
        <v>515.5</v>
      </c>
      <c r="C5" s="22">
        <v>564.5</v>
      </c>
      <c r="D5" s="35">
        <f t="shared" ref="D5:D19" si="0">B5+C5</f>
        <v>1080</v>
      </c>
      <c r="E5" s="22">
        <v>1998.5</v>
      </c>
      <c r="F5" s="22">
        <v>2460.9</v>
      </c>
      <c r="G5" s="35">
        <f t="shared" ref="G5:G19" si="1">SUM(E5:F5)</f>
        <v>4459.3999999999996</v>
      </c>
      <c r="H5" s="47">
        <f>B5/'1.In-Out-HC'!B5</f>
        <v>0.88573883161512024</v>
      </c>
      <c r="I5" s="47">
        <f>C5/'1.In-Out-HC'!C5</f>
        <v>0.73790849673202619</v>
      </c>
      <c r="J5" s="47">
        <f>(E5-B5)/('1.In-Out-HC'!E5-'1.In-Out-HC'!B5)</f>
        <v>0.82343142698500837</v>
      </c>
      <c r="K5" s="47">
        <f>(F5-C5)/('1.In-Out-HC'!F5-'1.In-Out-HC'!C5)</f>
        <v>0.68093357271095156</v>
      </c>
      <c r="L5" s="47">
        <f>G5/'1.In-Out-HC'!G5</f>
        <v>0.75162649587055441</v>
      </c>
    </row>
    <row r="6" spans="1:12" x14ac:dyDescent="0.2">
      <c r="A6" s="16">
        <v>2003</v>
      </c>
      <c r="B6" s="22">
        <v>562.4</v>
      </c>
      <c r="C6" s="22">
        <v>539.5</v>
      </c>
      <c r="D6" s="35">
        <f t="shared" si="0"/>
        <v>1101.9000000000001</v>
      </c>
      <c r="E6" s="22">
        <v>2117.1999999999998</v>
      </c>
      <c r="F6" s="22">
        <v>2351.5</v>
      </c>
      <c r="G6" s="35">
        <f t="shared" si="1"/>
        <v>4468.7</v>
      </c>
      <c r="H6" s="47">
        <f>B6/'1.In-Out-HC'!B6</f>
        <v>0.90272873194221503</v>
      </c>
      <c r="I6" s="47">
        <f>C6/'1.In-Out-HC'!C6</f>
        <v>0.71933333333333338</v>
      </c>
      <c r="J6" s="47">
        <f>(E6-B6)/('1.In-Out-HC'!E6-'1.In-Out-HC'!B6)</f>
        <v>0.82004219409282686</v>
      </c>
      <c r="K6" s="47">
        <f>(F6-C6)/('1.In-Out-HC'!F6-'1.In-Out-HC'!C6)</f>
        <v>0.67789001122334458</v>
      </c>
      <c r="L6" s="47">
        <f>G6/'1.In-Out-HC'!G6</f>
        <v>0.75205318074722316</v>
      </c>
    </row>
    <row r="7" spans="1:12" x14ac:dyDescent="0.2">
      <c r="A7" s="16">
        <v>2004</v>
      </c>
      <c r="B7" s="22">
        <v>471.3</v>
      </c>
      <c r="C7" s="22">
        <v>510.4</v>
      </c>
      <c r="D7" s="35">
        <f t="shared" si="0"/>
        <v>981.7</v>
      </c>
      <c r="E7" s="22">
        <v>2110.6999999999998</v>
      </c>
      <c r="F7" s="22">
        <v>2144.1</v>
      </c>
      <c r="G7" s="35">
        <f t="shared" si="1"/>
        <v>4254.7999999999993</v>
      </c>
      <c r="H7" s="47">
        <f>B7/'1.In-Out-HC'!B7</f>
        <v>0.87929104477611941</v>
      </c>
      <c r="I7" s="47">
        <f>C7/'1.In-Out-HC'!C7</f>
        <v>0.71988716502115657</v>
      </c>
      <c r="J7" s="47">
        <f>(E7-B7)/('1.In-Out-HC'!E7-'1.In-Out-HC'!B7)</f>
        <v>0.81400198609731866</v>
      </c>
      <c r="K7" s="47">
        <f>(F7-C7)/('1.In-Out-HC'!F7-'1.In-Out-HC'!C7)</f>
        <v>0.67592056268100942</v>
      </c>
      <c r="L7" s="47">
        <f>G7/'1.In-Out-HC'!G7</f>
        <v>0.74961240310077504</v>
      </c>
    </row>
    <row r="8" spans="1:12" x14ac:dyDescent="0.2">
      <c r="A8" s="16">
        <v>2005</v>
      </c>
      <c r="B8" s="22">
        <v>582.5</v>
      </c>
      <c r="C8" s="22">
        <v>740.8</v>
      </c>
      <c r="D8" s="35">
        <f t="shared" si="0"/>
        <v>1323.3</v>
      </c>
      <c r="E8" s="22">
        <v>2306.3000000000002</v>
      </c>
      <c r="F8" s="22">
        <v>2503.1</v>
      </c>
      <c r="G8" s="35">
        <f t="shared" si="1"/>
        <v>4809.3999999999996</v>
      </c>
      <c r="H8" s="47">
        <f>B8/'1.In-Out-HC'!B8</f>
        <v>0.88391502276176026</v>
      </c>
      <c r="I8" s="47">
        <f>C8/'1.In-Out-HC'!C8</f>
        <v>0.75055724417426539</v>
      </c>
      <c r="J8" s="47">
        <f>(E8-B8)/('1.In-Out-HC'!E8-'1.In-Out-HC'!B8)</f>
        <v>0.83275362318840584</v>
      </c>
      <c r="K8" s="47">
        <f>(F8-C8)/('1.In-Out-HC'!F8-'1.In-Out-HC'!C8)</f>
        <v>0.70860474467229595</v>
      </c>
      <c r="L8" s="47">
        <f>G8/'1.In-Out-HC'!G8</f>
        <v>0.77533451555698851</v>
      </c>
    </row>
    <row r="9" spans="1:12" x14ac:dyDescent="0.2">
      <c r="A9" s="16">
        <v>2006</v>
      </c>
      <c r="B9" s="22">
        <v>612.9</v>
      </c>
      <c r="C9" s="22">
        <v>746.2</v>
      </c>
      <c r="D9" s="35">
        <f t="shared" si="0"/>
        <v>1359.1</v>
      </c>
      <c r="E9" s="22">
        <v>2478.1</v>
      </c>
      <c r="F9" s="22">
        <v>2587.6999999999998</v>
      </c>
      <c r="G9" s="35">
        <f t="shared" si="1"/>
        <v>5065.7999999999993</v>
      </c>
      <c r="H9" s="47">
        <f>B9/'1.In-Out-HC'!B9</f>
        <v>0.90934718100890199</v>
      </c>
      <c r="I9" s="47">
        <f>C9/'1.In-Out-HC'!C9</f>
        <v>0.72587548638132304</v>
      </c>
      <c r="J9" s="47">
        <f>(E9-B9)/('1.In-Out-HC'!E9-'1.In-Out-HC'!B9)</f>
        <v>0.81807017543859639</v>
      </c>
      <c r="K9" s="47">
        <f>(F9-C9)/('1.In-Out-HC'!F9-'1.In-Out-HC'!C9)</f>
        <v>0.69099437148217624</v>
      </c>
      <c r="L9" s="47">
        <f>G9/'1.In-Out-HC'!G9</f>
        <v>0.76211824883406032</v>
      </c>
    </row>
    <row r="10" spans="1:12" x14ac:dyDescent="0.2">
      <c r="A10" s="16">
        <v>2007</v>
      </c>
      <c r="B10" s="22">
        <v>636.70000000000005</v>
      </c>
      <c r="C10" s="22">
        <v>770.5</v>
      </c>
      <c r="D10" s="35">
        <f t="shared" si="0"/>
        <v>1407.2</v>
      </c>
      <c r="E10" s="22">
        <v>2513.6999999999998</v>
      </c>
      <c r="F10" s="22">
        <v>2669.2</v>
      </c>
      <c r="G10" s="35">
        <f t="shared" si="1"/>
        <v>5182.8999999999996</v>
      </c>
      <c r="H10" s="47">
        <f>B10/'1.In-Out-HC'!B10</f>
        <v>0.90827389443651929</v>
      </c>
      <c r="I10" s="47">
        <f>C10/'1.In-Out-HC'!C10</f>
        <v>0.73944337811900196</v>
      </c>
      <c r="J10" s="47">
        <f>(E10-B10)/('1.In-Out-HC'!E10-'1.In-Out-HC'!B10)</f>
        <v>0.81325823223570182</v>
      </c>
      <c r="K10" s="47">
        <f>(F10-C10)/('1.In-Out-HC'!F10-'1.In-Out-HC'!C10)</f>
        <v>0.70636160714285712</v>
      </c>
      <c r="L10" s="47">
        <f>G10/'1.In-Out-HC'!G10</f>
        <v>0.76909036949102239</v>
      </c>
    </row>
    <row r="11" spans="1:12" x14ac:dyDescent="0.2">
      <c r="A11" s="16">
        <v>2008</v>
      </c>
      <c r="B11" s="22">
        <v>691.8</v>
      </c>
      <c r="C11" s="22">
        <v>690.7</v>
      </c>
      <c r="D11" s="35">
        <f t="shared" si="0"/>
        <v>1382.5</v>
      </c>
      <c r="E11" s="22">
        <v>2538.9</v>
      </c>
      <c r="F11" s="22">
        <v>2658.5</v>
      </c>
      <c r="G11" s="35">
        <f t="shared" si="1"/>
        <v>5197.3999999999996</v>
      </c>
      <c r="H11" s="47">
        <f>B11/'1.In-Out-HC'!B11</f>
        <v>0.87458912768647279</v>
      </c>
      <c r="I11" s="47">
        <f>C11/'1.In-Out-HC'!C11</f>
        <v>0.738716577540107</v>
      </c>
      <c r="J11" s="47">
        <f>(E11-B11)/('1.In-Out-HC'!E11-'1.In-Out-HC'!B11)</f>
        <v>0.82276169265033416</v>
      </c>
      <c r="K11" s="47">
        <f>(F11-C11)/('1.In-Out-HC'!F11-'1.In-Out-HC'!C11)</f>
        <v>0.72239353891336266</v>
      </c>
      <c r="L11" s="47">
        <f>G11/'1.In-Out-HC'!G11</f>
        <v>0.77631067961165046</v>
      </c>
    </row>
    <row r="12" spans="1:12" x14ac:dyDescent="0.2">
      <c r="A12" s="16">
        <v>2009</v>
      </c>
      <c r="B12" s="22">
        <v>545.29999999999995</v>
      </c>
      <c r="C12" s="22">
        <v>661.3</v>
      </c>
      <c r="D12" s="35">
        <f t="shared" si="0"/>
        <v>1206.5999999999999</v>
      </c>
      <c r="E12" s="22">
        <v>2237.3000000000002</v>
      </c>
      <c r="F12" s="22">
        <v>2466.9</v>
      </c>
      <c r="G12" s="35">
        <f t="shared" si="1"/>
        <v>4704.2000000000007</v>
      </c>
      <c r="H12" s="47">
        <f>B12/'1.In-Out-HC'!B12</f>
        <v>0.87387820512820502</v>
      </c>
      <c r="I12" s="47">
        <f>C12/'1.In-Out-HC'!C12</f>
        <v>0.70501066098081022</v>
      </c>
      <c r="J12" s="47">
        <f>(E12-B12)/('1.In-Out-HC'!E12-'1.In-Out-HC'!B12)</f>
        <v>0.81463649494463175</v>
      </c>
      <c r="K12" s="47">
        <f>(F12-C12)/('1.In-Out-HC'!F12-'1.In-Out-HC'!C12)</f>
        <v>0.72484945804897638</v>
      </c>
      <c r="L12" s="47">
        <f>G12/'1.In-Out-HC'!G12</f>
        <v>0.76740619902120732</v>
      </c>
    </row>
    <row r="13" spans="1:12" x14ac:dyDescent="0.2">
      <c r="A13" s="16">
        <v>2010</v>
      </c>
      <c r="B13" s="22">
        <v>617.9</v>
      </c>
      <c r="C13" s="22">
        <v>781.6</v>
      </c>
      <c r="D13" s="35">
        <f t="shared" si="0"/>
        <v>1399.5</v>
      </c>
      <c r="E13" s="22">
        <v>2248.1</v>
      </c>
      <c r="F13" s="22">
        <v>2307</v>
      </c>
      <c r="G13" s="35">
        <f t="shared" si="1"/>
        <v>4555.1000000000004</v>
      </c>
      <c r="H13" s="47">
        <f>B13/'1.In-Out-HC'!B13</f>
        <v>0.89163059163059155</v>
      </c>
      <c r="I13" s="47">
        <f>C13/'1.In-Out-HC'!C13</f>
        <v>0.7318352059925094</v>
      </c>
      <c r="J13" s="47">
        <f>(E13-B13)/('1.In-Out-HC'!E13-'1.In-Out-HC'!B13)</f>
        <v>0.80543478260869561</v>
      </c>
      <c r="K13" s="47">
        <f>(F13-C13)/('1.In-Out-HC'!F13-'1.In-Out-HC'!C13)</f>
        <v>0.70522422561257514</v>
      </c>
      <c r="L13" s="47">
        <f>G13/'1.In-Out-HC'!G13</f>
        <v>0.76582044384667125</v>
      </c>
    </row>
    <row r="14" spans="1:12" x14ac:dyDescent="0.2">
      <c r="A14" s="16">
        <v>2011</v>
      </c>
      <c r="B14" s="22">
        <v>611.20000000000005</v>
      </c>
      <c r="C14" s="22">
        <v>825.2</v>
      </c>
      <c r="D14" s="35">
        <f t="shared" si="0"/>
        <v>1436.4</v>
      </c>
      <c r="E14" s="22">
        <v>2350.6999999999998</v>
      </c>
      <c r="F14" s="22">
        <v>2365.9</v>
      </c>
      <c r="G14" s="35">
        <f t="shared" si="1"/>
        <v>4716.6000000000004</v>
      </c>
      <c r="H14" s="47">
        <f>B14/'1.In-Out-HC'!B14</f>
        <v>0.90414201183431964</v>
      </c>
      <c r="I14" s="47">
        <f>C14/'1.In-Out-HC'!C14</f>
        <v>0.7495004541326068</v>
      </c>
      <c r="J14" s="47">
        <f>(E14-B14)/('1.In-Out-HC'!E14-'1.In-Out-HC'!B14)</f>
        <v>0.8497801660967268</v>
      </c>
      <c r="K14" s="47">
        <f>(F14-C14)/('1.In-Out-HC'!F14-'1.In-Out-HC'!C14)</f>
        <v>0.73859060402684562</v>
      </c>
      <c r="L14" s="47">
        <f>G14/'1.In-Out-HC'!G14</f>
        <v>0.79807106598984778</v>
      </c>
    </row>
    <row r="15" spans="1:12" x14ac:dyDescent="0.2">
      <c r="A15" s="16">
        <v>2012</v>
      </c>
      <c r="B15" s="22">
        <v>496.8</v>
      </c>
      <c r="C15" s="22">
        <v>641.9</v>
      </c>
      <c r="D15" s="35">
        <f t="shared" si="0"/>
        <v>1138.7</v>
      </c>
      <c r="E15" s="22">
        <v>2324.1</v>
      </c>
      <c r="F15" s="22">
        <v>2284.1</v>
      </c>
      <c r="G15" s="35">
        <f t="shared" si="1"/>
        <v>4608.2</v>
      </c>
      <c r="H15" s="47">
        <f>B15/'1.In-Out-HC'!B15</f>
        <v>0.90656934306569348</v>
      </c>
      <c r="I15" s="47">
        <f>C15/'1.In-Out-HC'!C15</f>
        <v>0.75874704491725764</v>
      </c>
      <c r="J15" s="47">
        <f>(E15-B15)/('1.In-Out-HC'!E15-'1.In-Out-HC'!B15)</f>
        <v>0.84714881780250351</v>
      </c>
      <c r="K15" s="47">
        <f>(F15-C15)/('1.In-Out-HC'!F15-'1.In-Out-HC'!C15)</f>
        <v>0.75852193995381056</v>
      </c>
      <c r="L15" s="47">
        <f>G15/'1.In-Out-HC'!G15</f>
        <v>0.80619314205738279</v>
      </c>
    </row>
    <row r="16" spans="1:12" x14ac:dyDescent="0.2">
      <c r="A16" s="16">
        <v>2013</v>
      </c>
      <c r="B16" s="22">
        <v>668.5</v>
      </c>
      <c r="C16" s="22">
        <v>897.9</v>
      </c>
      <c r="D16" s="35">
        <f t="shared" si="0"/>
        <v>1566.4</v>
      </c>
      <c r="E16" s="22">
        <v>2570.6</v>
      </c>
      <c r="F16" s="22">
        <v>2272.4</v>
      </c>
      <c r="G16" s="35">
        <f t="shared" si="1"/>
        <v>4843</v>
      </c>
      <c r="H16" s="47">
        <f>B16/'1.In-Out-HC'!B16</f>
        <v>0.89611260053619302</v>
      </c>
      <c r="I16" s="47">
        <f>C16/'1.In-Out-HC'!C16</f>
        <v>0.76809238665526092</v>
      </c>
      <c r="J16" s="47">
        <f>(E16-B16)/('1.In-Out-HC'!E16-'1.In-Out-HC'!B16)</f>
        <v>0.86459090909090908</v>
      </c>
      <c r="K16" s="47">
        <f>(F16-C16)/('1.In-Out-HC'!F16-'1.In-Out-HC'!C16)</f>
        <v>0.74057112068965514</v>
      </c>
      <c r="L16" s="47">
        <f>G16/'1.In-Out-HC'!G16</f>
        <v>0.81108692011388372</v>
      </c>
    </row>
    <row r="17" spans="1:12" x14ac:dyDescent="0.2">
      <c r="A17" s="16">
        <v>2014</v>
      </c>
      <c r="B17" s="22">
        <v>700.7</v>
      </c>
      <c r="C17" s="22">
        <v>952.8</v>
      </c>
      <c r="D17" s="35">
        <f t="shared" si="0"/>
        <v>1653.5</v>
      </c>
      <c r="E17" s="22">
        <v>2833.9</v>
      </c>
      <c r="F17" s="22">
        <v>2362.1</v>
      </c>
      <c r="G17" s="35">
        <f t="shared" si="1"/>
        <v>5196</v>
      </c>
      <c r="H17" s="47">
        <f>B17/'1.In-Out-HC'!B17</f>
        <v>0.89261146496815291</v>
      </c>
      <c r="I17" s="47">
        <f>C17/'1.In-Out-HC'!C17</f>
        <v>0.74553990610328635</v>
      </c>
      <c r="J17" s="47">
        <f>(E17-B17)/('1.In-Out-HC'!E17-'1.In-Out-HC'!B17)</f>
        <v>0.85464743589743586</v>
      </c>
      <c r="K17" s="47">
        <f>(F17-C17)/('1.In-Out-HC'!F17-'1.In-Out-HC'!C17)</f>
        <v>0.73979002624671919</v>
      </c>
      <c r="L17" s="47">
        <f>G17/'1.In-Out-HC'!G17</f>
        <v>0.80383663366336633</v>
      </c>
    </row>
    <row r="18" spans="1:12" x14ac:dyDescent="0.2">
      <c r="A18" s="16">
        <v>2015</v>
      </c>
      <c r="B18" s="22">
        <v>707.7</v>
      </c>
      <c r="C18" s="22">
        <v>961.7</v>
      </c>
      <c r="D18" s="35">
        <f t="shared" si="0"/>
        <v>1669.4</v>
      </c>
      <c r="E18" s="22">
        <v>2980.5</v>
      </c>
      <c r="F18" s="22">
        <v>2600.1999999999998</v>
      </c>
      <c r="G18" s="35">
        <f t="shared" si="1"/>
        <v>5580.7</v>
      </c>
      <c r="H18" s="47">
        <f>B18/'1.In-Out-HC'!B18</f>
        <v>0.90383141762452113</v>
      </c>
      <c r="I18" s="47">
        <f>C18/'1.In-Out-HC'!C18</f>
        <v>0.72471740768651094</v>
      </c>
      <c r="J18" s="47">
        <f>(E18-B18)/('1.In-Out-HC'!E18-'1.In-Out-HC'!B18)</f>
        <v>0.84648044692737434</v>
      </c>
      <c r="K18" s="47">
        <f>(F18-C18)/('1.In-Out-HC'!F18-'1.In-Out-HC'!C18)</f>
        <v>0.75264124942581523</v>
      </c>
      <c r="L18" s="47">
        <f>G18/'1.In-Out-HC'!G18</f>
        <v>0.80044463568559954</v>
      </c>
    </row>
    <row r="19" spans="1:12" ht="12" thickBot="1" x14ac:dyDescent="0.25">
      <c r="A19" s="16">
        <v>2016</v>
      </c>
      <c r="B19" s="22">
        <v>543.70000000000005</v>
      </c>
      <c r="C19" s="22">
        <v>791.2</v>
      </c>
      <c r="D19" s="36">
        <f t="shared" si="0"/>
        <v>1334.9</v>
      </c>
      <c r="E19" s="22">
        <v>2933.8</v>
      </c>
      <c r="F19" s="22">
        <v>2575.6</v>
      </c>
      <c r="G19" s="35">
        <f t="shared" si="1"/>
        <v>5509.4</v>
      </c>
      <c r="H19" s="47">
        <f>B19/'1.In-Out-HC'!B19</f>
        <v>0.90465890183028297</v>
      </c>
      <c r="I19" s="47">
        <f>C19/'1.In-Out-HC'!C19</f>
        <v>0.74571159283694632</v>
      </c>
      <c r="J19" s="47">
        <f>(E19-B19)/('1.In-Out-HC'!E19-'1.In-Out-HC'!B19)</f>
        <v>0.85056939501779372</v>
      </c>
      <c r="K19" s="47">
        <f>(F19-C19)/('1.In-Out-HC'!F19-'1.In-Out-HC'!C19)</f>
        <v>0.74164588528678299</v>
      </c>
      <c r="L19" s="47">
        <f>G19/'1.In-Out-HC'!G19</f>
        <v>0.80101773771445184</v>
      </c>
    </row>
    <row r="20" spans="1:12" ht="12" thickBot="1" x14ac:dyDescent="0.25">
      <c r="A20" s="19" t="s">
        <v>29</v>
      </c>
      <c r="B20" s="41">
        <f>ROUND(AVERAGE(B4:B19),0)</f>
        <v>591</v>
      </c>
      <c r="C20" s="41">
        <f t="shared" ref="C20:G20" si="2">ROUND(AVERAGE(C4:C19),0)</f>
        <v>732</v>
      </c>
      <c r="D20" s="52">
        <f t="shared" si="2"/>
        <v>1324</v>
      </c>
      <c r="E20" s="42">
        <f t="shared" si="2"/>
        <v>2403</v>
      </c>
      <c r="F20" s="41">
        <f t="shared" si="2"/>
        <v>2443</v>
      </c>
      <c r="G20" s="52">
        <f t="shared" si="2"/>
        <v>4846</v>
      </c>
      <c r="H20" s="53">
        <f>ROUND(AVERAGE(H4:H19),2)</f>
        <v>0.89</v>
      </c>
      <c r="I20" s="53">
        <f t="shared" ref="I20:L20" si="3">ROUND(AVERAGE(I4:I19),2)</f>
        <v>0.74</v>
      </c>
      <c r="J20" s="53">
        <f t="shared" si="3"/>
        <v>0.83</v>
      </c>
      <c r="K20" s="53">
        <f t="shared" si="3"/>
        <v>0.72</v>
      </c>
      <c r="L20" s="53">
        <f t="shared" si="3"/>
        <v>0.78</v>
      </c>
    </row>
    <row r="21" spans="1:12" x14ac:dyDescent="0.2">
      <c r="A21" s="19" t="s">
        <v>40</v>
      </c>
      <c r="B21" s="21">
        <f>_xlfn.STDEV.S(B4:B19)</f>
        <v>77.277714553851126</v>
      </c>
      <c r="C21" s="21">
        <f t="shared" ref="C21:G21" si="4">_xlfn.STDEV.S(C4:C19)</f>
        <v>137.18647102879072</v>
      </c>
      <c r="D21" s="21">
        <f t="shared" si="4"/>
        <v>204.37976742655528</v>
      </c>
      <c r="E21" s="21">
        <f t="shared" si="4"/>
        <v>318.30786034644842</v>
      </c>
      <c r="F21" s="21">
        <f t="shared" si="4"/>
        <v>152.72904643518203</v>
      </c>
      <c r="G21" s="21">
        <f t="shared" si="4"/>
        <v>402.06082375680421</v>
      </c>
      <c r="H21" s="54">
        <f>_xlfn.STDEV.S(H4:H19)</f>
        <v>1.2019204848082285E-2</v>
      </c>
      <c r="I21" s="54">
        <f t="shared" ref="I21:L21" si="5">_xlfn.STDEV.S(I4:I19)</f>
        <v>1.6105639493606268E-2</v>
      </c>
      <c r="J21" s="54">
        <f t="shared" si="5"/>
        <v>1.8017910062733344E-2</v>
      </c>
      <c r="K21" s="54">
        <f t="shared" si="5"/>
        <v>2.7502519995281857E-2</v>
      </c>
      <c r="L21" s="54">
        <f t="shared" si="5"/>
        <v>2.1760357223754814E-2</v>
      </c>
    </row>
    <row r="22" spans="1:12" x14ac:dyDescent="0.2">
      <c r="A22" s="19" t="s">
        <v>41</v>
      </c>
      <c r="B22" s="21">
        <f t="shared" ref="B22:G22" si="6">_xlfn.CONFIDENCE.T(0.05,B21,COUNT(B4:B19))</f>
        <v>41.17838739192598</v>
      </c>
      <c r="C22" s="21">
        <f t="shared" si="6"/>
        <v>73.101510332816275</v>
      </c>
      <c r="D22" s="21">
        <f t="shared" si="6"/>
        <v>108.9062906007359</v>
      </c>
      <c r="E22" s="21">
        <f t="shared" si="6"/>
        <v>169.61428607088538</v>
      </c>
      <c r="F22" s="21">
        <f t="shared" si="6"/>
        <v>81.383564154511589</v>
      </c>
      <c r="G22" s="21">
        <f t="shared" si="6"/>
        <v>214.2430900209572</v>
      </c>
      <c r="H22" s="54">
        <f t="shared" ref="H22" si="7">_xlfn.CONFIDENCE.T(0.05,H21,COUNT(H4:H19))</f>
        <v>6.404582177858705E-3</v>
      </c>
      <c r="I22" s="54">
        <f t="shared" ref="I22" si="8">_xlfn.CONFIDENCE.T(0.05,I21,COUNT(I4:I19))</f>
        <v>8.5820894948991575E-3</v>
      </c>
      <c r="J22" s="54">
        <f t="shared" ref="J22" si="9">_xlfn.CONFIDENCE.T(0.05,J21,COUNT(J4:J19))</f>
        <v>9.6010665537874674E-3</v>
      </c>
      <c r="K22" s="54">
        <f t="shared" ref="K22" si="10">_xlfn.CONFIDENCE.T(0.05,K21,COUNT(K4:K19))</f>
        <v>1.4655058436423028E-2</v>
      </c>
      <c r="L22" s="54">
        <f t="shared" ref="L22" si="11">_xlfn.CONFIDENCE.T(0.05,L21,COUNT(L4:L19))</f>
        <v>1.1595275878947637E-2</v>
      </c>
    </row>
    <row r="23" spans="1:12" x14ac:dyDescent="0.2">
      <c r="A23" s="19" t="s">
        <v>42</v>
      </c>
      <c r="B23" s="20">
        <f>ROUND(B20-B22,0)</f>
        <v>550</v>
      </c>
      <c r="C23" s="20">
        <f>ROUND(C20-C22,0)</f>
        <v>659</v>
      </c>
      <c r="D23" s="20">
        <f t="shared" ref="D23:G23" si="12">ROUND(D20-D22,0)</f>
        <v>1215</v>
      </c>
      <c r="E23" s="20">
        <f t="shared" si="12"/>
        <v>2233</v>
      </c>
      <c r="F23" s="20">
        <f t="shared" si="12"/>
        <v>2362</v>
      </c>
      <c r="G23" s="20">
        <f t="shared" si="12"/>
        <v>4632</v>
      </c>
      <c r="H23" s="54">
        <f>ROUND(H20-H22,2)</f>
        <v>0.88</v>
      </c>
      <c r="I23" s="54">
        <f t="shared" ref="I23:L23" si="13">ROUND(I20-I22,2)</f>
        <v>0.73</v>
      </c>
      <c r="J23" s="54">
        <f t="shared" si="13"/>
        <v>0.82</v>
      </c>
      <c r="K23" s="54">
        <f t="shared" si="13"/>
        <v>0.71</v>
      </c>
      <c r="L23" s="54">
        <f t="shared" si="13"/>
        <v>0.77</v>
      </c>
    </row>
    <row r="24" spans="1:12" x14ac:dyDescent="0.2">
      <c r="A24" s="19" t="s">
        <v>43</v>
      </c>
      <c r="B24" s="20">
        <f>ROUND(B20+B22,0)</f>
        <v>632</v>
      </c>
      <c r="C24" s="20">
        <f>ROUND(C20+C22,0)</f>
        <v>805</v>
      </c>
      <c r="D24" s="20">
        <f t="shared" ref="D24:G24" si="14">ROUND(D20+D22,0)</f>
        <v>1433</v>
      </c>
      <c r="E24" s="20">
        <f t="shared" si="14"/>
        <v>2573</v>
      </c>
      <c r="F24" s="20">
        <f t="shared" si="14"/>
        <v>2524</v>
      </c>
      <c r="G24" s="20">
        <f t="shared" si="14"/>
        <v>5060</v>
      </c>
      <c r="H24" s="54">
        <f>ROUND(H20+H22,2)</f>
        <v>0.9</v>
      </c>
      <c r="I24" s="54">
        <f t="shared" ref="I24:L24" si="15">ROUND(I20+I22,2)</f>
        <v>0.75</v>
      </c>
      <c r="J24" s="54">
        <f t="shared" si="15"/>
        <v>0.84</v>
      </c>
      <c r="K24" s="54">
        <f t="shared" si="15"/>
        <v>0.73</v>
      </c>
      <c r="L24" s="54">
        <f t="shared" si="15"/>
        <v>0.79</v>
      </c>
    </row>
    <row r="25" spans="1:12" x14ac:dyDescent="0.2">
      <c r="A25"/>
      <c r="B25"/>
      <c r="C25"/>
      <c r="D25"/>
      <c r="E25"/>
      <c r="F25"/>
      <c r="G25"/>
    </row>
    <row r="26" spans="1:12" x14ac:dyDescent="0.2">
      <c r="A26" s="19" t="str">
        <f>"Averages: "&amp;H20&amp;", "&amp;I20&amp;", "&amp;J20&amp;", "&amp;K20&amp;", "&amp;L20</f>
        <v>Averages: 0.89, 0.74, 0.83, 0.72, 0.78</v>
      </c>
      <c r="B26"/>
      <c r="C26"/>
      <c r="D26"/>
      <c r="E26"/>
      <c r="F26"/>
      <c r="G26"/>
    </row>
    <row r="27" spans="1:12" x14ac:dyDescent="0.2">
      <c r="A27"/>
      <c r="B27"/>
      <c r="C27"/>
      <c r="D27"/>
      <c r="E27"/>
      <c r="F27"/>
      <c r="G27"/>
    </row>
    <row r="28" spans="1:12" x14ac:dyDescent="0.2">
      <c r="A28"/>
      <c r="B28"/>
      <c r="C28"/>
      <c r="D28"/>
      <c r="E28"/>
      <c r="F28"/>
      <c r="G28"/>
    </row>
    <row r="29" spans="1:12" x14ac:dyDescent="0.2">
      <c r="A29"/>
      <c r="B29"/>
      <c r="C29"/>
      <c r="D29"/>
      <c r="E29"/>
      <c r="F29"/>
      <c r="G29"/>
    </row>
    <row r="30" spans="1:12" x14ac:dyDescent="0.2">
      <c r="A30"/>
      <c r="B30"/>
      <c r="C30"/>
      <c r="D30"/>
      <c r="E30"/>
      <c r="F30"/>
      <c r="G30"/>
    </row>
    <row r="31" spans="1:12" x14ac:dyDescent="0.2">
      <c r="A31"/>
      <c r="B31"/>
      <c r="C31"/>
      <c r="D31"/>
      <c r="E31"/>
      <c r="F31"/>
      <c r="G31"/>
    </row>
    <row r="32" spans="1:12" x14ac:dyDescent="0.2">
      <c r="A32"/>
      <c r="B32"/>
      <c r="C32"/>
      <c r="D32"/>
      <c r="E32"/>
      <c r="F32"/>
      <c r="G32"/>
    </row>
    <row r="33" spans="1:7" x14ac:dyDescent="0.2">
      <c r="A33"/>
      <c r="B33"/>
      <c r="C33"/>
      <c r="D33"/>
      <c r="E33"/>
      <c r="F33"/>
      <c r="G33"/>
    </row>
    <row r="34" spans="1:7" x14ac:dyDescent="0.2">
      <c r="A34"/>
      <c r="B34"/>
      <c r="C34"/>
      <c r="D34"/>
      <c r="E34"/>
      <c r="F34"/>
      <c r="G34"/>
    </row>
    <row r="35" spans="1:7" x14ac:dyDescent="0.2">
      <c r="A35"/>
      <c r="B35"/>
      <c r="C35"/>
      <c r="D35"/>
      <c r="E35"/>
      <c r="F35"/>
      <c r="G35"/>
    </row>
    <row r="36" spans="1:7" x14ac:dyDescent="0.2">
      <c r="A36"/>
      <c r="B36"/>
      <c r="C36"/>
      <c r="D36"/>
      <c r="E36"/>
      <c r="F36"/>
      <c r="G36"/>
    </row>
    <row r="37" spans="1:7" x14ac:dyDescent="0.2">
      <c r="A37"/>
      <c r="B37"/>
      <c r="C37"/>
      <c r="D37"/>
      <c r="E37"/>
      <c r="F37"/>
      <c r="G37"/>
    </row>
    <row r="38" spans="1:7" x14ac:dyDescent="0.2">
      <c r="A38"/>
      <c r="B38"/>
      <c r="C38"/>
      <c r="D38"/>
      <c r="E38"/>
      <c r="F38"/>
      <c r="G38"/>
    </row>
    <row r="39" spans="1:7" x14ac:dyDescent="0.2">
      <c r="A39"/>
      <c r="B39"/>
      <c r="C39"/>
      <c r="D39"/>
      <c r="E39"/>
      <c r="F39"/>
      <c r="G39"/>
    </row>
    <row r="40" spans="1:7" x14ac:dyDescent="0.2">
      <c r="A40"/>
      <c r="B40"/>
      <c r="C40"/>
      <c r="D40"/>
      <c r="E40"/>
      <c r="F40"/>
      <c r="G40"/>
    </row>
    <row r="41" spans="1:7" x14ac:dyDescent="0.2">
      <c r="G41" s="49"/>
    </row>
    <row r="42" spans="1:7" x14ac:dyDescent="0.2">
      <c r="G42" s="49"/>
    </row>
  </sheetData>
  <pageMargins left="0.7" right="0.7" top="0.75" bottom="0.75" header="0.3" footer="0.3"/>
  <pageSetup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opLeftCell="A16" workbookViewId="0">
      <selection activeCell="J36" sqref="J36"/>
    </sheetView>
  </sheetViews>
  <sheetFormatPr defaultRowHeight="15" x14ac:dyDescent="0.25"/>
  <cols>
    <col min="1" max="1" width="9.33203125" style="57"/>
    <col min="2" max="2" width="11.33203125" style="56" bestFit="1" customWidth="1"/>
    <col min="3" max="3" width="17.83203125" style="56" bestFit="1" customWidth="1"/>
    <col min="4" max="4" width="16.6640625" style="56" bestFit="1" customWidth="1"/>
    <col min="5" max="9" width="9.33203125" style="56"/>
    <col min="10" max="10" width="14.1640625" style="56" customWidth="1"/>
    <col min="11" max="16384" width="9.33203125" style="56"/>
  </cols>
  <sheetData>
    <row r="1" spans="1:16" x14ac:dyDescent="0.25">
      <c r="A1" s="58" t="s">
        <v>87</v>
      </c>
    </row>
    <row r="2" spans="1:16" x14ac:dyDescent="0.25">
      <c r="N2" s="56">
        <v>0.28999999999999998</v>
      </c>
    </row>
    <row r="3" spans="1:16" x14ac:dyDescent="0.25">
      <c r="A3" s="57" t="s">
        <v>30</v>
      </c>
      <c r="B3" s="56" t="s">
        <v>86</v>
      </c>
      <c r="C3" s="56" t="s">
        <v>85</v>
      </c>
      <c r="D3" s="60" t="s">
        <v>88</v>
      </c>
      <c r="E3" s="60" t="s">
        <v>89</v>
      </c>
      <c r="F3" s="60" t="s">
        <v>90</v>
      </c>
      <c r="G3" s="60" t="s">
        <v>91</v>
      </c>
      <c r="I3" s="56" t="s">
        <v>84</v>
      </c>
      <c r="J3" s="56" t="s">
        <v>83</v>
      </c>
      <c r="K3" s="56" t="s">
        <v>82</v>
      </c>
      <c r="N3" s="56" t="s">
        <v>84</v>
      </c>
      <c r="O3" s="56" t="s">
        <v>83</v>
      </c>
      <c r="P3" s="56" t="s">
        <v>82</v>
      </c>
    </row>
    <row r="4" spans="1:16" x14ac:dyDescent="0.25">
      <c r="A4" s="57">
        <v>2001</v>
      </c>
      <c r="B4" s="56">
        <v>457.6</v>
      </c>
      <c r="C4" s="56">
        <v>487.72</v>
      </c>
      <c r="D4" s="56">
        <v>3.07</v>
      </c>
      <c r="E4" s="56">
        <v>483.2</v>
      </c>
      <c r="F4" s="56">
        <v>532.27</v>
      </c>
      <c r="G4" s="56">
        <v>3.11</v>
      </c>
      <c r="I4" s="56">
        <f t="shared" ref="I4:I19" si="0">B4/E4</f>
        <v>0.94701986754966894</v>
      </c>
      <c r="J4" s="56">
        <f t="shared" ref="J4:J19" si="1">C4/F4</f>
        <v>0.91630187686700371</v>
      </c>
      <c r="K4" s="56">
        <f t="shared" ref="K4:K19" si="2">D4/G4</f>
        <v>0.98713826366559487</v>
      </c>
      <c r="L4" s="56">
        <v>1</v>
      </c>
      <c r="N4" s="56">
        <f>I4</f>
        <v>0.94701986754966894</v>
      </c>
      <c r="O4" s="56">
        <f>J4</f>
        <v>0.91630187686700371</v>
      </c>
      <c r="P4" s="56">
        <f>K4</f>
        <v>0.98713826366559487</v>
      </c>
    </row>
    <row r="5" spans="1:16" x14ac:dyDescent="0.25">
      <c r="A5" s="57">
        <v>2002</v>
      </c>
      <c r="B5" s="56">
        <v>456.95</v>
      </c>
      <c r="C5" s="56">
        <v>491.2</v>
      </c>
      <c r="D5" s="56">
        <v>3.09</v>
      </c>
      <c r="E5" s="56">
        <v>485.98</v>
      </c>
      <c r="F5" s="56">
        <v>527.92999999999995</v>
      </c>
      <c r="G5" s="56">
        <v>3.15</v>
      </c>
      <c r="I5" s="56">
        <f t="shared" si="0"/>
        <v>0.94026503148277696</v>
      </c>
      <c r="J5" s="56">
        <f t="shared" si="1"/>
        <v>0.93042638228553032</v>
      </c>
      <c r="K5" s="56">
        <f t="shared" si="2"/>
        <v>0.98095238095238091</v>
      </c>
      <c r="L5" s="56">
        <v>1</v>
      </c>
      <c r="N5" s="56">
        <f t="shared" ref="N5:N19" si="3">$N$2*I4+(1-$N$2)*N4</f>
        <v>0.94701986754966883</v>
      </c>
      <c r="O5" s="56">
        <f t="shared" ref="O5:O19" si="4">$N$2*J4+(1-$N$2)*O4</f>
        <v>0.91630187686700371</v>
      </c>
      <c r="P5" s="56">
        <f t="shared" ref="P5:P19" si="5">$N$2*K4+(1-$N$2)*P4</f>
        <v>0.98713826366559476</v>
      </c>
    </row>
    <row r="6" spans="1:16" x14ac:dyDescent="0.25">
      <c r="A6" s="57">
        <v>2003</v>
      </c>
      <c r="B6" s="56">
        <v>465.12</v>
      </c>
      <c r="C6" s="56">
        <v>493.75</v>
      </c>
      <c r="D6" s="56">
        <v>3.12</v>
      </c>
      <c r="E6" s="56">
        <v>430</v>
      </c>
      <c r="F6" s="56">
        <v>485.13</v>
      </c>
      <c r="G6" s="56">
        <v>3.1</v>
      </c>
      <c r="I6" s="56">
        <f t="shared" si="0"/>
        <v>1.0816744186046512</v>
      </c>
      <c r="J6" s="56">
        <f t="shared" si="1"/>
        <v>1.0177684332034713</v>
      </c>
      <c r="K6" s="56">
        <f t="shared" si="2"/>
        <v>1.0064516129032257</v>
      </c>
      <c r="L6" s="56">
        <v>1</v>
      </c>
      <c r="N6" s="56">
        <f t="shared" si="3"/>
        <v>0.94506096509027016</v>
      </c>
      <c r="O6" s="56">
        <f t="shared" si="4"/>
        <v>0.92039798343837642</v>
      </c>
      <c r="P6" s="56">
        <f t="shared" si="5"/>
        <v>0.98534435767876272</v>
      </c>
    </row>
    <row r="7" spans="1:16" x14ac:dyDescent="0.25">
      <c r="A7" s="57">
        <v>2004</v>
      </c>
      <c r="B7" s="56">
        <v>456.41</v>
      </c>
      <c r="C7" s="56">
        <v>493.37</v>
      </c>
      <c r="D7" s="56">
        <v>3.13</v>
      </c>
      <c r="E7" s="56">
        <v>442.22</v>
      </c>
      <c r="F7" s="56">
        <v>498.61</v>
      </c>
      <c r="G7" s="56">
        <v>3.03</v>
      </c>
      <c r="I7" s="56">
        <f t="shared" si="0"/>
        <v>1.032088100945231</v>
      </c>
      <c r="J7" s="56">
        <f t="shared" si="1"/>
        <v>0.98949078438057803</v>
      </c>
      <c r="K7" s="56">
        <f t="shared" si="2"/>
        <v>1.033003300330033</v>
      </c>
      <c r="L7" s="56">
        <v>1</v>
      </c>
      <c r="N7" s="56">
        <f t="shared" si="3"/>
        <v>0.9846788666094406</v>
      </c>
      <c r="O7" s="56">
        <f t="shared" si="4"/>
        <v>0.94863541387025385</v>
      </c>
      <c r="P7" s="56">
        <f t="shared" si="5"/>
        <v>0.99146546169385696</v>
      </c>
    </row>
    <row r="8" spans="1:16" x14ac:dyDescent="0.25">
      <c r="A8" s="57">
        <v>2005</v>
      </c>
      <c r="B8" s="56">
        <v>468.44</v>
      </c>
      <c r="C8" s="56">
        <v>499.49</v>
      </c>
      <c r="D8" s="56">
        <v>3.13</v>
      </c>
      <c r="E8" s="56">
        <v>476.57</v>
      </c>
      <c r="F8" s="56">
        <v>516.1</v>
      </c>
      <c r="G8" s="56">
        <v>3.05</v>
      </c>
      <c r="I8" s="56">
        <f t="shared" si="0"/>
        <v>0.98294059634471331</v>
      </c>
      <c r="J8" s="56">
        <f t="shared" si="1"/>
        <v>0.96781631466770002</v>
      </c>
      <c r="K8" s="56">
        <f t="shared" si="2"/>
        <v>1.0262295081967214</v>
      </c>
      <c r="L8" s="56">
        <v>1</v>
      </c>
      <c r="N8" s="56">
        <f t="shared" si="3"/>
        <v>0.99842754456681981</v>
      </c>
      <c r="O8" s="56">
        <f t="shared" si="4"/>
        <v>0.96048347131824774</v>
      </c>
      <c r="P8" s="56">
        <f t="shared" si="5"/>
        <v>1.003511434898348</v>
      </c>
    </row>
    <row r="9" spans="1:16" x14ac:dyDescent="0.25">
      <c r="A9" s="57">
        <v>2006</v>
      </c>
      <c r="B9" s="56">
        <v>456.67</v>
      </c>
      <c r="C9" s="56">
        <v>478.52</v>
      </c>
      <c r="D9" s="56">
        <v>3.09</v>
      </c>
      <c r="E9" s="56">
        <v>450.81</v>
      </c>
      <c r="F9" s="56">
        <v>494.44</v>
      </c>
      <c r="G9" s="56">
        <v>2.98</v>
      </c>
      <c r="I9" s="56">
        <f t="shared" si="0"/>
        <v>1.0129988243384132</v>
      </c>
      <c r="J9" s="56">
        <f t="shared" si="1"/>
        <v>0.9678019577704069</v>
      </c>
      <c r="K9" s="56">
        <f t="shared" si="2"/>
        <v>1.0369127516778522</v>
      </c>
      <c r="L9" s="56">
        <v>1</v>
      </c>
      <c r="N9" s="56">
        <f t="shared" si="3"/>
        <v>0.99393632958240885</v>
      </c>
      <c r="O9" s="56">
        <f t="shared" si="4"/>
        <v>0.96260999588958884</v>
      </c>
      <c r="P9" s="56">
        <f t="shared" si="5"/>
        <v>1.0100996761548764</v>
      </c>
    </row>
    <row r="10" spans="1:16" x14ac:dyDescent="0.25">
      <c r="A10" s="57">
        <v>2007</v>
      </c>
      <c r="B10" s="56">
        <v>462.29</v>
      </c>
      <c r="C10" s="56">
        <v>485.07</v>
      </c>
      <c r="D10" s="56">
        <v>3.09</v>
      </c>
      <c r="E10" s="56">
        <v>462.85</v>
      </c>
      <c r="F10" s="56">
        <v>497.36</v>
      </c>
      <c r="G10" s="56">
        <v>3</v>
      </c>
      <c r="I10" s="56">
        <f t="shared" si="0"/>
        <v>0.99879010478556762</v>
      </c>
      <c r="J10" s="56">
        <f t="shared" si="1"/>
        <v>0.97528952871159724</v>
      </c>
      <c r="K10" s="56">
        <f t="shared" si="2"/>
        <v>1.03</v>
      </c>
      <c r="L10" s="56">
        <v>1</v>
      </c>
      <c r="N10" s="56">
        <f t="shared" si="3"/>
        <v>0.99946445306164999</v>
      </c>
      <c r="O10" s="56">
        <f t="shared" si="4"/>
        <v>0.96411566483502598</v>
      </c>
      <c r="P10" s="56">
        <f t="shared" si="5"/>
        <v>1.0178754680565394</v>
      </c>
    </row>
    <row r="11" spans="1:16" x14ac:dyDescent="0.25">
      <c r="A11" s="57">
        <v>2008</v>
      </c>
      <c r="B11" s="56">
        <v>458.59</v>
      </c>
      <c r="C11" s="56">
        <v>480.97</v>
      </c>
      <c r="D11" s="56">
        <v>3.08</v>
      </c>
      <c r="E11" s="56">
        <v>477.16</v>
      </c>
      <c r="F11" s="56">
        <v>516.25</v>
      </c>
      <c r="G11" s="56">
        <v>3.05</v>
      </c>
      <c r="I11" s="56">
        <f t="shared" si="0"/>
        <v>0.96108223656635083</v>
      </c>
      <c r="J11" s="56">
        <f t="shared" si="1"/>
        <v>0.9316610169491526</v>
      </c>
      <c r="K11" s="56">
        <f t="shared" si="2"/>
        <v>1.0098360655737706</v>
      </c>
      <c r="L11" s="56">
        <v>1</v>
      </c>
      <c r="N11" s="56">
        <f t="shared" si="3"/>
        <v>0.99926889206158609</v>
      </c>
      <c r="O11" s="56">
        <f t="shared" si="4"/>
        <v>0.96735608535923157</v>
      </c>
      <c r="P11" s="56">
        <f t="shared" si="5"/>
        <v>1.0213915823201429</v>
      </c>
    </row>
    <row r="12" spans="1:16" x14ac:dyDescent="0.25">
      <c r="A12" s="57">
        <v>2009</v>
      </c>
      <c r="B12" s="56">
        <v>468.99</v>
      </c>
      <c r="C12" s="56">
        <v>490.11</v>
      </c>
      <c r="D12" s="56">
        <v>3.12</v>
      </c>
      <c r="E12" s="56">
        <v>468.12</v>
      </c>
      <c r="F12" s="56">
        <v>516.23</v>
      </c>
      <c r="G12" s="56">
        <v>3.17</v>
      </c>
      <c r="I12" s="56">
        <f t="shared" si="0"/>
        <v>1.0018584978210716</v>
      </c>
      <c r="J12" s="56">
        <f t="shared" si="1"/>
        <v>0.9494023981558608</v>
      </c>
      <c r="K12" s="56">
        <f t="shared" si="2"/>
        <v>0.98422712933753953</v>
      </c>
      <c r="L12" s="56">
        <v>1</v>
      </c>
      <c r="N12" s="56">
        <f t="shared" si="3"/>
        <v>0.98819476196796785</v>
      </c>
      <c r="O12" s="56">
        <f t="shared" si="4"/>
        <v>0.95700451552030863</v>
      </c>
      <c r="P12" s="56">
        <f t="shared" si="5"/>
        <v>1.0180404824636948</v>
      </c>
    </row>
    <row r="13" spans="1:16" x14ac:dyDescent="0.25">
      <c r="A13" s="57">
        <v>2010</v>
      </c>
      <c r="B13" s="56">
        <v>462.22</v>
      </c>
      <c r="C13" s="56">
        <v>489</v>
      </c>
      <c r="D13" s="56">
        <v>3.15</v>
      </c>
      <c r="E13" s="56">
        <v>463.64</v>
      </c>
      <c r="F13" s="56">
        <v>516.88</v>
      </c>
      <c r="G13" s="56">
        <v>3.09</v>
      </c>
      <c r="I13" s="56">
        <f t="shared" si="0"/>
        <v>0.99693727892330264</v>
      </c>
      <c r="J13" s="56">
        <f t="shared" si="1"/>
        <v>0.94606098127224891</v>
      </c>
      <c r="K13" s="56">
        <f t="shared" si="2"/>
        <v>1.0194174757281553</v>
      </c>
      <c r="L13" s="56">
        <v>1</v>
      </c>
      <c r="N13" s="56">
        <f t="shared" si="3"/>
        <v>0.99215724536536787</v>
      </c>
      <c r="O13" s="56">
        <f t="shared" si="4"/>
        <v>0.95479990148461868</v>
      </c>
      <c r="P13" s="56">
        <f t="shared" si="5"/>
        <v>1.0082346100571098</v>
      </c>
    </row>
    <row r="14" spans="1:16" x14ac:dyDescent="0.25">
      <c r="A14" s="57">
        <v>2011</v>
      </c>
      <c r="B14" s="56">
        <v>465.21</v>
      </c>
      <c r="C14" s="56">
        <v>492.2</v>
      </c>
      <c r="D14" s="56">
        <v>3.17</v>
      </c>
      <c r="E14" s="56">
        <v>471.24</v>
      </c>
      <c r="F14" s="56">
        <v>496.4</v>
      </c>
      <c r="G14" s="56">
        <v>3.1</v>
      </c>
      <c r="I14" s="56">
        <f t="shared" si="0"/>
        <v>0.98720397249809011</v>
      </c>
      <c r="J14" s="56">
        <f t="shared" si="1"/>
        <v>0.99153908138597913</v>
      </c>
      <c r="K14" s="56">
        <f t="shared" si="2"/>
        <v>1.0225806451612902</v>
      </c>
      <c r="L14" s="56">
        <v>1</v>
      </c>
      <c r="N14" s="56">
        <f t="shared" si="3"/>
        <v>0.9935434550971689</v>
      </c>
      <c r="O14" s="56">
        <f t="shared" si="4"/>
        <v>0.95226561462303139</v>
      </c>
      <c r="P14" s="56">
        <f t="shared" si="5"/>
        <v>1.0114776411017128</v>
      </c>
    </row>
    <row r="15" spans="1:16" x14ac:dyDescent="0.25">
      <c r="A15" s="57">
        <v>2012</v>
      </c>
      <c r="B15" s="56">
        <v>461.4</v>
      </c>
      <c r="C15" s="56">
        <v>492.13</v>
      </c>
      <c r="D15" s="56">
        <v>3.15</v>
      </c>
      <c r="E15" s="56">
        <v>483.3</v>
      </c>
      <c r="F15" s="56">
        <v>509.43</v>
      </c>
      <c r="G15" s="56">
        <v>3.04</v>
      </c>
      <c r="I15" s="56">
        <f t="shared" si="0"/>
        <v>0.9546865301055244</v>
      </c>
      <c r="J15" s="56">
        <f t="shared" si="1"/>
        <v>0.96604047661111436</v>
      </c>
      <c r="K15" s="56">
        <f t="shared" si="2"/>
        <v>1.0361842105263157</v>
      </c>
      <c r="L15" s="56">
        <v>1</v>
      </c>
      <c r="N15" s="56">
        <f t="shared" si="3"/>
        <v>0.99170500514343596</v>
      </c>
      <c r="O15" s="56">
        <f t="shared" si="4"/>
        <v>0.96365491998428621</v>
      </c>
      <c r="P15" s="56">
        <f t="shared" si="5"/>
        <v>1.0146975122789903</v>
      </c>
    </row>
    <row r="16" spans="1:16" x14ac:dyDescent="0.25">
      <c r="A16" s="57">
        <v>2013</v>
      </c>
      <c r="B16" s="56">
        <v>462.36</v>
      </c>
      <c r="C16" s="56">
        <v>487.59</v>
      </c>
      <c r="D16" s="56">
        <v>3.17</v>
      </c>
      <c r="E16" s="56">
        <v>464.55</v>
      </c>
      <c r="F16" s="56">
        <v>493.75</v>
      </c>
      <c r="G16" s="56">
        <v>3.04</v>
      </c>
      <c r="I16" s="56">
        <f t="shared" si="0"/>
        <v>0.99528576041330319</v>
      </c>
      <c r="J16" s="56">
        <f t="shared" si="1"/>
        <v>0.98752405063291138</v>
      </c>
      <c r="K16" s="56">
        <f t="shared" si="2"/>
        <v>1.0427631578947367</v>
      </c>
      <c r="L16" s="56">
        <v>1</v>
      </c>
      <c r="N16" s="56">
        <f t="shared" si="3"/>
        <v>0.98096964738244163</v>
      </c>
      <c r="O16" s="56">
        <f t="shared" si="4"/>
        <v>0.9643467314060663</v>
      </c>
      <c r="P16" s="56">
        <f t="shared" si="5"/>
        <v>1.0209286547707146</v>
      </c>
    </row>
    <row r="17" spans="1:16" x14ac:dyDescent="0.25">
      <c r="A17" s="57">
        <v>2014</v>
      </c>
      <c r="B17" s="56">
        <v>461.96</v>
      </c>
      <c r="C17" s="56">
        <v>485.85</v>
      </c>
      <c r="D17" s="56">
        <v>3.18</v>
      </c>
      <c r="E17" s="56">
        <v>474.52</v>
      </c>
      <c r="F17" s="56">
        <v>510.1</v>
      </c>
      <c r="G17" s="56">
        <v>3.14</v>
      </c>
      <c r="I17" s="56">
        <f t="shared" si="0"/>
        <v>0.97353114726460421</v>
      </c>
      <c r="J17" s="56">
        <f t="shared" si="1"/>
        <v>0.95246030190158792</v>
      </c>
      <c r="K17" s="56">
        <f t="shared" si="2"/>
        <v>1.0127388535031847</v>
      </c>
      <c r="L17" s="56">
        <v>1</v>
      </c>
      <c r="N17" s="56">
        <f t="shared" si="3"/>
        <v>0.98512132016139153</v>
      </c>
      <c r="O17" s="56">
        <f t="shared" si="4"/>
        <v>0.97106815398185131</v>
      </c>
      <c r="P17" s="56">
        <f t="shared" si="5"/>
        <v>1.027260660676681</v>
      </c>
    </row>
    <row r="18" spans="1:16" x14ac:dyDescent="0.25">
      <c r="A18" s="57">
        <v>2015</v>
      </c>
      <c r="B18" s="56">
        <v>459.03</v>
      </c>
      <c r="C18" s="56">
        <v>475.62</v>
      </c>
      <c r="D18" s="56">
        <v>3.15</v>
      </c>
      <c r="E18" s="56">
        <v>468.36</v>
      </c>
      <c r="F18" s="56">
        <v>511.03</v>
      </c>
      <c r="G18" s="56">
        <v>3.14</v>
      </c>
      <c r="I18" s="56">
        <f t="shared" si="0"/>
        <v>0.98007942608250054</v>
      </c>
      <c r="J18" s="56">
        <f t="shared" si="1"/>
        <v>0.93070856896855381</v>
      </c>
      <c r="K18" s="56">
        <f t="shared" si="2"/>
        <v>1.0031847133757961</v>
      </c>
      <c r="L18" s="56">
        <v>1</v>
      </c>
      <c r="N18" s="56">
        <f t="shared" si="3"/>
        <v>0.98176017002132321</v>
      </c>
      <c r="O18" s="56">
        <f t="shared" si="4"/>
        <v>0.96567187687857492</v>
      </c>
      <c r="P18" s="56">
        <f t="shared" si="5"/>
        <v>1.0230493365963671</v>
      </c>
    </row>
    <row r="19" spans="1:16" x14ac:dyDescent="0.25">
      <c r="A19" s="57">
        <v>2016</v>
      </c>
      <c r="B19" s="56">
        <v>456.85</v>
      </c>
      <c r="C19" s="56">
        <v>469.74</v>
      </c>
      <c r="D19" s="56">
        <v>3.19</v>
      </c>
      <c r="E19" s="56">
        <v>454.5</v>
      </c>
      <c r="F19" s="56">
        <v>491.32</v>
      </c>
      <c r="G19" s="56">
        <v>3.09</v>
      </c>
      <c r="I19" s="56">
        <f t="shared" si="0"/>
        <v>1.0051705170517051</v>
      </c>
      <c r="J19" s="56">
        <f t="shared" si="1"/>
        <v>0.95607750549540016</v>
      </c>
      <c r="K19" s="56">
        <f t="shared" si="2"/>
        <v>1.0323624595469256</v>
      </c>
      <c r="L19" s="56">
        <v>1</v>
      </c>
      <c r="N19" s="56">
        <f t="shared" si="3"/>
        <v>0.98127275427906469</v>
      </c>
      <c r="O19" s="56">
        <f t="shared" si="4"/>
        <v>0.95553251758466873</v>
      </c>
      <c r="P19" s="56">
        <f t="shared" si="5"/>
        <v>1.0172885958624014</v>
      </c>
    </row>
    <row r="20" spans="1:16" x14ac:dyDescent="0.25">
      <c r="B20" s="56">
        <f>ROUND(AVERAGE(B4:B19),0)</f>
        <v>461</v>
      </c>
      <c r="C20" s="56">
        <f>ROUND(AVERAGE(C4:C19),0)</f>
        <v>487</v>
      </c>
      <c r="D20" s="56">
        <f>ROUND(AVERAGE(D4:D19),2)</f>
        <v>3.13</v>
      </c>
      <c r="E20" s="56">
        <f>ROUND(AVERAGE(E4:E19),0)</f>
        <v>466</v>
      </c>
      <c r="F20" s="56">
        <f>ROUND(AVERAGE(F4:F19),0)</f>
        <v>507</v>
      </c>
      <c r="G20" s="56">
        <f>ROUND(AVERAGE(G4:G19),2)</f>
        <v>3.08</v>
      </c>
    </row>
    <row r="21" spans="1:16" x14ac:dyDescent="0.25">
      <c r="H21" s="56" t="s">
        <v>81</v>
      </c>
      <c r="I21" s="56">
        <f>AVERAGE(I4:I19)</f>
        <v>0.99072576942359203</v>
      </c>
      <c r="J21" s="56">
        <f>AVERAGE(J4:J19)</f>
        <v>0.96102310370369348</v>
      </c>
      <c r="K21" s="56">
        <f>AVERAGE(K4:K19)</f>
        <v>1.0164989080233451</v>
      </c>
      <c r="N21" s="56" t="s">
        <v>71</v>
      </c>
    </row>
    <row r="22" spans="1:16" x14ac:dyDescent="0.25">
      <c r="B22" s="56" t="str">
        <f>B20&amp;"/"&amp;E20&amp;", "&amp;C20&amp;"/"&amp;F20&amp;", "&amp;D20&amp;"/"&amp;G20</f>
        <v>461/466, 487/507, 3.13/3.08</v>
      </c>
      <c r="H22" s="56" t="s">
        <v>80</v>
      </c>
    </row>
    <row r="23" spans="1:16" x14ac:dyDescent="0.25">
      <c r="H23" s="56" t="s">
        <v>79</v>
      </c>
    </row>
  </sheetData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workbookViewId="0">
      <selection activeCell="Z4" sqref="Z4:Z19"/>
    </sheetView>
  </sheetViews>
  <sheetFormatPr defaultRowHeight="15" x14ac:dyDescent="0.25"/>
  <cols>
    <col min="1" max="1" width="9.5" style="57" bestFit="1" customWidth="1"/>
    <col min="2" max="2" width="11.1640625" style="56" bestFit="1" customWidth="1"/>
    <col min="3" max="3" width="10.1640625" style="56" bestFit="1" customWidth="1"/>
    <col min="4" max="4" width="9.5" style="56" bestFit="1" customWidth="1"/>
    <col min="5" max="5" width="9.33203125" style="56"/>
    <col min="6" max="6" width="10.1640625" style="56" bestFit="1" customWidth="1"/>
    <col min="7" max="8" width="9.5" style="56" bestFit="1" customWidth="1"/>
    <col min="9" max="10" width="5.1640625" style="56" customWidth="1"/>
    <col min="11" max="13" width="9.5" style="56" bestFit="1" customWidth="1"/>
    <col min="14" max="14" width="9.5" style="56" customWidth="1"/>
    <col min="15" max="17" width="9.5" style="56" bestFit="1" customWidth="1"/>
    <col min="18" max="18" width="9.33203125" style="56"/>
    <col min="19" max="20" width="9.5" style="56" bestFit="1" customWidth="1"/>
    <col min="21" max="21" width="9.83203125" style="56" bestFit="1" customWidth="1"/>
    <col min="22" max="22" width="9.33203125" style="56"/>
    <col min="23" max="24" width="9.5" style="56" bestFit="1" customWidth="1"/>
    <col min="25" max="25" width="9.83203125" style="56" bestFit="1" customWidth="1"/>
    <col min="26" max="16384" width="9.33203125" style="56"/>
  </cols>
  <sheetData>
    <row r="1" spans="1:28" ht="16.5" x14ac:dyDescent="0.3">
      <c r="A1" s="78" t="s">
        <v>87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17.25" thickBot="1" x14ac:dyDescent="0.35">
      <c r="A2" s="65"/>
      <c r="B2" s="69" t="s">
        <v>103</v>
      </c>
      <c r="C2" s="69"/>
      <c r="D2" s="69"/>
      <c r="E2" s="69"/>
      <c r="F2" s="69" t="s">
        <v>91</v>
      </c>
      <c r="G2" s="69"/>
      <c r="H2" s="69"/>
      <c r="I2" s="69"/>
      <c r="J2" s="69"/>
      <c r="K2" s="69" t="s">
        <v>108</v>
      </c>
      <c r="L2" s="69"/>
      <c r="M2" s="69"/>
      <c r="N2" s="69"/>
      <c r="O2" s="69" t="s">
        <v>109</v>
      </c>
      <c r="P2" s="69"/>
      <c r="Q2" s="69"/>
      <c r="R2" s="69"/>
      <c r="S2" s="69" t="s">
        <v>110</v>
      </c>
      <c r="T2" s="69"/>
      <c r="U2" s="69"/>
      <c r="V2" s="69"/>
      <c r="W2" s="69" t="s">
        <v>111</v>
      </c>
      <c r="X2" s="69"/>
      <c r="Y2" s="69"/>
      <c r="Z2" s="69"/>
      <c r="AA2" s="69"/>
      <c r="AB2" s="69"/>
    </row>
    <row r="3" spans="1:28" ht="17.25" thickBot="1" x14ac:dyDescent="0.35">
      <c r="A3" s="65" t="s">
        <v>30</v>
      </c>
      <c r="B3" s="66" t="s">
        <v>104</v>
      </c>
      <c r="C3" s="67" t="s">
        <v>105</v>
      </c>
      <c r="D3" s="68" t="s">
        <v>106</v>
      </c>
      <c r="E3" s="69"/>
      <c r="F3" s="66" t="s">
        <v>104</v>
      </c>
      <c r="G3" s="67" t="s">
        <v>105</v>
      </c>
      <c r="H3" s="68" t="s">
        <v>106</v>
      </c>
      <c r="I3" s="82"/>
      <c r="J3" s="82"/>
      <c r="K3" s="66" t="s">
        <v>104</v>
      </c>
      <c r="L3" s="67" t="s">
        <v>105</v>
      </c>
      <c r="M3" s="68" t="s">
        <v>106</v>
      </c>
      <c r="N3" s="82"/>
      <c r="O3" s="66" t="s">
        <v>104</v>
      </c>
      <c r="P3" s="67" t="s">
        <v>105</v>
      </c>
      <c r="Q3" s="68" t="s">
        <v>106</v>
      </c>
      <c r="R3" s="69"/>
      <c r="S3" s="66" t="s">
        <v>104</v>
      </c>
      <c r="T3" s="67" t="s">
        <v>105</v>
      </c>
      <c r="U3" s="68" t="s">
        <v>106</v>
      </c>
      <c r="V3" s="69"/>
      <c r="W3" s="66" t="s">
        <v>104</v>
      </c>
      <c r="X3" s="67" t="s">
        <v>105</v>
      </c>
      <c r="Y3" s="68" t="s">
        <v>106</v>
      </c>
      <c r="Z3" s="69"/>
      <c r="AA3" s="69"/>
      <c r="AB3" s="69"/>
    </row>
    <row r="4" spans="1:28" ht="16.5" x14ac:dyDescent="0.3">
      <c r="A4" s="65">
        <v>2001</v>
      </c>
      <c r="B4" s="70">
        <v>548</v>
      </c>
      <c r="C4" s="71">
        <f>'3.SAT-GPA'!D4</f>
        <v>3.07</v>
      </c>
      <c r="D4" s="79">
        <v>0.41732794130029799</v>
      </c>
      <c r="E4" s="69"/>
      <c r="F4" s="70">
        <v>451</v>
      </c>
      <c r="G4" s="71">
        <f>'3.SAT-GPA'!G4</f>
        <v>3.11</v>
      </c>
      <c r="H4" s="79">
        <v>0.46997616793116115</v>
      </c>
      <c r="I4" s="85">
        <f>IF(ABS((C4-G4)/SQRT(D4^2/B4+H4^2/F4))-_xlfn.T.INV.2T(0.1,MIN(B4,F4)-1)&lt;0,0,IF((C4-G4)/SQRT(D4^2/B4+H4^2/F4)&gt;0,1,-1))</f>
        <v>0</v>
      </c>
      <c r="J4" s="85"/>
      <c r="K4" s="70">
        <v>504</v>
      </c>
      <c r="L4" s="71">
        <f>'3.SAT-GPA'!B4</f>
        <v>457.6</v>
      </c>
      <c r="M4" s="79">
        <v>86.896971051341538</v>
      </c>
      <c r="N4" s="84"/>
      <c r="O4" s="70">
        <v>97</v>
      </c>
      <c r="P4" s="71">
        <f>'3.SAT-GPA'!E4</f>
        <v>483.2</v>
      </c>
      <c r="Q4" s="79">
        <v>96.174088259839081</v>
      </c>
      <c r="R4" s="85">
        <f>IF(ABS((L4-P4)/SQRT(M4^2/K4+Q4^2/O4))-_xlfn.T.INV.2T(0.1,MIN(K4,O4)-1)&lt;0,0,IF((L4-P4)/SQRT(M4^2/K4+Q4^2/O4)&gt;0,1,-1))</f>
        <v>-1</v>
      </c>
      <c r="S4" s="70">
        <v>504</v>
      </c>
      <c r="T4" s="71">
        <f>'3.SAT-GPA'!C4</f>
        <v>487.72</v>
      </c>
      <c r="U4" s="79">
        <v>96.496398807509323</v>
      </c>
      <c r="V4" s="69"/>
      <c r="W4" s="70">
        <v>97</v>
      </c>
      <c r="X4" s="71">
        <f>'3.SAT-GPA'!F4</f>
        <v>532.27</v>
      </c>
      <c r="Y4" s="79">
        <v>84.637771742280052</v>
      </c>
      <c r="Z4" s="85">
        <f>IF(ABS((T4-X4)/SQRT(U4^2/S4+Y4^2/W4))-_xlfn.T.INV.2T(0.1,MIN(S4,W4)-1)&lt;0,0,IF((T4-X4)/SQRT(U4^2/S4+Y4^2/W4)&gt;0,1,-1))</f>
        <v>-1</v>
      </c>
      <c r="AA4" s="69"/>
      <c r="AB4" s="69"/>
    </row>
    <row r="5" spans="1:28" ht="16.5" x14ac:dyDescent="0.3">
      <c r="A5" s="65">
        <v>2002</v>
      </c>
      <c r="B5" s="72">
        <v>580</v>
      </c>
      <c r="C5" s="73">
        <f>'3.SAT-GPA'!D5</f>
        <v>3.09</v>
      </c>
      <c r="D5" s="80">
        <v>0.42376268440870457</v>
      </c>
      <c r="E5" s="69"/>
      <c r="F5" s="72">
        <v>439</v>
      </c>
      <c r="G5" s="73">
        <f>'3.SAT-GPA'!G5</f>
        <v>3.15</v>
      </c>
      <c r="H5" s="80">
        <v>0.47897930446820586</v>
      </c>
      <c r="I5" s="85">
        <f>IF(ABS((C5-G5)/SQRT(D5^2/B5+H5^2/F5))-_xlfn.T.INV.2T(0.1,MIN(B5,F5)-1)&lt;0,0,IF((C5-G5)/SQRT(D5^2/B5+H5^2/F5)&gt;0,1,-1))</f>
        <v>-1</v>
      </c>
      <c r="J5" s="85"/>
      <c r="K5" s="72">
        <v>515</v>
      </c>
      <c r="L5" s="73">
        <f>'3.SAT-GPA'!B5</f>
        <v>456.95</v>
      </c>
      <c r="M5" s="80">
        <v>84.385093129222568</v>
      </c>
      <c r="N5" s="84"/>
      <c r="O5" s="72">
        <v>87</v>
      </c>
      <c r="P5" s="73">
        <f>'3.SAT-GPA'!E5</f>
        <v>485.98</v>
      </c>
      <c r="Q5" s="80">
        <v>88.726984654617965</v>
      </c>
      <c r="R5" s="85">
        <f>IF(ABS((L5-P5)/SQRT(M5^2/K5+Q5^2/O5))-_xlfn.T.INV.2T(0.1,MIN(K5,O5)-1)&lt;0,0,IF((L5-P5)/SQRT(M5^2/K5+Q5^2/O5)&gt;0,1,-1))</f>
        <v>-1</v>
      </c>
      <c r="S5" s="72">
        <v>515</v>
      </c>
      <c r="T5" s="73">
        <f>'3.SAT-GPA'!C5</f>
        <v>491.2</v>
      </c>
      <c r="U5" s="80">
        <v>85.282836820085109</v>
      </c>
      <c r="V5" s="69"/>
      <c r="W5" s="72">
        <v>87</v>
      </c>
      <c r="X5" s="73">
        <f>'3.SAT-GPA'!F5</f>
        <v>527.92999999999995</v>
      </c>
      <c r="Y5" s="80">
        <v>99.231206773648736</v>
      </c>
      <c r="Z5" s="85">
        <f t="shared" ref="Z5:Z19" si="0">IF(ABS((T5-X5)/SQRT(U5^2/S5+Y5^2/W5))-_xlfn.T.INV.2T(0.1,MIN(S5,W5)-1)&lt;0,0,IF((T5-X5)/SQRT(U5^2/S5+Y5^2/W5)&gt;0,1,-1))</f>
        <v>-1</v>
      </c>
      <c r="AA5" s="69"/>
      <c r="AB5" s="69"/>
    </row>
    <row r="6" spans="1:28" ht="16.5" x14ac:dyDescent="0.3">
      <c r="A6" s="65">
        <v>2003</v>
      </c>
      <c r="B6" s="72">
        <v>622</v>
      </c>
      <c r="C6" s="73">
        <f>'3.SAT-GPA'!D6</f>
        <v>3.12</v>
      </c>
      <c r="D6" s="80">
        <v>0.41032797229192292</v>
      </c>
      <c r="E6" s="69"/>
      <c r="F6" s="72">
        <v>405</v>
      </c>
      <c r="G6" s="73">
        <f>'3.SAT-GPA'!G6</f>
        <v>3.1</v>
      </c>
      <c r="H6" s="80">
        <v>0.48992357506028317</v>
      </c>
      <c r="I6" s="85">
        <f t="shared" ref="I6:I9" si="1">IF(ABS((C6-G6)/SQRT(D6^2/B6+H6^2/F6))-_xlfn.T.INV.2T(0.1,MIN(B6,F6)-1)&lt;0,0,IF((C6-G6)/SQRT(D6^2/B6+H6^2/F6)&gt;0,1,-1))</f>
        <v>0</v>
      </c>
      <c r="J6" s="85"/>
      <c r="K6" s="72">
        <v>547</v>
      </c>
      <c r="L6" s="73">
        <f>'3.SAT-GPA'!B6</f>
        <v>465.12</v>
      </c>
      <c r="M6" s="80">
        <v>84.552817921238855</v>
      </c>
      <c r="N6" s="84"/>
      <c r="O6" s="72">
        <v>76</v>
      </c>
      <c r="P6" s="73">
        <f>'3.SAT-GPA'!E6</f>
        <v>430</v>
      </c>
      <c r="Q6" s="80">
        <v>90.822626159035977</v>
      </c>
      <c r="R6" s="85">
        <f t="shared" ref="R6:R9" si="2">IF(ABS((L6-P6)/SQRT(M6^2/K6+Q6^2/O6))-_xlfn.T.INV.2T(0.1,MIN(K6,O6)-1)&lt;0,0,IF((L6-P6)/SQRT(M6^2/K6+Q6^2/O6)&gt;0,1,-1))</f>
        <v>1</v>
      </c>
      <c r="S6" s="72">
        <v>547</v>
      </c>
      <c r="T6" s="73">
        <f>'3.SAT-GPA'!C6</f>
        <v>493.75</v>
      </c>
      <c r="U6" s="80">
        <v>95.303025485378299</v>
      </c>
      <c r="V6" s="69"/>
      <c r="W6" s="72">
        <v>76</v>
      </c>
      <c r="X6" s="73">
        <f>'3.SAT-GPA'!F6</f>
        <v>485.13</v>
      </c>
      <c r="Y6" s="80">
        <v>93.030366670281566</v>
      </c>
      <c r="Z6" s="85">
        <f t="shared" si="0"/>
        <v>0</v>
      </c>
      <c r="AA6" s="69"/>
      <c r="AB6" s="69"/>
    </row>
    <row r="7" spans="1:28" ht="16.5" x14ac:dyDescent="0.3">
      <c r="A7" s="65">
        <v>2004</v>
      </c>
      <c r="B7" s="72">
        <v>530</v>
      </c>
      <c r="C7" s="73">
        <f>'3.SAT-GPA'!D7</f>
        <v>3.13</v>
      </c>
      <c r="D7" s="80">
        <v>0.39956414174765265</v>
      </c>
      <c r="E7" s="69"/>
      <c r="F7" s="72">
        <v>468</v>
      </c>
      <c r="G7" s="73">
        <f>'3.SAT-GPA'!G7</f>
        <v>3.03</v>
      </c>
      <c r="H7" s="80">
        <v>0.52899019982284623</v>
      </c>
      <c r="I7" s="85">
        <f t="shared" si="1"/>
        <v>1</v>
      </c>
      <c r="J7" s="85"/>
      <c r="K7" s="72">
        <v>463</v>
      </c>
      <c r="L7" s="73">
        <f>'3.SAT-GPA'!B7</f>
        <v>456.41</v>
      </c>
      <c r="M7" s="80">
        <v>81.875319372558309</v>
      </c>
      <c r="N7" s="84"/>
      <c r="O7" s="72">
        <v>36</v>
      </c>
      <c r="P7" s="73">
        <f>'3.SAT-GPA'!E7</f>
        <v>442.22</v>
      </c>
      <c r="Q7" s="80">
        <v>90.813350331702196</v>
      </c>
      <c r="R7" s="85">
        <f t="shared" si="2"/>
        <v>0</v>
      </c>
      <c r="S7" s="72">
        <v>463</v>
      </c>
      <c r="T7" s="73">
        <f>'3.SAT-GPA'!C7</f>
        <v>493.37</v>
      </c>
      <c r="U7" s="80">
        <v>70.715167543002508</v>
      </c>
      <c r="V7" s="69"/>
      <c r="W7" s="72">
        <v>36</v>
      </c>
      <c r="X7" s="73">
        <f>'3.SAT-GPA'!F7</f>
        <v>498.61</v>
      </c>
      <c r="Y7" s="80">
        <v>89.063469432206603</v>
      </c>
      <c r="Z7" s="85">
        <f t="shared" si="0"/>
        <v>0</v>
      </c>
      <c r="AA7" s="69"/>
      <c r="AB7" s="69"/>
    </row>
    <row r="8" spans="1:28" ht="16.5" x14ac:dyDescent="0.3">
      <c r="A8" s="65">
        <v>2005</v>
      </c>
      <c r="B8" s="72">
        <v>650</v>
      </c>
      <c r="C8" s="73">
        <f>'3.SAT-GPA'!D8</f>
        <v>3.13</v>
      </c>
      <c r="D8" s="80">
        <v>0.38433865007004164</v>
      </c>
      <c r="E8" s="69"/>
      <c r="F8" s="72">
        <v>831</v>
      </c>
      <c r="G8" s="73">
        <f>'3.SAT-GPA'!G8</f>
        <v>3.05</v>
      </c>
      <c r="H8" s="80">
        <v>0.48111165487434171</v>
      </c>
      <c r="I8" s="85">
        <f t="shared" si="1"/>
        <v>1</v>
      </c>
      <c r="J8" s="85"/>
      <c r="K8" s="72">
        <v>525</v>
      </c>
      <c r="L8" s="73">
        <f>'3.SAT-GPA'!B8</f>
        <v>468.44</v>
      </c>
      <c r="M8" s="80">
        <v>83.669643437785609</v>
      </c>
      <c r="N8" s="84"/>
      <c r="O8" s="72">
        <v>105</v>
      </c>
      <c r="P8" s="73">
        <f>'3.SAT-GPA'!E8</f>
        <v>476.57</v>
      </c>
      <c r="Q8" s="80">
        <v>92.994717313408003</v>
      </c>
      <c r="R8" s="85">
        <f t="shared" si="2"/>
        <v>0</v>
      </c>
      <c r="S8" s="72">
        <v>525</v>
      </c>
      <c r="T8" s="73">
        <f>'3.SAT-GPA'!C8</f>
        <v>499.49</v>
      </c>
      <c r="U8" s="80">
        <v>87.418407798232096</v>
      </c>
      <c r="V8" s="69"/>
      <c r="W8" s="72">
        <v>105</v>
      </c>
      <c r="X8" s="73">
        <f>'3.SAT-GPA'!F8</f>
        <v>516.1</v>
      </c>
      <c r="Y8" s="80">
        <v>89.101705479827572</v>
      </c>
      <c r="Z8" s="85">
        <f t="shared" si="0"/>
        <v>-1</v>
      </c>
      <c r="AA8" s="69"/>
      <c r="AB8" s="69"/>
    </row>
    <row r="9" spans="1:28" ht="16.5" x14ac:dyDescent="0.3">
      <c r="A9" s="65">
        <v>2006</v>
      </c>
      <c r="B9" s="72">
        <v>664</v>
      </c>
      <c r="C9" s="73">
        <f>'3.SAT-GPA'!D9</f>
        <v>3.09</v>
      </c>
      <c r="D9" s="80">
        <v>0.41267777798829225</v>
      </c>
      <c r="E9" s="69"/>
      <c r="F9" s="72">
        <v>893</v>
      </c>
      <c r="G9" s="73">
        <f>'3.SAT-GPA'!G9</f>
        <v>2.98</v>
      </c>
      <c r="H9" s="80">
        <v>0.54131606374010321</v>
      </c>
      <c r="I9" s="85">
        <f t="shared" si="1"/>
        <v>1</v>
      </c>
      <c r="J9" s="85"/>
      <c r="K9" s="72">
        <v>553</v>
      </c>
      <c r="L9" s="73">
        <f>'3.SAT-GPA'!B9</f>
        <v>456.67</v>
      </c>
      <c r="M9" s="80">
        <v>78.325752304511326</v>
      </c>
      <c r="N9" s="84"/>
      <c r="O9" s="72">
        <v>99</v>
      </c>
      <c r="P9" s="73">
        <f>'3.SAT-GPA'!E9</f>
        <v>450.81</v>
      </c>
      <c r="Q9" s="80">
        <v>89.077234916860078</v>
      </c>
      <c r="R9" s="85">
        <f t="shared" si="2"/>
        <v>0</v>
      </c>
      <c r="S9" s="72">
        <v>553</v>
      </c>
      <c r="T9" s="73">
        <f>'3.SAT-GPA'!C9</f>
        <v>478.52</v>
      </c>
      <c r="U9" s="80">
        <v>88.256083419585522</v>
      </c>
      <c r="V9" s="69"/>
      <c r="W9" s="72">
        <v>99</v>
      </c>
      <c r="X9" s="73">
        <f>'3.SAT-GPA'!F9</f>
        <v>494.44</v>
      </c>
      <c r="Y9" s="80">
        <v>104.60052505255334</v>
      </c>
      <c r="Z9" s="85">
        <f>IF(ABS((T9-X9)/SQRT(U9^2/S9+Y9^2/W9))-_xlfn.T.INV.2T(0.1,MIN(S9,W9)-1)&lt;0,0,IF((T9-X9)/SQRT(U9^2/S9+Y9^2/W9)&gt;0,1,-1))</f>
        <v>0</v>
      </c>
      <c r="AA9" s="69"/>
      <c r="AB9" s="69"/>
    </row>
    <row r="10" spans="1:28" ht="16.5" x14ac:dyDescent="0.3">
      <c r="A10" s="65">
        <v>2007</v>
      </c>
      <c r="B10" s="72">
        <v>699</v>
      </c>
      <c r="C10" s="73">
        <f>'3.SAT-GPA'!D10</f>
        <v>3.09</v>
      </c>
      <c r="D10" s="80">
        <v>0.38205784602831744</v>
      </c>
      <c r="E10" s="69"/>
      <c r="F10" s="72">
        <v>936</v>
      </c>
      <c r="G10" s="73">
        <f>'3.SAT-GPA'!G10</f>
        <v>3</v>
      </c>
      <c r="H10" s="80">
        <v>0.5222528481372215</v>
      </c>
      <c r="I10" s="85">
        <f>IF(ABS((C10-G10)/SQRT(D10^2/B10+H10^2/F10))-_xlfn.T.INV.2T(0.1,MIN(B10,F10)-1)&lt;0,0,IF((C10-G10)/SQRT(D10^2/B10+H10^2/F10)&gt;0,1,-1))</f>
        <v>1</v>
      </c>
      <c r="J10" s="85"/>
      <c r="K10" s="72">
        <v>512</v>
      </c>
      <c r="L10" s="73">
        <f>'3.SAT-GPA'!B10</f>
        <v>462.29</v>
      </c>
      <c r="M10" s="80">
        <v>80.776883005941599</v>
      </c>
      <c r="N10" s="84"/>
      <c r="O10" s="72">
        <v>144</v>
      </c>
      <c r="P10" s="73">
        <f>'3.SAT-GPA'!E10</f>
        <v>462.85</v>
      </c>
      <c r="Q10" s="80">
        <v>89.630376110504869</v>
      </c>
      <c r="R10" s="85">
        <f>IF(ABS((L10-P10)/SQRT(M10^2/K10+Q10^2/O10))-_xlfn.T.INV.2T(0.1,MIN(K10,O10)-1)&lt;0,0,IF((L10-P10)/SQRT(M10^2/K10+Q10^2/O10)&gt;0,1,-1))</f>
        <v>0</v>
      </c>
      <c r="S10" s="72">
        <v>515</v>
      </c>
      <c r="T10" s="73">
        <f>'3.SAT-GPA'!C10</f>
        <v>485.07</v>
      </c>
      <c r="U10" s="80">
        <v>97.684114808582265</v>
      </c>
      <c r="V10" s="69"/>
      <c r="W10" s="72">
        <v>144</v>
      </c>
      <c r="X10" s="73">
        <f>'3.SAT-GPA'!F10</f>
        <v>497.36</v>
      </c>
      <c r="Y10" s="80">
        <v>96.389261154392486</v>
      </c>
      <c r="Z10" s="85">
        <f t="shared" si="0"/>
        <v>0</v>
      </c>
      <c r="AA10" s="69"/>
      <c r="AB10" s="69"/>
    </row>
    <row r="11" spans="1:28" ht="16.5" x14ac:dyDescent="0.3">
      <c r="A11" s="65">
        <v>2008</v>
      </c>
      <c r="B11" s="72">
        <v>785</v>
      </c>
      <c r="C11" s="73">
        <f>'3.SAT-GPA'!D11</f>
        <v>3.08</v>
      </c>
      <c r="D11" s="80">
        <v>0.38815556455910755</v>
      </c>
      <c r="E11" s="69"/>
      <c r="F11" s="72">
        <v>815</v>
      </c>
      <c r="G11" s="73">
        <f>'3.SAT-GPA'!G11</f>
        <v>3.05</v>
      </c>
      <c r="H11" s="80">
        <v>0.50376178182937448</v>
      </c>
      <c r="I11" s="85">
        <f>IF(ABS((C11-G11)/SQRT(D11^2/B11+H11^2/F11))-_xlfn.T.INV.2T(0.1,MIN(B11,F11)-1)&lt;0,0,IF((C11-G11)/SQRT(D11^2/B11+H11^2/F11)&gt;0,1,-1))</f>
        <v>0</v>
      </c>
      <c r="J11" s="85"/>
      <c r="K11" s="72">
        <v>618</v>
      </c>
      <c r="L11" s="73">
        <f>'3.SAT-GPA'!B11</f>
        <v>458.59</v>
      </c>
      <c r="M11" s="80">
        <v>78.929992191123603</v>
      </c>
      <c r="N11" s="84"/>
      <c r="O11" s="72">
        <v>88</v>
      </c>
      <c r="P11" s="73">
        <f>'3.SAT-GPA'!E11</f>
        <v>477.16</v>
      </c>
      <c r="Q11" s="80">
        <v>92.948305870964433</v>
      </c>
      <c r="R11" s="85">
        <f>IF(ABS((L11-P11)/SQRT(M11^2/K11+Q11^2/O11))-_xlfn.T.INV.2T(0.1,MIN(K11,O11)-1)&lt;0,0,IF((L11-P11)/SQRT(M11^2/K11+Q11^2/O11)&gt;0,1,-1))</f>
        <v>-1</v>
      </c>
      <c r="S11" s="72">
        <v>621</v>
      </c>
      <c r="T11" s="73">
        <f>'3.SAT-GPA'!C11</f>
        <v>480.97</v>
      </c>
      <c r="U11" s="80">
        <v>100.42380154328674</v>
      </c>
      <c r="V11" s="69"/>
      <c r="W11" s="72">
        <v>88</v>
      </c>
      <c r="X11" s="73">
        <f>'3.SAT-GPA'!F11</f>
        <v>516.25</v>
      </c>
      <c r="Y11" s="80">
        <v>102.94862573259482</v>
      </c>
      <c r="Z11" s="85">
        <f t="shared" si="0"/>
        <v>-1</v>
      </c>
      <c r="AA11" s="69"/>
      <c r="AB11" s="69"/>
    </row>
    <row r="12" spans="1:28" ht="16.5" x14ac:dyDescent="0.3">
      <c r="A12" s="65">
        <v>2009</v>
      </c>
      <c r="B12" s="72">
        <v>614</v>
      </c>
      <c r="C12" s="73">
        <f>'3.SAT-GPA'!D12</f>
        <v>3.12</v>
      </c>
      <c r="D12" s="80">
        <v>0.36966895425465213</v>
      </c>
      <c r="E12" s="69"/>
      <c r="F12" s="72">
        <v>155</v>
      </c>
      <c r="G12" s="73">
        <f>'3.SAT-GPA'!G12</f>
        <v>3.17</v>
      </c>
      <c r="H12" s="80">
        <v>0.48525381090422587</v>
      </c>
      <c r="I12" s="85">
        <f t="shared" ref="I12:I13" si="3">IF(ABS((C12-G12)/SQRT(D12^2/B12+H12^2/F12))-_xlfn.T.INV.2T(0.1,MIN(B12,F12)-1)&lt;0,0,IF((C12-G12)/SQRT(D12^2/B12+H12^2/F12)&gt;0,1,-1))</f>
        <v>0</v>
      </c>
      <c r="J12" s="85"/>
      <c r="K12" s="72">
        <v>473</v>
      </c>
      <c r="L12" s="73">
        <f>'3.SAT-GPA'!B12</f>
        <v>468.99</v>
      </c>
      <c r="M12" s="80">
        <v>77.283224663696089</v>
      </c>
      <c r="N12" s="84"/>
      <c r="O12" s="72">
        <v>69</v>
      </c>
      <c r="P12" s="73">
        <f>'3.SAT-GPA'!E12</f>
        <v>468.12</v>
      </c>
      <c r="Q12" s="80">
        <v>95.120872539530396</v>
      </c>
      <c r="R12" s="85">
        <f t="shared" ref="R12:R13" si="4">IF(ABS((L12-P12)/SQRT(M12^2/K12+Q12^2/O12))-_xlfn.T.INV.2T(0.1,MIN(K12,O12)-1)&lt;0,0,IF((L12-P12)/SQRT(M12^2/K12+Q12^2/O12)&gt;0,1,-1))</f>
        <v>0</v>
      </c>
      <c r="S12" s="72">
        <v>474</v>
      </c>
      <c r="T12" s="73">
        <f>'3.SAT-GPA'!C12</f>
        <v>490.11</v>
      </c>
      <c r="U12" s="80">
        <v>90.914882013485524</v>
      </c>
      <c r="V12" s="69"/>
      <c r="W12" s="72">
        <v>69</v>
      </c>
      <c r="X12" s="73">
        <f>'3.SAT-GPA'!F12</f>
        <v>516.23</v>
      </c>
      <c r="Y12" s="80">
        <v>93.653011780272152</v>
      </c>
      <c r="Z12" s="85">
        <f t="shared" si="0"/>
        <v>-1</v>
      </c>
      <c r="AA12" s="69"/>
      <c r="AB12" s="69"/>
    </row>
    <row r="13" spans="1:28" ht="16.5" x14ac:dyDescent="0.3">
      <c r="A13" s="65">
        <v>2010</v>
      </c>
      <c r="B13" s="72">
        <v>686</v>
      </c>
      <c r="C13" s="73">
        <f>'3.SAT-GPA'!D13</f>
        <v>3.15</v>
      </c>
      <c r="D13" s="80">
        <v>0.3709019562584841</v>
      </c>
      <c r="E13" s="69"/>
      <c r="F13" s="72">
        <v>145</v>
      </c>
      <c r="G13" s="73">
        <f>'3.SAT-GPA'!G13</f>
        <v>3.09</v>
      </c>
      <c r="H13" s="80">
        <v>0.4799006422550206</v>
      </c>
      <c r="I13" s="85">
        <f t="shared" si="3"/>
        <v>0</v>
      </c>
      <c r="J13" s="85"/>
      <c r="K13" s="72">
        <v>517</v>
      </c>
      <c r="L13" s="73">
        <f>'3.SAT-GPA'!B13</f>
        <v>462.22</v>
      </c>
      <c r="M13" s="80">
        <v>83.072560663059122</v>
      </c>
      <c r="N13" s="84"/>
      <c r="O13" s="72">
        <v>77</v>
      </c>
      <c r="P13" s="73">
        <f>'3.SAT-GPA'!E13</f>
        <v>463.64</v>
      </c>
      <c r="Q13" s="80">
        <v>92.058744094051548</v>
      </c>
      <c r="R13" s="85">
        <f t="shared" si="4"/>
        <v>0</v>
      </c>
      <c r="S13" s="72">
        <v>518</v>
      </c>
      <c r="T13" s="73">
        <f>'3.SAT-GPA'!C13</f>
        <v>489</v>
      </c>
      <c r="U13" s="80">
        <v>100.88958387252519</v>
      </c>
      <c r="V13" s="69"/>
      <c r="W13" s="72">
        <v>77</v>
      </c>
      <c r="X13" s="73">
        <f>'3.SAT-GPA'!F13</f>
        <v>516.88</v>
      </c>
      <c r="Y13" s="80">
        <v>111.10994721043018</v>
      </c>
      <c r="Z13" s="85">
        <f>IF(ABS((T13-X13)/SQRT(U13^2/S13+Y13^2/W13))-_xlfn.T.INV.2T(0.1,MIN(S13,W13)-1)&lt;0,0,IF((T13-X13)/SQRT(U13^2/S13+Y13^2/W13)&gt;0,1,-1))</f>
        <v>-1</v>
      </c>
      <c r="AA13" s="69"/>
      <c r="AB13" s="69"/>
    </row>
    <row r="14" spans="1:28" ht="16.5" x14ac:dyDescent="0.3">
      <c r="A14" s="65">
        <v>2011</v>
      </c>
      <c r="B14" s="72">
        <v>662</v>
      </c>
      <c r="C14" s="73">
        <f>'3.SAT-GPA'!D14</f>
        <v>3.17</v>
      </c>
      <c r="D14" s="80">
        <v>0.39385392530737473</v>
      </c>
      <c r="E14" s="69"/>
      <c r="F14" s="72">
        <v>150</v>
      </c>
      <c r="G14" s="73">
        <f>'3.SAT-GPA'!G14</f>
        <v>3.1</v>
      </c>
      <c r="H14" s="80">
        <v>0.43785987563775369</v>
      </c>
      <c r="I14" s="85">
        <f>IF(ABS((C14-G14)/SQRT(D14^2/B14+H14^2/F14))-_xlfn.T.INV.2T(0.1,MIN(B14,F14)-1)&lt;0,0,IF((C14-G14)/SQRT(D14^2/B14+H14^2/F14)&gt;0,1,-1))</f>
        <v>1</v>
      </c>
      <c r="J14" s="85"/>
      <c r="K14" s="72">
        <v>564</v>
      </c>
      <c r="L14" s="73">
        <f>'3.SAT-GPA'!B14</f>
        <v>465.21</v>
      </c>
      <c r="M14" s="80">
        <v>76.753329931466681</v>
      </c>
      <c r="N14" s="84"/>
      <c r="O14" s="72">
        <v>89</v>
      </c>
      <c r="P14" s="73">
        <f>'3.SAT-GPA'!E14</f>
        <v>471.24</v>
      </c>
      <c r="Q14" s="80">
        <v>85.135705680069421</v>
      </c>
      <c r="R14" s="85">
        <f>IF(ABS((L14-P14)/SQRT(M14^2/K14+Q14^2/O14))-_xlfn.T.INV.2T(0.1,MIN(K14,O14)-1)&lt;0,0,IF((L14-P14)/SQRT(M14^2/K14+Q14^2/O14)&gt;0,1,-1))</f>
        <v>0</v>
      </c>
      <c r="S14" s="72">
        <v>564</v>
      </c>
      <c r="T14" s="73">
        <f>'3.SAT-GPA'!C14</f>
        <v>492.2</v>
      </c>
      <c r="U14" s="80">
        <v>89.402311144611701</v>
      </c>
      <c r="V14" s="69"/>
      <c r="W14" s="72">
        <v>89</v>
      </c>
      <c r="X14" s="73">
        <f>'3.SAT-GPA'!F14</f>
        <v>496.4</v>
      </c>
      <c r="Y14" s="80">
        <v>100.20713990860081</v>
      </c>
      <c r="Z14" s="85">
        <f t="shared" si="0"/>
        <v>0</v>
      </c>
      <c r="AA14" s="69"/>
      <c r="AB14" s="69"/>
    </row>
    <row r="15" spans="1:28" ht="16.5" x14ac:dyDescent="0.3">
      <c r="A15" s="65">
        <v>2012</v>
      </c>
      <c r="B15" s="72">
        <v>539</v>
      </c>
      <c r="C15" s="73">
        <f>'3.SAT-GPA'!D15</f>
        <v>3.15</v>
      </c>
      <c r="D15" s="80">
        <v>0.39575036859447449</v>
      </c>
      <c r="E15" s="69"/>
      <c r="F15" s="72">
        <v>147</v>
      </c>
      <c r="G15" s="73">
        <f>'3.SAT-GPA'!G15</f>
        <v>3.04</v>
      </c>
      <c r="H15" s="80">
        <v>0.419147696790656</v>
      </c>
      <c r="I15" s="85">
        <f>IF(ABS((C15-G15)/SQRT(D15^2/B15+H15^2/F15))-_xlfn.T.INV.2T(0.1,MIN(B15,F15)-1)&lt;0,0,IF((C15-G15)/SQRT(D15^2/B15+H15^2/F15)&gt;0,1,-1))</f>
        <v>1</v>
      </c>
      <c r="J15" s="85"/>
      <c r="K15" s="72">
        <v>456</v>
      </c>
      <c r="L15" s="73">
        <f>'3.SAT-GPA'!B15</f>
        <v>461.4</v>
      </c>
      <c r="M15" s="80">
        <v>82.978903109693078</v>
      </c>
      <c r="N15" s="84"/>
      <c r="O15" s="72">
        <v>88</v>
      </c>
      <c r="P15" s="73">
        <f>'3.SAT-GPA'!E15</f>
        <v>483.3</v>
      </c>
      <c r="Q15" s="80">
        <v>89.803651787113438</v>
      </c>
      <c r="R15" s="85">
        <f>IF(ABS((L15-P15)/SQRT(M15^2/K15+Q15^2/O15))-_xlfn.T.INV.2T(0.1,MIN(K15,O15)-1)&lt;0,0,IF((L15-P15)/SQRT(M15^2/K15+Q15^2/O15)&gt;0,1,-1))</f>
        <v>-1</v>
      </c>
      <c r="S15" s="72">
        <v>456</v>
      </c>
      <c r="T15" s="73">
        <f>'3.SAT-GPA'!C15</f>
        <v>492.13</v>
      </c>
      <c r="U15" s="80">
        <v>100.92356947538599</v>
      </c>
      <c r="V15" s="69"/>
      <c r="W15" s="72">
        <v>88</v>
      </c>
      <c r="X15" s="73">
        <f>'3.SAT-GPA'!F15</f>
        <v>509.43</v>
      </c>
      <c r="Y15" s="80">
        <v>93.95961414836205</v>
      </c>
      <c r="Z15" s="85">
        <f t="shared" si="0"/>
        <v>0</v>
      </c>
      <c r="AA15" s="69"/>
      <c r="AB15" s="69"/>
    </row>
    <row r="16" spans="1:28" ht="16.5" x14ac:dyDescent="0.3">
      <c r="A16" s="65">
        <v>2013</v>
      </c>
      <c r="B16" s="72">
        <v>731</v>
      </c>
      <c r="C16" s="73">
        <f>'3.SAT-GPA'!D16</f>
        <v>3.17</v>
      </c>
      <c r="D16" s="80">
        <v>0.37559706642463769</v>
      </c>
      <c r="E16" s="69"/>
      <c r="F16" s="72">
        <v>184</v>
      </c>
      <c r="G16" s="73">
        <f>'3.SAT-GPA'!G16</f>
        <v>3.04</v>
      </c>
      <c r="H16" s="80">
        <v>0.47246797664206891</v>
      </c>
      <c r="I16" s="85">
        <f t="shared" ref="I16:I19" si="5">IF(ABS((C16-G16)/SQRT(D16^2/B16+H16^2/F16))-_xlfn.T.INV.2T(0.1,MIN(B16,F16)-1)&lt;0,0,IF((C16-G16)/SQRT(D16^2/B16+H16^2/F16)&gt;0,1,-1))</f>
        <v>1</v>
      </c>
      <c r="J16" s="85"/>
      <c r="K16" s="72">
        <v>639</v>
      </c>
      <c r="L16" s="73">
        <f>'3.SAT-GPA'!B16</f>
        <v>462.36</v>
      </c>
      <c r="M16" s="80">
        <v>79.035444693186079</v>
      </c>
      <c r="N16" s="84"/>
      <c r="O16" s="72">
        <v>112</v>
      </c>
      <c r="P16" s="73">
        <f>'3.SAT-GPA'!E16</f>
        <v>464.55</v>
      </c>
      <c r="Q16" s="80">
        <v>88.31661991989381</v>
      </c>
      <c r="R16" s="85">
        <f t="shared" ref="R16:R19" si="6">IF(ABS((L16-P16)/SQRT(M16^2/K16+Q16^2/O16))-_xlfn.T.INV.2T(0.1,MIN(K16,O16)-1)&lt;0,0,IF((L16-P16)/SQRT(M16^2/K16+Q16^2/O16)&gt;0,1,-1))</f>
        <v>0</v>
      </c>
      <c r="S16" s="72">
        <v>639</v>
      </c>
      <c r="T16" s="73">
        <f>'3.SAT-GPA'!C16</f>
        <v>487.59</v>
      </c>
      <c r="U16" s="80">
        <v>68.232358613085964</v>
      </c>
      <c r="V16" s="69"/>
      <c r="W16" s="72">
        <v>112</v>
      </c>
      <c r="X16" s="73">
        <f>'3.SAT-GPA'!F16</f>
        <v>493.75</v>
      </c>
      <c r="Y16" s="80">
        <v>89.171613064789724</v>
      </c>
      <c r="Z16" s="85">
        <f t="shared" si="0"/>
        <v>0</v>
      </c>
      <c r="AA16" s="69"/>
      <c r="AB16" s="69"/>
    </row>
    <row r="17" spans="1:28" ht="16.5" x14ac:dyDescent="0.3">
      <c r="A17" s="65">
        <v>2014</v>
      </c>
      <c r="B17" s="72">
        <v>780</v>
      </c>
      <c r="C17" s="73">
        <f>'3.SAT-GPA'!D17</f>
        <v>3.18</v>
      </c>
      <c r="D17" s="80">
        <v>0.40786994508495805</v>
      </c>
      <c r="E17" s="69"/>
      <c r="F17" s="72">
        <v>203</v>
      </c>
      <c r="G17" s="73">
        <f>'3.SAT-GPA'!G17</f>
        <v>3.14</v>
      </c>
      <c r="H17" s="80">
        <v>0.50470458975384236</v>
      </c>
      <c r="I17" s="85">
        <f t="shared" si="5"/>
        <v>0</v>
      </c>
      <c r="J17" s="85"/>
      <c r="K17" s="72">
        <v>682</v>
      </c>
      <c r="L17" s="73">
        <f>'3.SAT-GPA'!B17</f>
        <v>461.96</v>
      </c>
      <c r="M17" s="80">
        <v>79.193504118733429</v>
      </c>
      <c r="N17" s="84"/>
      <c r="O17" s="72">
        <v>104</v>
      </c>
      <c r="P17" s="73">
        <f>'3.SAT-GPA'!E17</f>
        <v>474.52</v>
      </c>
      <c r="Q17" s="80">
        <v>86.601325856139027</v>
      </c>
      <c r="R17" s="85">
        <f t="shared" si="6"/>
        <v>0</v>
      </c>
      <c r="S17" s="72">
        <v>682</v>
      </c>
      <c r="T17" s="73">
        <f>'3.SAT-GPA'!C17</f>
        <v>485.85</v>
      </c>
      <c r="U17" s="80">
        <v>83.327402079187621</v>
      </c>
      <c r="V17" s="69"/>
      <c r="W17" s="72">
        <v>104</v>
      </c>
      <c r="X17" s="73">
        <f>'3.SAT-GPA'!F17</f>
        <v>510.1</v>
      </c>
      <c r="Y17" s="80">
        <v>93.169593693151796</v>
      </c>
      <c r="Z17" s="85">
        <f t="shared" si="0"/>
        <v>-1</v>
      </c>
      <c r="AA17" s="69"/>
      <c r="AB17" s="69"/>
    </row>
    <row r="18" spans="1:28" ht="16.5" x14ac:dyDescent="0.3">
      <c r="A18" s="65">
        <v>2015</v>
      </c>
      <c r="B18" s="72">
        <v>774</v>
      </c>
      <c r="C18" s="73">
        <f>'3.SAT-GPA'!D18</f>
        <v>3.15</v>
      </c>
      <c r="D18" s="80">
        <v>0.41637344717422808</v>
      </c>
      <c r="E18" s="69"/>
      <c r="F18" s="72">
        <v>243</v>
      </c>
      <c r="G18" s="73">
        <f>'3.SAT-GPA'!G18</f>
        <v>3.14</v>
      </c>
      <c r="H18" s="80">
        <v>0.48527147303746632</v>
      </c>
      <c r="I18" s="85">
        <f t="shared" si="5"/>
        <v>0</v>
      </c>
      <c r="J18" s="85"/>
      <c r="K18" s="72">
        <v>673</v>
      </c>
      <c r="L18" s="73">
        <f>'3.SAT-GPA'!B18</f>
        <v>459.03</v>
      </c>
      <c r="M18" s="80">
        <v>81.828728418534226</v>
      </c>
      <c r="N18" s="84"/>
      <c r="O18" s="72">
        <v>165</v>
      </c>
      <c r="P18" s="73">
        <f>'3.SAT-GPA'!E18</f>
        <v>468.36</v>
      </c>
      <c r="Q18" s="80">
        <v>87.986480069473899</v>
      </c>
      <c r="R18" s="85">
        <f t="shared" si="6"/>
        <v>0</v>
      </c>
      <c r="S18" s="72">
        <v>673</v>
      </c>
      <c r="T18" s="73">
        <f>'3.SAT-GPA'!C18</f>
        <v>475.62</v>
      </c>
      <c r="U18" s="80">
        <v>87.848892639097798</v>
      </c>
      <c r="V18" s="69"/>
      <c r="W18" s="72">
        <v>165</v>
      </c>
      <c r="X18" s="73">
        <f>'3.SAT-GPA'!F18</f>
        <v>511.03</v>
      </c>
      <c r="Y18" s="80">
        <v>86.070194285942137</v>
      </c>
      <c r="Z18" s="85">
        <f>IF(ABS((T18-X18)/SQRT(U18^2/S18+Y18^2/W18))-_xlfn.T.INV.2T(0.1,MIN(S18,W18)-1)&lt;0,0,IF((T18-X18)/SQRT(U18^2/S18+Y18^2/W18)&gt;0,1,-1))</f>
        <v>-1</v>
      </c>
      <c r="AA18" s="69"/>
      <c r="AB18" s="69"/>
    </row>
    <row r="19" spans="1:28" ht="17.25" thickBot="1" x14ac:dyDescent="0.35">
      <c r="A19" s="65">
        <v>2016</v>
      </c>
      <c r="B19" s="74">
        <v>599</v>
      </c>
      <c r="C19" s="75">
        <f>'3.SAT-GPA'!D19</f>
        <v>3.19</v>
      </c>
      <c r="D19" s="81">
        <v>0.42479141761235062</v>
      </c>
      <c r="E19" s="69"/>
      <c r="F19" s="74">
        <v>203</v>
      </c>
      <c r="G19" s="75">
        <f>'3.SAT-GPA'!G19</f>
        <v>3.09</v>
      </c>
      <c r="H19" s="81">
        <v>0.44449204684773141</v>
      </c>
      <c r="I19" s="85">
        <f t="shared" si="5"/>
        <v>1</v>
      </c>
      <c r="J19" s="85"/>
      <c r="K19" s="74">
        <v>530</v>
      </c>
      <c r="L19" s="75">
        <f>'3.SAT-GPA'!B19</f>
        <v>456.85</v>
      </c>
      <c r="M19" s="81">
        <v>79.89877722551762</v>
      </c>
      <c r="N19" s="84"/>
      <c r="O19" s="74">
        <v>129</v>
      </c>
      <c r="P19" s="75">
        <f>'3.SAT-GPA'!E19</f>
        <v>454.5</v>
      </c>
      <c r="Q19" s="81">
        <v>88.567287961836072</v>
      </c>
      <c r="R19" s="85">
        <f t="shared" si="6"/>
        <v>0</v>
      </c>
      <c r="S19" s="74">
        <v>530</v>
      </c>
      <c r="T19" s="75">
        <f>'3.SAT-GPA'!C19</f>
        <v>469.74</v>
      </c>
      <c r="U19" s="81">
        <v>82.663977330917618</v>
      </c>
      <c r="V19" s="69"/>
      <c r="W19" s="74">
        <v>129</v>
      </c>
      <c r="X19" s="75">
        <f>'3.SAT-GPA'!F19</f>
        <v>491.32</v>
      </c>
      <c r="Y19" s="81">
        <v>91.353585803942195</v>
      </c>
      <c r="Z19" s="85">
        <f t="shared" si="0"/>
        <v>-1</v>
      </c>
      <c r="AA19" s="69"/>
      <c r="AB19" s="69"/>
    </row>
    <row r="20" spans="1:28" ht="16.5" x14ac:dyDescent="0.3">
      <c r="A20" s="65"/>
      <c r="B20" s="76">
        <f>SUM(B4:B19)</f>
        <v>10463</v>
      </c>
      <c r="C20" s="69">
        <f>SUMPRODUCT(B4:B19,C4:C19)/SUM(B4:B19)</f>
        <v>3.1308056962630224</v>
      </c>
      <c r="D20" s="69"/>
      <c r="E20" s="69"/>
      <c r="F20" s="76">
        <f>SUM(F4:F19)</f>
        <v>6668</v>
      </c>
      <c r="G20" s="69">
        <f>SUMPRODUCT(F4:F19,G4:G19)/SUM(F4:F19)</f>
        <v>3.0574070185962809</v>
      </c>
      <c r="H20" s="69"/>
      <c r="I20" s="86">
        <f>SUM(I4:I19)</f>
        <v>7</v>
      </c>
      <c r="J20" s="69"/>
      <c r="K20" s="76">
        <f>SUM(K4:K19)</f>
        <v>8771</v>
      </c>
      <c r="L20" s="69">
        <f>SUMPRODUCT(K4:K19,L4:L19)/SUM(K4:K19)</f>
        <v>461.22540531296318</v>
      </c>
      <c r="M20" s="69"/>
      <c r="N20" s="69"/>
      <c r="O20" s="76">
        <f>SUM(O4:O19)</f>
        <v>1565</v>
      </c>
      <c r="P20" s="69">
        <f>SUMPRODUCT(O4:O19,P4:P19)/SUM(O4:O19)</f>
        <v>466.97891373801917</v>
      </c>
      <c r="Q20" s="69"/>
      <c r="R20" s="86">
        <f>SUM(R4:R19)</f>
        <v>-3</v>
      </c>
      <c r="S20" s="76">
        <f>SUM(S4:S19)</f>
        <v>8779</v>
      </c>
      <c r="T20" s="69">
        <f>SUMPRODUCT(S4:S19,T4:T19)/SUM(S4:S19)</f>
        <v>486.64290465884494</v>
      </c>
      <c r="U20" s="69"/>
      <c r="V20" s="69"/>
      <c r="W20" s="76">
        <f>SUM(W4:W19)</f>
        <v>1565</v>
      </c>
      <c r="X20" s="69">
        <f>SUMPRODUCT(W4:W19,X4:X19)/SUM(W4:W19)</f>
        <v>506.7409201277955</v>
      </c>
      <c r="Y20" s="69"/>
      <c r="Z20" s="86">
        <f>SUM(Z4:Z19)</f>
        <v>-9</v>
      </c>
      <c r="AA20" s="69"/>
      <c r="AB20" s="69"/>
    </row>
    <row r="21" spans="1:28" ht="16.5" x14ac:dyDescent="0.3">
      <c r="A21" s="65"/>
      <c r="B21" s="69" t="str">
        <f>"H0: "&amp;B2&amp;"-"&amp;F2&amp;"&gt;=0"</f>
        <v>H0: HGPAF-HGPAT&gt;=0</v>
      </c>
      <c r="C21" s="69"/>
      <c r="D21" s="69"/>
      <c r="E21" s="69"/>
      <c r="F21" s="69"/>
      <c r="G21" s="69"/>
      <c r="H21" s="69"/>
      <c r="I21" s="69"/>
      <c r="J21" s="69"/>
      <c r="K21" s="69" t="str">
        <f>"H0: "&amp;K2&amp;"-"&amp;O2&amp;"&gt;=0"</f>
        <v>H0: SATVF-SATVT&gt;=0</v>
      </c>
      <c r="L21" s="69"/>
      <c r="M21" s="69"/>
      <c r="N21" s="69"/>
      <c r="O21" s="69"/>
      <c r="P21" s="69"/>
      <c r="Q21" s="69"/>
      <c r="R21" s="69"/>
      <c r="S21" s="69" t="str">
        <f>"H0: "&amp;S2&amp;"-"&amp;W2&amp;"&gt;=0"</f>
        <v>H0: SATMF-SATMT&gt;=0</v>
      </c>
      <c r="T21" s="69"/>
      <c r="U21" s="69"/>
      <c r="V21" s="69"/>
      <c r="W21" s="69"/>
      <c r="X21" s="69"/>
      <c r="Y21" s="69"/>
      <c r="Z21" s="69"/>
      <c r="AA21" s="69"/>
      <c r="AB21" s="69"/>
    </row>
    <row r="22" spans="1:28" ht="16.5" x14ac:dyDescent="0.3">
      <c r="A22" s="65"/>
      <c r="B22" s="69"/>
      <c r="C22" s="77">
        <f>C21/C20</f>
        <v>0</v>
      </c>
      <c r="D22" s="69"/>
      <c r="E22" s="69"/>
      <c r="F22" s="82"/>
      <c r="G22" s="83">
        <f>G21/G20</f>
        <v>0</v>
      </c>
      <c r="H22" s="82"/>
      <c r="I22" s="82"/>
      <c r="J22" s="82"/>
      <c r="K22" s="82"/>
      <c r="L22" s="83">
        <f>L21/L20</f>
        <v>0</v>
      </c>
      <c r="M22" s="82"/>
      <c r="N22" s="82"/>
      <c r="O22" s="69"/>
      <c r="P22" s="77">
        <f>P21/P20</f>
        <v>0</v>
      </c>
      <c r="Q22" s="69"/>
      <c r="R22" s="69"/>
      <c r="S22" s="69"/>
      <c r="T22" s="77">
        <f>T21/T20</f>
        <v>0</v>
      </c>
      <c r="U22" s="69"/>
      <c r="V22" s="69"/>
      <c r="W22" s="69" t="s">
        <v>107</v>
      </c>
      <c r="X22" s="77"/>
      <c r="Y22" s="69"/>
      <c r="Z22" s="69"/>
      <c r="AA22" s="69"/>
      <c r="AB22" s="69"/>
    </row>
    <row r="26" spans="1:28" x14ac:dyDescent="0.25">
      <c r="B26" s="64" t="s">
        <v>101</v>
      </c>
      <c r="C26" s="64" t="s">
        <v>101</v>
      </c>
      <c r="D26" s="64" t="s">
        <v>102</v>
      </c>
      <c r="E26" s="64" t="s">
        <v>102</v>
      </c>
    </row>
    <row r="27" spans="1:28" x14ac:dyDescent="0.25">
      <c r="B27" t="s">
        <v>99</v>
      </c>
      <c r="C27" t="s">
        <v>100</v>
      </c>
      <c r="D27"/>
      <c r="E27"/>
      <c r="F27" s="63"/>
    </row>
    <row r="28" spans="1:28" x14ac:dyDescent="0.25">
      <c r="F28" s="63"/>
    </row>
    <row r="29" spans="1:28" x14ac:dyDescent="0.25">
      <c r="F29" s="63"/>
    </row>
    <row r="30" spans="1:28" x14ac:dyDescent="0.25">
      <c r="F30" s="63"/>
    </row>
    <row r="31" spans="1:28" x14ac:dyDescent="0.25">
      <c r="F31" s="63"/>
    </row>
    <row r="32" spans="1:28" x14ac:dyDescent="0.25">
      <c r="F32" s="63"/>
    </row>
    <row r="33" spans="6:6" x14ac:dyDescent="0.25">
      <c r="F33" s="63"/>
    </row>
    <row r="34" spans="6:6" x14ac:dyDescent="0.25">
      <c r="F34" s="63"/>
    </row>
    <row r="35" spans="6:6" x14ac:dyDescent="0.25">
      <c r="F35" s="63"/>
    </row>
    <row r="36" spans="6:6" x14ac:dyDescent="0.25">
      <c r="F36" s="63"/>
    </row>
    <row r="37" spans="6:6" x14ac:dyDescent="0.25">
      <c r="F37" s="63"/>
    </row>
    <row r="38" spans="6:6" x14ac:dyDescent="0.25">
      <c r="F38" s="63"/>
    </row>
    <row r="39" spans="6:6" x14ac:dyDescent="0.25">
      <c r="F39" s="63"/>
    </row>
    <row r="40" spans="6:6" x14ac:dyDescent="0.25">
      <c r="F40" s="63"/>
    </row>
    <row r="41" spans="6:6" x14ac:dyDescent="0.25">
      <c r="F41" s="63"/>
    </row>
    <row r="82" spans="5:6" x14ac:dyDescent="0.25">
      <c r="E82" s="61"/>
      <c r="F82" s="6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zoomScale="80" zoomScaleNormal="80" workbookViewId="0">
      <selection activeCell="X24" sqref="X24"/>
    </sheetView>
  </sheetViews>
  <sheetFormatPr defaultColWidth="9.1640625" defaultRowHeight="11.25" x14ac:dyDescent="0.2"/>
  <cols>
    <col min="1" max="1" width="8.1640625" style="19" bestFit="1" customWidth="1"/>
    <col min="2" max="2" width="8.83203125" style="48" customWidth="1"/>
    <col min="3" max="3" width="9.33203125" style="48" customWidth="1"/>
    <col min="4" max="4" width="8.5" style="48" customWidth="1"/>
    <col min="5" max="5" width="7.1640625" style="48" bestFit="1" customWidth="1"/>
    <col min="6" max="16384" width="9.1640625" style="47"/>
  </cols>
  <sheetData>
    <row r="1" spans="1:22" x14ac:dyDescent="0.2">
      <c r="R1" s="47">
        <v>0.28999999999999998</v>
      </c>
    </row>
    <row r="2" spans="1:22" ht="12" thickBot="1" x14ac:dyDescent="0.25">
      <c r="B2" s="17" t="s">
        <v>37</v>
      </c>
      <c r="C2" s="48" t="s">
        <v>38</v>
      </c>
      <c r="D2" s="17" t="s">
        <v>31</v>
      </c>
      <c r="E2" s="17" t="s">
        <v>32</v>
      </c>
      <c r="G2" s="47">
        <v>4</v>
      </c>
      <c r="H2" s="47">
        <v>5</v>
      </c>
      <c r="I2" s="47">
        <v>6</v>
      </c>
      <c r="J2" s="47">
        <v>7</v>
      </c>
      <c r="K2" s="47">
        <v>8</v>
      </c>
      <c r="L2" s="47" t="s">
        <v>78</v>
      </c>
    </row>
    <row r="3" spans="1:22" ht="12" thickBot="1" x14ac:dyDescent="0.25">
      <c r="A3" s="19" t="s">
        <v>30</v>
      </c>
      <c r="B3" s="37" t="s">
        <v>50</v>
      </c>
      <c r="C3" s="38" t="s">
        <v>53</v>
      </c>
      <c r="D3" s="40" t="s">
        <v>56</v>
      </c>
      <c r="E3" s="37" t="s">
        <v>32</v>
      </c>
      <c r="F3" s="47" t="s">
        <v>72</v>
      </c>
      <c r="G3" s="47" t="s">
        <v>74</v>
      </c>
      <c r="H3" s="47" t="s">
        <v>73</v>
      </c>
      <c r="I3" s="47" t="s">
        <v>75</v>
      </c>
      <c r="J3" s="47" t="s">
        <v>76</v>
      </c>
      <c r="K3" s="47" t="s">
        <v>77</v>
      </c>
      <c r="L3" s="47" t="str">
        <f>G3</f>
        <v>4YG</v>
      </c>
      <c r="M3" s="47" t="str">
        <f t="shared" ref="M3:P3" si="0">H3</f>
        <v>5YG</v>
      </c>
      <c r="N3" s="47" t="str">
        <f t="shared" si="0"/>
        <v>6YG</v>
      </c>
      <c r="O3" s="47" t="str">
        <f t="shared" si="0"/>
        <v>7YG</v>
      </c>
      <c r="P3" s="47" t="str">
        <f t="shared" si="0"/>
        <v>8YG</v>
      </c>
      <c r="R3" s="47" t="str">
        <f>L3</f>
        <v>4YG</v>
      </c>
      <c r="S3" s="47" t="str">
        <f t="shared" ref="S3:V4" si="1">M3</f>
        <v>5YG</v>
      </c>
      <c r="T3" s="47" t="str">
        <f t="shared" si="1"/>
        <v>6YG</v>
      </c>
      <c r="U3" s="47" t="str">
        <f t="shared" si="1"/>
        <v>7YG</v>
      </c>
      <c r="V3" s="47" t="str">
        <f t="shared" si="1"/>
        <v>8YG</v>
      </c>
    </row>
    <row r="4" spans="1:22" ht="12" thickBot="1" x14ac:dyDescent="0.25">
      <c r="A4" s="16">
        <v>2001</v>
      </c>
      <c r="B4" s="23">
        <f>'1.In-Out-HC'!E4</f>
        <v>2232</v>
      </c>
      <c r="C4" s="30">
        <f>'1.In-Out-HC'!H4</f>
        <v>229</v>
      </c>
      <c r="D4" s="34">
        <f>'1.In-Out-HC'!K4</f>
        <v>0</v>
      </c>
      <c r="E4" s="26">
        <f>B4/C4</f>
        <v>9.7467248908296948</v>
      </c>
      <c r="F4" s="47">
        <f t="shared" ref="F4:F19" si="2">B4/C4</f>
        <v>9.7467248908296948</v>
      </c>
      <c r="G4" s="47">
        <f>ROUND($B4/G$2,0)</f>
        <v>558</v>
      </c>
      <c r="H4" s="47">
        <f>ROUND($B4/H$2,0)</f>
        <v>446</v>
      </c>
      <c r="I4" s="47">
        <f>ROUND($B4/I$2,0)</f>
        <v>372</v>
      </c>
      <c r="J4" s="47">
        <f>ROUND($B4/J$2,0)</f>
        <v>319</v>
      </c>
      <c r="K4" s="47">
        <f>ROUND($B4/K$2,0)</f>
        <v>279</v>
      </c>
      <c r="L4" s="47">
        <f>100*(G4/$C4-1)</f>
        <v>143.66812227074237</v>
      </c>
      <c r="M4" s="47">
        <f>100*(H4/$C4-1)</f>
        <v>94.759825327510924</v>
      </c>
      <c r="N4" s="47">
        <f>100*(I4/$C4-1)</f>
        <v>62.445414847161572</v>
      </c>
      <c r="O4" s="47">
        <f>100*(J4/$C4-1)</f>
        <v>39.301310043668124</v>
      </c>
      <c r="P4" s="47">
        <f>100*(K4/$C4-1)</f>
        <v>21.834061135371186</v>
      </c>
      <c r="Q4" s="47">
        <v>1</v>
      </c>
      <c r="R4" s="47">
        <f>L4</f>
        <v>143.66812227074237</v>
      </c>
      <c r="S4" s="47">
        <f t="shared" si="1"/>
        <v>94.759825327510924</v>
      </c>
      <c r="T4" s="47">
        <f t="shared" si="1"/>
        <v>62.445414847161572</v>
      </c>
      <c r="U4" s="47">
        <f t="shared" si="1"/>
        <v>39.301310043668124</v>
      </c>
      <c r="V4" s="47">
        <f t="shared" si="1"/>
        <v>21.834061135371186</v>
      </c>
    </row>
    <row r="5" spans="1:22" ht="12" thickBot="1" x14ac:dyDescent="0.25">
      <c r="A5" s="16">
        <v>2002</v>
      </c>
      <c r="B5" s="23">
        <f>'1.In-Out-HC'!E5</f>
        <v>2383</v>
      </c>
      <c r="C5" s="30">
        <f>'1.In-Out-HC'!H5</f>
        <v>228</v>
      </c>
      <c r="D5" s="34">
        <f>'1.In-Out-HC'!K5</f>
        <v>203</v>
      </c>
      <c r="E5" s="26">
        <f>B5/C5</f>
        <v>10.451754385964913</v>
      </c>
      <c r="F5" s="47">
        <f t="shared" si="2"/>
        <v>10.451754385964913</v>
      </c>
      <c r="G5" s="47">
        <f t="shared" ref="G5:K19" si="3">ROUND($B5/G$2,0)</f>
        <v>596</v>
      </c>
      <c r="H5" s="47">
        <f t="shared" si="3"/>
        <v>477</v>
      </c>
      <c r="I5" s="47">
        <f t="shared" si="3"/>
        <v>397</v>
      </c>
      <c r="J5" s="47">
        <f t="shared" si="3"/>
        <v>340</v>
      </c>
      <c r="K5" s="47">
        <f t="shared" si="3"/>
        <v>298</v>
      </c>
      <c r="L5" s="47">
        <f t="shared" ref="L5:P19" si="4">100*(G5/$C5-1)</f>
        <v>161.40350877192984</v>
      </c>
      <c r="M5" s="47">
        <f t="shared" si="4"/>
        <v>109.21052631578947</v>
      </c>
      <c r="N5" s="47">
        <f t="shared" si="4"/>
        <v>74.122807017543863</v>
      </c>
      <c r="O5" s="47">
        <f t="shared" si="4"/>
        <v>49.122807017543856</v>
      </c>
      <c r="P5" s="47">
        <f t="shared" si="4"/>
        <v>30.701754385964918</v>
      </c>
      <c r="Q5" s="47">
        <v>1</v>
      </c>
      <c r="R5" s="47">
        <f>(1-$R$1)*R4+$R$1*L4</f>
        <v>143.66812227074234</v>
      </c>
      <c r="S5" s="47">
        <f t="shared" ref="S5:V19" si="5">(1-$R$1)*S4+$R$1*M4</f>
        <v>94.759825327510924</v>
      </c>
      <c r="T5" s="47">
        <f t="shared" si="5"/>
        <v>62.445414847161572</v>
      </c>
      <c r="U5" s="47">
        <f t="shared" si="5"/>
        <v>39.301310043668124</v>
      </c>
      <c r="V5" s="47">
        <f t="shared" si="5"/>
        <v>21.834061135371186</v>
      </c>
    </row>
    <row r="6" spans="1:22" ht="12" thickBot="1" x14ac:dyDescent="0.25">
      <c r="A6" s="16">
        <v>2003</v>
      </c>
      <c r="B6" s="23">
        <f>'1.In-Out-HC'!E6</f>
        <v>2519</v>
      </c>
      <c r="C6" s="30">
        <f>'1.In-Out-HC'!H6</f>
        <v>311</v>
      </c>
      <c r="D6" s="34">
        <f>'1.In-Out-HC'!K6</f>
        <v>176</v>
      </c>
      <c r="E6" s="26">
        <f>B6/C6</f>
        <v>8.09967845659164</v>
      </c>
      <c r="F6" s="47">
        <f t="shared" si="2"/>
        <v>8.09967845659164</v>
      </c>
      <c r="G6" s="47">
        <f t="shared" si="3"/>
        <v>630</v>
      </c>
      <c r="H6" s="47">
        <f t="shared" si="3"/>
        <v>504</v>
      </c>
      <c r="I6" s="47">
        <f t="shared" si="3"/>
        <v>420</v>
      </c>
      <c r="J6" s="47">
        <f t="shared" si="3"/>
        <v>360</v>
      </c>
      <c r="K6" s="47">
        <f t="shared" si="3"/>
        <v>315</v>
      </c>
      <c r="L6" s="47">
        <f t="shared" si="4"/>
        <v>102.57234726688105</v>
      </c>
      <c r="M6" s="47">
        <f t="shared" si="4"/>
        <v>62.057877813504824</v>
      </c>
      <c r="N6" s="47">
        <f t="shared" si="4"/>
        <v>35.048231511254023</v>
      </c>
      <c r="O6" s="47">
        <f t="shared" si="4"/>
        <v>15.7556270096463</v>
      </c>
      <c r="P6" s="47">
        <f t="shared" si="4"/>
        <v>1.2861736334405238</v>
      </c>
      <c r="Q6" s="47">
        <v>1</v>
      </c>
      <c r="R6" s="47">
        <f t="shared" ref="R6:R19" si="6">(1-$R$1)*R5+$R$1*L5</f>
        <v>148.81138435608671</v>
      </c>
      <c r="S6" s="47">
        <f t="shared" si="5"/>
        <v>98.950528614111704</v>
      </c>
      <c r="T6" s="47">
        <f t="shared" si="5"/>
        <v>65.831858576572444</v>
      </c>
      <c r="U6" s="47">
        <f t="shared" si="5"/>
        <v>42.149544166092085</v>
      </c>
      <c r="V6" s="47">
        <f t="shared" si="5"/>
        <v>24.405692178043367</v>
      </c>
    </row>
    <row r="7" spans="1:22" ht="12" thickBot="1" x14ac:dyDescent="0.25">
      <c r="A7" s="16">
        <v>2004</v>
      </c>
      <c r="B7" s="23">
        <f>'1.In-Out-HC'!E7</f>
        <v>2550</v>
      </c>
      <c r="C7" s="30">
        <f>'1.In-Out-HC'!H7</f>
        <v>305</v>
      </c>
      <c r="D7" s="34">
        <f>'1.In-Out-HC'!K7</f>
        <v>200</v>
      </c>
      <c r="E7" s="26">
        <f>B7/C7</f>
        <v>8.3606557377049189</v>
      </c>
      <c r="F7" s="47">
        <f t="shared" si="2"/>
        <v>8.3606557377049189</v>
      </c>
      <c r="G7" s="47">
        <f t="shared" si="3"/>
        <v>638</v>
      </c>
      <c r="H7" s="47">
        <f t="shared" si="3"/>
        <v>510</v>
      </c>
      <c r="I7" s="47">
        <f t="shared" si="3"/>
        <v>425</v>
      </c>
      <c r="J7" s="47">
        <f t="shared" si="3"/>
        <v>364</v>
      </c>
      <c r="K7" s="47">
        <f t="shared" si="3"/>
        <v>319</v>
      </c>
      <c r="L7" s="47">
        <f t="shared" si="4"/>
        <v>109.18032786885247</v>
      </c>
      <c r="M7" s="47">
        <f t="shared" si="4"/>
        <v>67.21311475409837</v>
      </c>
      <c r="N7" s="47">
        <f t="shared" si="4"/>
        <v>39.344262295081968</v>
      </c>
      <c r="O7" s="47">
        <f t="shared" si="4"/>
        <v>19.344262295081972</v>
      </c>
      <c r="P7" s="47">
        <f t="shared" si="4"/>
        <v>4.590163934426239</v>
      </c>
      <c r="Q7" s="47">
        <v>1</v>
      </c>
      <c r="R7" s="47">
        <f t="shared" si="6"/>
        <v>135.40206360021705</v>
      </c>
      <c r="S7" s="47">
        <f t="shared" si="5"/>
        <v>88.251659881935709</v>
      </c>
      <c r="T7" s="47">
        <f t="shared" si="5"/>
        <v>56.904606727630096</v>
      </c>
      <c r="U7" s="47">
        <f t="shared" si="5"/>
        <v>34.495308190722803</v>
      </c>
      <c r="V7" s="47">
        <f t="shared" si="5"/>
        <v>17.701031800108542</v>
      </c>
    </row>
    <row r="8" spans="1:22" ht="12" thickBot="1" x14ac:dyDescent="0.25">
      <c r="A8" s="16">
        <v>2005</v>
      </c>
      <c r="B8" s="23">
        <f>'1.In-Out-HC'!E8</f>
        <v>2729</v>
      </c>
      <c r="C8" s="30">
        <f>'1.In-Out-HC'!H8</f>
        <v>327</v>
      </c>
      <c r="D8" s="34">
        <f>'1.In-Out-HC'!K8</f>
        <v>153</v>
      </c>
      <c r="E8" s="26">
        <f t="shared" ref="E8:E19" si="7">B8/C8</f>
        <v>8.3455657492354742</v>
      </c>
      <c r="F8" s="47">
        <f t="shared" si="2"/>
        <v>8.3455657492354742</v>
      </c>
      <c r="G8" s="47">
        <f t="shared" si="3"/>
        <v>682</v>
      </c>
      <c r="H8" s="47">
        <f t="shared" si="3"/>
        <v>546</v>
      </c>
      <c r="I8" s="47">
        <f t="shared" si="3"/>
        <v>455</v>
      </c>
      <c r="J8" s="47">
        <f t="shared" si="3"/>
        <v>390</v>
      </c>
      <c r="K8" s="47">
        <f t="shared" si="3"/>
        <v>341</v>
      </c>
      <c r="L8" s="47">
        <f t="shared" si="4"/>
        <v>108.56269113149848</v>
      </c>
      <c r="M8" s="47">
        <f t="shared" si="4"/>
        <v>66.972477064220186</v>
      </c>
      <c r="N8" s="47">
        <f t="shared" si="4"/>
        <v>39.14373088685015</v>
      </c>
      <c r="O8" s="47">
        <f t="shared" si="4"/>
        <v>19.266055045871553</v>
      </c>
      <c r="P8" s="47">
        <f t="shared" si="4"/>
        <v>4.2813455657492394</v>
      </c>
      <c r="Q8" s="47">
        <v>1</v>
      </c>
      <c r="R8" s="47">
        <f t="shared" si="6"/>
        <v>127.79776023812131</v>
      </c>
      <c r="S8" s="47">
        <f t="shared" si="5"/>
        <v>82.15048179486287</v>
      </c>
      <c r="T8" s="47">
        <f t="shared" si="5"/>
        <v>51.812106842191135</v>
      </c>
      <c r="U8" s="47">
        <f t="shared" si="5"/>
        <v>30.101504880986958</v>
      </c>
      <c r="V8" s="47">
        <f t="shared" si="5"/>
        <v>13.898880119060674</v>
      </c>
    </row>
    <row r="9" spans="1:22" ht="12" thickBot="1" x14ac:dyDescent="0.25">
      <c r="A9" s="16">
        <v>2006</v>
      </c>
      <c r="B9" s="23">
        <f>'1.In-Out-HC'!E9</f>
        <v>2954</v>
      </c>
      <c r="C9" s="30">
        <f>'1.In-Out-HC'!H9</f>
        <v>335</v>
      </c>
      <c r="D9" s="34">
        <f>'1.In-Out-HC'!K9</f>
        <v>114</v>
      </c>
      <c r="E9" s="26">
        <f t="shared" si="7"/>
        <v>8.8179104477611947</v>
      </c>
      <c r="F9" s="47">
        <f t="shared" si="2"/>
        <v>8.8179104477611947</v>
      </c>
      <c r="G9" s="47">
        <f t="shared" si="3"/>
        <v>739</v>
      </c>
      <c r="H9" s="47">
        <f t="shared" si="3"/>
        <v>591</v>
      </c>
      <c r="I9" s="47">
        <f t="shared" si="3"/>
        <v>492</v>
      </c>
      <c r="J9" s="47">
        <f t="shared" si="3"/>
        <v>422</v>
      </c>
      <c r="K9" s="47">
        <f t="shared" si="3"/>
        <v>369</v>
      </c>
      <c r="L9" s="47">
        <f t="shared" si="4"/>
        <v>120.59701492537313</v>
      </c>
      <c r="M9" s="47">
        <f t="shared" si="4"/>
        <v>76.417910447761187</v>
      </c>
      <c r="N9" s="47">
        <f t="shared" si="4"/>
        <v>46.865671641791053</v>
      </c>
      <c r="O9" s="47">
        <f t="shared" si="4"/>
        <v>25.970149253731336</v>
      </c>
      <c r="P9" s="47">
        <f t="shared" si="4"/>
        <v>10.149253731343277</v>
      </c>
      <c r="Q9" s="47">
        <v>1</v>
      </c>
      <c r="R9" s="47">
        <f t="shared" si="6"/>
        <v>122.21959019720069</v>
      </c>
      <c r="S9" s="47">
        <f t="shared" si="5"/>
        <v>77.748860422976492</v>
      </c>
      <c r="T9" s="47">
        <f t="shared" si="5"/>
        <v>48.138277815142246</v>
      </c>
      <c r="U9" s="47">
        <f t="shared" si="5"/>
        <v>26.959224428803488</v>
      </c>
      <c r="V9" s="47">
        <f t="shared" si="5"/>
        <v>11.109795098600358</v>
      </c>
    </row>
    <row r="10" spans="1:22" ht="12" thickBot="1" x14ac:dyDescent="0.25">
      <c r="A10" s="16">
        <v>2007</v>
      </c>
      <c r="B10" s="23">
        <f>'1.In-Out-HC'!E10</f>
        <v>3009</v>
      </c>
      <c r="C10" s="30">
        <f>'1.In-Out-HC'!H10</f>
        <v>393</v>
      </c>
      <c r="D10" s="34">
        <f>'1.In-Out-HC'!K10</f>
        <v>253</v>
      </c>
      <c r="E10" s="26">
        <f t="shared" si="7"/>
        <v>7.656488549618321</v>
      </c>
      <c r="F10" s="47">
        <f t="shared" si="2"/>
        <v>7.656488549618321</v>
      </c>
      <c r="G10" s="47">
        <f t="shared" si="3"/>
        <v>752</v>
      </c>
      <c r="H10" s="47">
        <f t="shared" si="3"/>
        <v>602</v>
      </c>
      <c r="I10" s="47">
        <f t="shared" si="3"/>
        <v>502</v>
      </c>
      <c r="J10" s="47">
        <f t="shared" si="3"/>
        <v>430</v>
      </c>
      <c r="K10" s="47">
        <f t="shared" si="3"/>
        <v>376</v>
      </c>
      <c r="L10" s="47">
        <f t="shared" si="4"/>
        <v>91.348600508905847</v>
      </c>
      <c r="M10" s="47">
        <f t="shared" si="4"/>
        <v>53.180661577608149</v>
      </c>
      <c r="N10" s="47">
        <f t="shared" si="4"/>
        <v>27.735368956743002</v>
      </c>
      <c r="O10" s="47">
        <f t="shared" si="4"/>
        <v>9.4147582697200924</v>
      </c>
      <c r="P10" s="47">
        <f t="shared" si="4"/>
        <v>-4.3256997455470731</v>
      </c>
      <c r="Q10" s="47">
        <v>1</v>
      </c>
      <c r="R10" s="47">
        <f t="shared" si="6"/>
        <v>121.74904336837068</v>
      </c>
      <c r="S10" s="47">
        <f t="shared" si="5"/>
        <v>77.362884930164057</v>
      </c>
      <c r="T10" s="47">
        <f t="shared" si="5"/>
        <v>47.769222024870395</v>
      </c>
      <c r="U10" s="47">
        <f t="shared" si="5"/>
        <v>26.672392628032561</v>
      </c>
      <c r="V10" s="47">
        <f t="shared" si="5"/>
        <v>10.831238102095805</v>
      </c>
    </row>
    <row r="11" spans="1:22" ht="12" thickBot="1" x14ac:dyDescent="0.25">
      <c r="A11" s="16">
        <v>2008</v>
      </c>
      <c r="B11" s="23">
        <f>'1.In-Out-HC'!E11</f>
        <v>3036</v>
      </c>
      <c r="C11" s="30">
        <f>'1.In-Out-HC'!H11</f>
        <v>413</v>
      </c>
      <c r="D11" s="34">
        <f>'1.In-Out-HC'!K11</f>
        <v>351</v>
      </c>
      <c r="E11" s="26">
        <f t="shared" si="7"/>
        <v>7.3510895883777243</v>
      </c>
      <c r="F11" s="47">
        <f t="shared" si="2"/>
        <v>7.3510895883777243</v>
      </c>
      <c r="G11" s="47">
        <f t="shared" si="3"/>
        <v>759</v>
      </c>
      <c r="H11" s="47">
        <f t="shared" si="3"/>
        <v>607</v>
      </c>
      <c r="I11" s="47">
        <f t="shared" si="3"/>
        <v>506</v>
      </c>
      <c r="J11" s="47">
        <f t="shared" si="3"/>
        <v>434</v>
      </c>
      <c r="K11" s="47">
        <f t="shared" si="3"/>
        <v>380</v>
      </c>
      <c r="L11" s="47">
        <f t="shared" si="4"/>
        <v>83.777239709443108</v>
      </c>
      <c r="M11" s="47">
        <f t="shared" si="4"/>
        <v>46.973365617433416</v>
      </c>
      <c r="N11" s="47">
        <f t="shared" si="4"/>
        <v>22.51815980629539</v>
      </c>
      <c r="O11" s="47">
        <f t="shared" si="4"/>
        <v>5.0847457627118731</v>
      </c>
      <c r="P11" s="47">
        <f t="shared" si="4"/>
        <v>-7.9903147699757815</v>
      </c>
      <c r="Q11" s="47">
        <v>1</v>
      </c>
      <c r="R11" s="47">
        <f t="shared" si="6"/>
        <v>112.93291493912588</v>
      </c>
      <c r="S11" s="47">
        <f t="shared" si="5"/>
        <v>70.350040157922848</v>
      </c>
      <c r="T11" s="47">
        <f t="shared" si="5"/>
        <v>41.959404635113451</v>
      </c>
      <c r="U11" s="47">
        <f t="shared" si="5"/>
        <v>21.667678664121944</v>
      </c>
      <c r="V11" s="47">
        <f t="shared" si="5"/>
        <v>6.4357261262793699</v>
      </c>
    </row>
    <row r="12" spans="1:22" ht="12" thickBot="1" x14ac:dyDescent="0.25">
      <c r="A12" s="16">
        <v>2009</v>
      </c>
      <c r="B12" s="23">
        <f>'1.In-Out-HC'!E12</f>
        <v>2701</v>
      </c>
      <c r="C12" s="30">
        <f>'1.In-Out-HC'!H12</f>
        <v>425</v>
      </c>
      <c r="D12" s="34">
        <f>'1.In-Out-HC'!K12</f>
        <v>534</v>
      </c>
      <c r="E12" s="26">
        <f t="shared" si="7"/>
        <v>6.355294117647059</v>
      </c>
      <c r="F12" s="47">
        <f t="shared" si="2"/>
        <v>6.355294117647059</v>
      </c>
      <c r="G12" s="47">
        <f t="shared" si="3"/>
        <v>675</v>
      </c>
      <c r="H12" s="47">
        <f t="shared" si="3"/>
        <v>540</v>
      </c>
      <c r="I12" s="47">
        <f t="shared" si="3"/>
        <v>450</v>
      </c>
      <c r="J12" s="47">
        <f t="shared" si="3"/>
        <v>386</v>
      </c>
      <c r="K12" s="47">
        <f t="shared" si="3"/>
        <v>338</v>
      </c>
      <c r="L12" s="47">
        <f t="shared" si="4"/>
        <v>58.823529411764696</v>
      </c>
      <c r="M12" s="47">
        <f t="shared" si="4"/>
        <v>27.058823529411757</v>
      </c>
      <c r="N12" s="47">
        <f t="shared" si="4"/>
        <v>5.8823529411764719</v>
      </c>
      <c r="O12" s="47">
        <f t="shared" si="4"/>
        <v>-9.176470588235297</v>
      </c>
      <c r="P12" s="47">
        <f t="shared" si="4"/>
        <v>-20.47058823529412</v>
      </c>
      <c r="Q12" s="47">
        <v>1</v>
      </c>
      <c r="R12" s="47">
        <f t="shared" si="6"/>
        <v>104.47776912251787</v>
      </c>
      <c r="S12" s="47">
        <f t="shared" si="5"/>
        <v>63.570804541180912</v>
      </c>
      <c r="T12" s="47">
        <f t="shared" si="5"/>
        <v>36.321443634756207</v>
      </c>
      <c r="U12" s="47">
        <f t="shared" si="5"/>
        <v>16.858628122713021</v>
      </c>
      <c r="V12" s="47">
        <f t="shared" si="5"/>
        <v>2.2521742663653757</v>
      </c>
    </row>
    <row r="13" spans="1:22" ht="12" thickBot="1" x14ac:dyDescent="0.25">
      <c r="A13" s="16">
        <v>2010</v>
      </c>
      <c r="B13" s="23">
        <f>'1.In-Out-HC'!E13</f>
        <v>2717</v>
      </c>
      <c r="C13" s="30">
        <f>'1.In-Out-HC'!H13</f>
        <v>410</v>
      </c>
      <c r="D13" s="34">
        <f>'1.In-Out-HC'!K13</f>
        <v>267</v>
      </c>
      <c r="E13" s="26">
        <f t="shared" si="7"/>
        <v>6.626829268292683</v>
      </c>
      <c r="F13" s="47">
        <f t="shared" si="2"/>
        <v>6.626829268292683</v>
      </c>
      <c r="G13" s="47">
        <f t="shared" si="3"/>
        <v>679</v>
      </c>
      <c r="H13" s="47">
        <f t="shared" si="3"/>
        <v>543</v>
      </c>
      <c r="I13" s="47">
        <f t="shared" si="3"/>
        <v>453</v>
      </c>
      <c r="J13" s="47">
        <f t="shared" si="3"/>
        <v>388</v>
      </c>
      <c r="K13" s="47">
        <f t="shared" si="3"/>
        <v>340</v>
      </c>
      <c r="L13" s="47">
        <f t="shared" si="4"/>
        <v>65.609756097560961</v>
      </c>
      <c r="M13" s="47">
        <f t="shared" si="4"/>
        <v>32.439024390243908</v>
      </c>
      <c r="N13" s="47">
        <f t="shared" si="4"/>
        <v>10.48780487804879</v>
      </c>
      <c r="O13" s="47">
        <f t="shared" si="4"/>
        <v>-5.3658536585365901</v>
      </c>
      <c r="P13" s="47">
        <f t="shared" si="4"/>
        <v>-17.073170731707322</v>
      </c>
      <c r="Q13" s="47">
        <v>1</v>
      </c>
      <c r="R13" s="47">
        <f t="shared" si="6"/>
        <v>91.23803960639944</v>
      </c>
      <c r="S13" s="47">
        <f t="shared" si="5"/>
        <v>52.982330047767853</v>
      </c>
      <c r="T13" s="47">
        <f t="shared" si="5"/>
        <v>27.494107333618082</v>
      </c>
      <c r="U13" s="47">
        <f t="shared" si="5"/>
        <v>9.3084494965380085</v>
      </c>
      <c r="V13" s="47">
        <f t="shared" si="5"/>
        <v>-4.3374268591158778</v>
      </c>
    </row>
    <row r="14" spans="1:22" ht="12" thickBot="1" x14ac:dyDescent="0.25">
      <c r="A14" s="16">
        <v>2011</v>
      </c>
      <c r="B14" s="23">
        <f>'1.In-Out-HC'!E14</f>
        <v>2723</v>
      </c>
      <c r="C14" s="30">
        <f>'1.In-Out-HC'!H14</f>
        <v>443</v>
      </c>
      <c r="D14" s="34">
        <f>'1.In-Out-HC'!K14</f>
        <v>227</v>
      </c>
      <c r="E14" s="26">
        <f t="shared" si="7"/>
        <v>6.1467268623024829</v>
      </c>
      <c r="F14" s="47">
        <f t="shared" si="2"/>
        <v>6.1467268623024829</v>
      </c>
      <c r="G14" s="47">
        <f t="shared" si="3"/>
        <v>681</v>
      </c>
      <c r="H14" s="47">
        <f t="shared" si="3"/>
        <v>545</v>
      </c>
      <c r="I14" s="47">
        <f t="shared" si="3"/>
        <v>454</v>
      </c>
      <c r="J14" s="47">
        <f t="shared" si="3"/>
        <v>389</v>
      </c>
      <c r="K14" s="47">
        <f t="shared" si="3"/>
        <v>340</v>
      </c>
      <c r="L14" s="47">
        <f t="shared" si="4"/>
        <v>53.724604966139957</v>
      </c>
      <c r="M14" s="47">
        <f t="shared" si="4"/>
        <v>23.024830699774256</v>
      </c>
      <c r="N14" s="47">
        <f t="shared" si="4"/>
        <v>2.483069977426644</v>
      </c>
      <c r="O14" s="47">
        <f t="shared" si="4"/>
        <v>-12.189616252821667</v>
      </c>
      <c r="P14" s="47">
        <f t="shared" si="4"/>
        <v>-23.250564334085777</v>
      </c>
      <c r="Q14" s="47">
        <v>1</v>
      </c>
      <c r="R14" s="47">
        <f t="shared" si="6"/>
        <v>83.805837388836267</v>
      </c>
      <c r="S14" s="47">
        <f t="shared" si="5"/>
        <v>47.024771407085908</v>
      </c>
      <c r="T14" s="47">
        <f t="shared" si="5"/>
        <v>22.562279621502984</v>
      </c>
      <c r="U14" s="47">
        <f t="shared" si="5"/>
        <v>5.0529015815663749</v>
      </c>
      <c r="V14" s="47">
        <f t="shared" si="5"/>
        <v>-8.0307925821673969</v>
      </c>
    </row>
    <row r="15" spans="1:22" ht="12" thickBot="1" x14ac:dyDescent="0.25">
      <c r="A15" s="16">
        <v>2012</v>
      </c>
      <c r="B15" s="23">
        <f>'1.In-Out-HC'!E15</f>
        <v>2705</v>
      </c>
      <c r="C15" s="30">
        <f>'1.In-Out-HC'!H15</f>
        <v>384</v>
      </c>
      <c r="D15" s="34">
        <f>'1.In-Out-HC'!K15</f>
        <v>182</v>
      </c>
      <c r="E15" s="26">
        <f t="shared" si="7"/>
        <v>7.044270833333333</v>
      </c>
      <c r="F15" s="47">
        <f t="shared" si="2"/>
        <v>7.044270833333333</v>
      </c>
      <c r="G15" s="47">
        <f t="shared" si="3"/>
        <v>676</v>
      </c>
      <c r="H15" s="47">
        <f t="shared" si="3"/>
        <v>541</v>
      </c>
      <c r="I15" s="47">
        <f t="shared" si="3"/>
        <v>451</v>
      </c>
      <c r="J15" s="47">
        <f t="shared" si="3"/>
        <v>386</v>
      </c>
      <c r="K15" s="47">
        <f t="shared" si="3"/>
        <v>338</v>
      </c>
      <c r="L15" s="47">
        <f t="shared" si="4"/>
        <v>76.041666666666671</v>
      </c>
      <c r="M15" s="47">
        <f t="shared" si="4"/>
        <v>40.885416666666671</v>
      </c>
      <c r="N15" s="47">
        <f t="shared" si="4"/>
        <v>17.447916666666675</v>
      </c>
      <c r="O15" s="47">
        <f t="shared" si="4"/>
        <v>0.52083333333332593</v>
      </c>
      <c r="P15" s="47">
        <f t="shared" si="4"/>
        <v>-11.979166666666663</v>
      </c>
      <c r="Q15" s="47">
        <v>1</v>
      </c>
      <c r="R15" s="47">
        <f t="shared" si="6"/>
        <v>75.082279986254335</v>
      </c>
      <c r="S15" s="47">
        <f t="shared" si="5"/>
        <v>40.064788601965532</v>
      </c>
      <c r="T15" s="47">
        <f t="shared" si="5"/>
        <v>16.739308824720844</v>
      </c>
      <c r="U15" s="47">
        <f t="shared" si="5"/>
        <v>5.257140959384321E-2</v>
      </c>
      <c r="V15" s="47">
        <f t="shared" si="5"/>
        <v>-12.444526390223725</v>
      </c>
    </row>
    <row r="16" spans="1:22" ht="12" thickBot="1" x14ac:dyDescent="0.25">
      <c r="A16" s="16">
        <v>2013</v>
      </c>
      <c r="B16" s="23">
        <f>'1.In-Out-HC'!E16</f>
        <v>2946</v>
      </c>
      <c r="C16" s="30">
        <f>'1.In-Out-HC'!H16</f>
        <v>432</v>
      </c>
      <c r="D16" s="34">
        <f>'1.In-Out-HC'!K16</f>
        <v>73</v>
      </c>
      <c r="E16" s="26">
        <f t="shared" si="7"/>
        <v>6.8194444444444446</v>
      </c>
      <c r="F16" s="47">
        <f t="shared" si="2"/>
        <v>6.8194444444444446</v>
      </c>
      <c r="G16" s="47">
        <f t="shared" si="3"/>
        <v>737</v>
      </c>
      <c r="H16" s="47">
        <f t="shared" si="3"/>
        <v>589</v>
      </c>
      <c r="I16" s="47">
        <f t="shared" si="3"/>
        <v>491</v>
      </c>
      <c r="J16" s="47">
        <f t="shared" si="3"/>
        <v>421</v>
      </c>
      <c r="K16" s="47">
        <f t="shared" si="3"/>
        <v>368</v>
      </c>
      <c r="L16" s="47">
        <f t="shared" si="4"/>
        <v>70.601851851851862</v>
      </c>
      <c r="M16" s="47">
        <f t="shared" si="4"/>
        <v>36.342592592592581</v>
      </c>
      <c r="N16" s="47">
        <f t="shared" si="4"/>
        <v>13.657407407407419</v>
      </c>
      <c r="O16" s="47">
        <f t="shared" si="4"/>
        <v>-2.546296296296291</v>
      </c>
      <c r="P16" s="47">
        <f t="shared" si="4"/>
        <v>-14.814814814814813</v>
      </c>
      <c r="Q16" s="47">
        <v>1</v>
      </c>
      <c r="R16" s="47">
        <f t="shared" si="6"/>
        <v>75.360502123573909</v>
      </c>
      <c r="S16" s="47">
        <f t="shared" si="5"/>
        <v>40.30277074072886</v>
      </c>
      <c r="T16" s="47">
        <f t="shared" si="5"/>
        <v>16.944805098885134</v>
      </c>
      <c r="U16" s="47">
        <f t="shared" si="5"/>
        <v>0.18836736747829319</v>
      </c>
      <c r="V16" s="47">
        <f t="shared" si="5"/>
        <v>-12.309572070392177</v>
      </c>
    </row>
    <row r="17" spans="1:22" ht="12" thickBot="1" x14ac:dyDescent="0.25">
      <c r="A17" s="16">
        <v>2014</v>
      </c>
      <c r="B17" s="23">
        <f>'1.In-Out-HC'!E17</f>
        <v>3281</v>
      </c>
      <c r="C17" s="30">
        <f>'1.In-Out-HC'!H17</f>
        <v>401</v>
      </c>
      <c r="D17" s="34">
        <f>'1.In-Out-HC'!K17</f>
        <v>49</v>
      </c>
      <c r="E17" s="26">
        <f t="shared" si="7"/>
        <v>8.1820448877805489</v>
      </c>
      <c r="F17" s="47">
        <f t="shared" si="2"/>
        <v>8.1820448877805489</v>
      </c>
      <c r="G17" s="47">
        <f t="shared" si="3"/>
        <v>820</v>
      </c>
      <c r="H17" s="47">
        <f t="shared" si="3"/>
        <v>656</v>
      </c>
      <c r="I17" s="47">
        <f t="shared" si="3"/>
        <v>547</v>
      </c>
      <c r="J17" s="47">
        <f t="shared" si="3"/>
        <v>469</v>
      </c>
      <c r="K17" s="47">
        <f t="shared" si="3"/>
        <v>410</v>
      </c>
      <c r="L17" s="47">
        <f t="shared" si="4"/>
        <v>104.48877805486285</v>
      </c>
      <c r="M17" s="47">
        <f t="shared" si="4"/>
        <v>63.591022443890274</v>
      </c>
      <c r="N17" s="47">
        <f t="shared" si="4"/>
        <v>36.408977556109726</v>
      </c>
      <c r="O17" s="47">
        <f t="shared" si="4"/>
        <v>16.957605985037418</v>
      </c>
      <c r="P17" s="47">
        <f t="shared" si="4"/>
        <v>2.244389027431426</v>
      </c>
      <c r="Q17" s="47">
        <v>1</v>
      </c>
      <c r="R17" s="47">
        <f t="shared" si="6"/>
        <v>73.980493544774504</v>
      </c>
      <c r="S17" s="47">
        <f t="shared" si="5"/>
        <v>39.154319077769337</v>
      </c>
      <c r="T17" s="47">
        <f t="shared" si="5"/>
        <v>15.991459768356595</v>
      </c>
      <c r="U17" s="47">
        <f t="shared" si="5"/>
        <v>-0.60468509501633627</v>
      </c>
      <c r="V17" s="47">
        <f t="shared" si="5"/>
        <v>-13.036092466274741</v>
      </c>
    </row>
    <row r="18" spans="1:22" ht="12" thickBot="1" x14ac:dyDescent="0.25">
      <c r="A18" s="16">
        <v>2015</v>
      </c>
      <c r="B18" s="23">
        <f>'1.In-Out-HC'!E18</f>
        <v>3468</v>
      </c>
      <c r="C18" s="30">
        <f>'1.In-Out-HC'!H18</f>
        <v>521</v>
      </c>
      <c r="D18" s="34">
        <f>'1.In-Out-HC'!K18</f>
        <v>75</v>
      </c>
      <c r="E18" s="26">
        <f t="shared" si="7"/>
        <v>6.6564299424184261</v>
      </c>
      <c r="F18" s="47">
        <f t="shared" si="2"/>
        <v>6.6564299424184261</v>
      </c>
      <c r="G18" s="47">
        <f t="shared" si="3"/>
        <v>867</v>
      </c>
      <c r="H18" s="47">
        <f t="shared" si="3"/>
        <v>694</v>
      </c>
      <c r="I18" s="47">
        <f t="shared" si="3"/>
        <v>578</v>
      </c>
      <c r="J18" s="47">
        <f t="shared" si="3"/>
        <v>495</v>
      </c>
      <c r="K18" s="47">
        <f t="shared" si="3"/>
        <v>434</v>
      </c>
      <c r="L18" s="47">
        <f t="shared" si="4"/>
        <v>66.410748560460647</v>
      </c>
      <c r="M18" s="47">
        <f t="shared" si="4"/>
        <v>33.205374280230316</v>
      </c>
      <c r="N18" s="47">
        <f t="shared" si="4"/>
        <v>10.940499040307095</v>
      </c>
      <c r="O18" s="47">
        <f t="shared" si="4"/>
        <v>-4.9904030710172798</v>
      </c>
      <c r="P18" s="47">
        <f t="shared" si="4"/>
        <v>-16.698656429942417</v>
      </c>
      <c r="Q18" s="47">
        <v>1</v>
      </c>
      <c r="R18" s="47">
        <f t="shared" si="6"/>
        <v>82.827896052700112</v>
      </c>
      <c r="S18" s="47">
        <f t="shared" si="5"/>
        <v>46.240963053944405</v>
      </c>
      <c r="T18" s="47">
        <f t="shared" si="5"/>
        <v>21.912539926805003</v>
      </c>
      <c r="U18" s="47">
        <f t="shared" si="5"/>
        <v>4.488379318199252</v>
      </c>
      <c r="V18" s="47">
        <f t="shared" si="5"/>
        <v>-8.604752833099953</v>
      </c>
    </row>
    <row r="19" spans="1:22" ht="12" thickBot="1" x14ac:dyDescent="0.25">
      <c r="A19" s="16">
        <v>2016</v>
      </c>
      <c r="B19" s="23">
        <f>'1.In-Out-HC'!E19</f>
        <v>3411</v>
      </c>
      <c r="C19" s="30">
        <f>'1.In-Out-HC'!H19</f>
        <v>516</v>
      </c>
      <c r="D19" s="34">
        <f>'1.In-Out-HC'!K19</f>
        <v>142</v>
      </c>
      <c r="E19" s="26">
        <f t="shared" si="7"/>
        <v>6.6104651162790695</v>
      </c>
      <c r="F19" s="47">
        <f t="shared" si="2"/>
        <v>6.6104651162790695</v>
      </c>
      <c r="G19" s="47">
        <f t="shared" si="3"/>
        <v>853</v>
      </c>
      <c r="H19" s="47">
        <f t="shared" si="3"/>
        <v>682</v>
      </c>
      <c r="I19" s="47">
        <f t="shared" si="3"/>
        <v>569</v>
      </c>
      <c r="J19" s="47">
        <f t="shared" si="3"/>
        <v>487</v>
      </c>
      <c r="K19" s="47">
        <f t="shared" si="3"/>
        <v>426</v>
      </c>
      <c r="L19" s="47">
        <f t="shared" si="4"/>
        <v>65.310077519379846</v>
      </c>
      <c r="M19" s="47">
        <f t="shared" si="4"/>
        <v>32.170542635658904</v>
      </c>
      <c r="N19" s="47">
        <f t="shared" si="4"/>
        <v>10.271317829457359</v>
      </c>
      <c r="O19" s="47">
        <f t="shared" si="4"/>
        <v>-5.6201550387596892</v>
      </c>
      <c r="P19" s="47">
        <f t="shared" si="4"/>
        <v>-17.441860465116278</v>
      </c>
      <c r="Q19" s="47">
        <v>1</v>
      </c>
      <c r="R19" s="47">
        <f t="shared" si="6"/>
        <v>78.066923279950657</v>
      </c>
      <c r="S19" s="47">
        <f t="shared" si="5"/>
        <v>42.460642309567312</v>
      </c>
      <c r="T19" s="47">
        <f t="shared" si="5"/>
        <v>18.730648069720608</v>
      </c>
      <c r="U19" s="47">
        <f t="shared" si="5"/>
        <v>1.7395324253264577</v>
      </c>
      <c r="V19" s="47">
        <f t="shared" si="5"/>
        <v>-10.951984876184266</v>
      </c>
    </row>
    <row r="20" spans="1:22" ht="12" thickBot="1" x14ac:dyDescent="0.25">
      <c r="A20" s="19" t="s">
        <v>29</v>
      </c>
      <c r="B20" s="41">
        <f t="shared" ref="B20:C20" si="8">ROUND(AVERAGE(B4:B19),0)</f>
        <v>2835</v>
      </c>
      <c r="C20" s="41">
        <f t="shared" si="8"/>
        <v>380</v>
      </c>
      <c r="D20" s="42">
        <f>ROUND(AVERAGE(D5:D19),0)</f>
        <v>200</v>
      </c>
      <c r="E20" s="43">
        <f>ROUND(AVERAGE(E4:E19),1)</f>
        <v>7.7</v>
      </c>
    </row>
    <row r="21" spans="1:22" x14ac:dyDescent="0.2">
      <c r="A21" s="19" t="s">
        <v>40</v>
      </c>
      <c r="B21" s="21">
        <f t="shared" ref="B21:D21" si="9">_xlfn.STDEV.S(B4:B19)</f>
        <v>351.19728548685185</v>
      </c>
      <c r="C21" s="21">
        <f t="shared" si="9"/>
        <v>85.95034903943089</v>
      </c>
      <c r="D21" s="21">
        <f t="shared" si="9"/>
        <v>128.65766915863716</v>
      </c>
      <c r="E21" s="21">
        <f>_xlfn.STDEV.S(E4:E19)</f>
        <v>1.2445527628606121</v>
      </c>
      <c r="P21" s="47">
        <f>MIN(L4:P19)</f>
        <v>-23.250564334085777</v>
      </c>
    </row>
    <row r="22" spans="1:22" x14ac:dyDescent="0.2">
      <c r="A22" s="19" t="s">
        <v>41</v>
      </c>
      <c r="B22" s="21">
        <f t="shared" ref="B22:C22" si="10">_xlfn.CONFIDENCE.T(0.05,B21,COUNT(B4:B19))</f>
        <v>187.13982363819417</v>
      </c>
      <c r="C22" s="21">
        <f t="shared" si="10"/>
        <v>45.799708100199737</v>
      </c>
      <c r="D22" s="21">
        <f>_xlfn.CONFIDENCE.T(0.05,D21,COUNT(D5:D19))</f>
        <v>71.248242360812867</v>
      </c>
      <c r="E22" s="21">
        <f>_xlfn.CONFIDENCE.T(0.01,E21,COUNT(E4:E19))</f>
        <v>0.91683491512151716</v>
      </c>
      <c r="P22" s="47">
        <f>MAX(L4:P19)</f>
        <v>161.40350877192984</v>
      </c>
    </row>
    <row r="23" spans="1:22" x14ac:dyDescent="0.2">
      <c r="A23" s="19" t="s">
        <v>42</v>
      </c>
      <c r="B23" s="20">
        <f t="shared" ref="B23:D23" si="11">ROUND(B20-B22,0)</f>
        <v>2648</v>
      </c>
      <c r="C23" s="20">
        <f t="shared" si="11"/>
        <v>334</v>
      </c>
      <c r="D23" s="20">
        <f t="shared" si="11"/>
        <v>129</v>
      </c>
      <c r="E23" s="22">
        <f>ROUND(E20-E22,1)</f>
        <v>6.8</v>
      </c>
    </row>
    <row r="24" spans="1:22" x14ac:dyDescent="0.2">
      <c r="A24" s="19" t="s">
        <v>43</v>
      </c>
      <c r="B24" s="20">
        <f t="shared" ref="B24:D24" si="12">ROUND(B20+B22,0)</f>
        <v>3022</v>
      </c>
      <c r="C24" s="20">
        <f t="shared" si="12"/>
        <v>426</v>
      </c>
      <c r="D24" s="20">
        <f t="shared" si="12"/>
        <v>271</v>
      </c>
      <c r="E24" s="22">
        <f>ROUND(E20+E22,1)</f>
        <v>8.6</v>
      </c>
    </row>
    <row r="25" spans="1:22" x14ac:dyDescent="0.2">
      <c r="B25" s="18" t="e">
        <f>B20/#REF!</f>
        <v>#REF!</v>
      </c>
      <c r="C25" s="18" t="e">
        <f>C20/#REF!</f>
        <v>#REF!</v>
      </c>
      <c r="D25" s="18" t="e">
        <f>D20/#REF!</f>
        <v>#REF!</v>
      </c>
    </row>
    <row r="27" spans="1:22" x14ac:dyDescent="0.2">
      <c r="C27" s="47"/>
    </row>
    <row r="28" spans="1:22" x14ac:dyDescent="0.2">
      <c r="B28" s="48" t="e">
        <f>#REF!/#REF!</f>
        <v>#REF!</v>
      </c>
    </row>
    <row r="31" spans="1:22" x14ac:dyDescent="0.2">
      <c r="A31" s="19" t="s">
        <v>61</v>
      </c>
    </row>
    <row r="32" spans="1:22" x14ac:dyDescent="0.2">
      <c r="A32" s="19" t="s">
        <v>62</v>
      </c>
    </row>
    <row r="33" spans="1:1" x14ac:dyDescent="0.2">
      <c r="A33" s="19" t="s">
        <v>65</v>
      </c>
    </row>
  </sheetData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3"/>
  <sheetViews>
    <sheetView tabSelected="1" topLeftCell="AI1" zoomScale="60" zoomScaleNormal="60" workbookViewId="0">
      <selection activeCell="BC14" sqref="BC14"/>
    </sheetView>
  </sheetViews>
  <sheetFormatPr defaultRowHeight="15" x14ac:dyDescent="0.25"/>
  <cols>
    <col min="1" max="1" width="6.83203125" style="87" customWidth="1"/>
    <col min="2" max="2" width="6.1640625" style="88" bestFit="1" customWidth="1"/>
    <col min="3" max="18" width="6.33203125" style="87" bestFit="1" customWidth="1"/>
    <col min="19" max="19" width="1.5" style="87" customWidth="1"/>
    <col min="20" max="20" width="6.6640625" style="87" bestFit="1" customWidth="1"/>
    <col min="21" max="35" width="6.1640625" style="87" customWidth="1"/>
    <col min="36" max="76" width="9.33203125" style="87"/>
    <col min="77" max="77" width="24.5" style="87" bestFit="1" customWidth="1"/>
    <col min="78" max="16384" width="9.33203125" style="87"/>
  </cols>
  <sheetData>
    <row r="1" spans="1:77" ht="18.75" x14ac:dyDescent="0.3">
      <c r="A1" s="133" t="s">
        <v>122</v>
      </c>
    </row>
    <row r="2" spans="1:77" x14ac:dyDescent="0.25">
      <c r="AK2" s="87" t="s">
        <v>121</v>
      </c>
    </row>
    <row r="3" spans="1:77" x14ac:dyDescent="0.25">
      <c r="C3" s="132"/>
      <c r="D3" s="130"/>
      <c r="E3" s="130"/>
      <c r="F3" s="130"/>
      <c r="G3" s="130"/>
      <c r="H3" s="130"/>
      <c r="I3" s="192" t="s">
        <v>120</v>
      </c>
      <c r="J3" s="192"/>
      <c r="K3" s="192"/>
      <c r="L3" s="192"/>
      <c r="M3" s="130"/>
      <c r="N3" s="130"/>
      <c r="O3" s="130"/>
      <c r="P3" s="130"/>
      <c r="Q3" s="130"/>
      <c r="R3" s="129"/>
      <c r="T3" s="132"/>
      <c r="U3" s="130"/>
      <c r="V3" s="130"/>
      <c r="W3" s="130"/>
      <c r="X3" s="130"/>
      <c r="Y3" s="130"/>
      <c r="Z3" s="130"/>
      <c r="AA3" s="131" t="s">
        <v>119</v>
      </c>
      <c r="AB3" s="130"/>
      <c r="AC3" s="130"/>
      <c r="AD3" s="130"/>
      <c r="AE3" s="130"/>
      <c r="AF3" s="130"/>
      <c r="AG3" s="130"/>
      <c r="AH3" s="130"/>
      <c r="AI3" s="129"/>
      <c r="BC3" s="106">
        <f>AK5/AK$5</f>
        <v>1</v>
      </c>
      <c r="BD3" s="106">
        <f t="shared" ref="BD3:BD13" si="0">AL5/AL$5</f>
        <v>1</v>
      </c>
      <c r="BE3" s="106">
        <f t="shared" ref="BE3:BE13" si="1">AM5/AM$5</f>
        <v>1</v>
      </c>
      <c r="BF3" s="106">
        <f t="shared" ref="BF3:BF13" si="2">AN5/AN$5</f>
        <v>1</v>
      </c>
      <c r="BG3" s="106">
        <f t="shared" ref="BG3:BG13" si="3">AO5/AO$5</f>
        <v>1</v>
      </c>
      <c r="BH3" s="106">
        <f t="shared" ref="BH3:BH13" si="4">AP5/AP$5</f>
        <v>1</v>
      </c>
      <c r="BI3" s="106">
        <f t="shared" ref="BI3:BI13" si="5">AQ5/AQ$5</f>
        <v>1</v>
      </c>
      <c r="BJ3" s="106">
        <f t="shared" ref="BJ3:BJ13" si="6">AR5/AR$5</f>
        <v>1</v>
      </c>
      <c r="BK3" s="106">
        <f t="shared" ref="BK3:BK13" si="7">AS5/AS$5</f>
        <v>1</v>
      </c>
      <c r="BL3" s="106">
        <f t="shared" ref="BL3:BL13" si="8">AT5/AT$5</f>
        <v>1</v>
      </c>
      <c r="BM3" s="106">
        <f t="shared" ref="BM3:BM13" si="9">AU5/AU$5</f>
        <v>1</v>
      </c>
      <c r="BN3" s="106">
        <f t="shared" ref="BN3:BN13" si="10">AV5/AV$5</f>
        <v>1</v>
      </c>
      <c r="BO3" s="106">
        <f t="shared" ref="BO3:BO13" si="11">AW5/AW$5</f>
        <v>1</v>
      </c>
      <c r="BP3" s="106">
        <f t="shared" ref="BP3:BP13" si="12">AX5/AX$5</f>
        <v>1</v>
      </c>
      <c r="BQ3" s="106">
        <f t="shared" ref="BQ3:BQ13" si="13">AY5/AY$5</f>
        <v>1</v>
      </c>
      <c r="BR3" s="106">
        <f t="shared" ref="BR3:BR13" si="14">AZ5/AZ$5</f>
        <v>1</v>
      </c>
      <c r="BT3" s="136">
        <v>1</v>
      </c>
      <c r="BW3" s="136">
        <v>1</v>
      </c>
      <c r="BX3" s="136">
        <v>1</v>
      </c>
    </row>
    <row r="4" spans="1:77" x14ac:dyDescent="0.25">
      <c r="A4" s="128" t="s">
        <v>118</v>
      </c>
      <c r="B4" s="127" t="s">
        <v>30</v>
      </c>
      <c r="C4" s="126">
        <v>2001</v>
      </c>
      <c r="D4" s="125">
        <v>2002</v>
      </c>
      <c r="E4" s="125">
        <v>2003</v>
      </c>
      <c r="F4" s="125">
        <v>2004</v>
      </c>
      <c r="G4" s="125">
        <v>2005</v>
      </c>
      <c r="H4" s="125">
        <v>2006</v>
      </c>
      <c r="I4" s="125">
        <v>2007</v>
      </c>
      <c r="J4" s="125">
        <v>2008</v>
      </c>
      <c r="K4" s="125">
        <v>2009</v>
      </c>
      <c r="L4" s="125">
        <v>2010</v>
      </c>
      <c r="M4" s="125">
        <v>2011</v>
      </c>
      <c r="N4" s="125">
        <v>2012</v>
      </c>
      <c r="O4" s="125">
        <v>2013</v>
      </c>
      <c r="P4" s="125">
        <v>2014</v>
      </c>
      <c r="Q4" s="125">
        <v>2015</v>
      </c>
      <c r="R4" s="124">
        <v>2016</v>
      </c>
      <c r="S4" s="116"/>
      <c r="T4" s="126">
        <v>2001</v>
      </c>
      <c r="U4" s="125">
        <v>2002</v>
      </c>
      <c r="V4" s="125">
        <v>2003</v>
      </c>
      <c r="W4" s="125">
        <v>2004</v>
      </c>
      <c r="X4" s="125">
        <v>2005</v>
      </c>
      <c r="Y4" s="125">
        <v>2006</v>
      </c>
      <c r="Z4" s="125">
        <v>2007</v>
      </c>
      <c r="AA4" s="125">
        <v>2008</v>
      </c>
      <c r="AB4" s="125">
        <v>2009</v>
      </c>
      <c r="AC4" s="125">
        <v>2010</v>
      </c>
      <c r="AD4" s="125">
        <v>2011</v>
      </c>
      <c r="AE4" s="125">
        <v>2012</v>
      </c>
      <c r="AF4" s="125">
        <v>2013</v>
      </c>
      <c r="AG4" s="125">
        <v>2014</v>
      </c>
      <c r="AH4" s="125">
        <v>2015</v>
      </c>
      <c r="AI4" s="124">
        <v>2016</v>
      </c>
      <c r="AJ4" s="87" t="s">
        <v>30</v>
      </c>
      <c r="AK4" s="87">
        <v>2001</v>
      </c>
      <c r="AL4" s="87">
        <v>2002</v>
      </c>
      <c r="AM4" s="87">
        <v>2003</v>
      </c>
      <c r="AN4" s="87">
        <v>2004</v>
      </c>
      <c r="AO4" s="87">
        <v>2005</v>
      </c>
      <c r="AP4" s="87">
        <v>2006</v>
      </c>
      <c r="AQ4" s="87">
        <v>2007</v>
      </c>
      <c r="AR4" s="87">
        <v>2008</v>
      </c>
      <c r="AS4" s="87">
        <v>2009</v>
      </c>
      <c r="AT4" s="87">
        <v>2010</v>
      </c>
      <c r="AU4" s="87">
        <v>2011</v>
      </c>
      <c r="AV4" s="87">
        <v>2012</v>
      </c>
      <c r="AW4" s="87">
        <v>2013</v>
      </c>
      <c r="AX4" s="87">
        <v>2014</v>
      </c>
      <c r="AY4" s="87">
        <v>2015</v>
      </c>
      <c r="AZ4" s="87">
        <v>2016</v>
      </c>
      <c r="BA4" s="117"/>
      <c r="BB4" s="117"/>
      <c r="BC4" s="106">
        <f t="shared" ref="BC3:BC13" si="15">AK6/AK$5</f>
        <v>0.73263888888888884</v>
      </c>
      <c r="BD4" s="106">
        <f t="shared" si="0"/>
        <v>0.7936241610738255</v>
      </c>
      <c r="BE4" s="106">
        <f t="shared" si="1"/>
        <v>0.82268370607028751</v>
      </c>
      <c r="BF4" s="106">
        <f t="shared" si="2"/>
        <v>0.79005524861878451</v>
      </c>
      <c r="BG4" s="106">
        <f t="shared" si="3"/>
        <v>0.87179487179487181</v>
      </c>
      <c r="BH4" s="106">
        <f t="shared" si="4"/>
        <v>0.78197674418604646</v>
      </c>
      <c r="BI4" s="106">
        <f t="shared" si="5"/>
        <v>0.71548117154811719</v>
      </c>
      <c r="BJ4" s="106">
        <f t="shared" si="6"/>
        <v>0.69693251533742329</v>
      </c>
      <c r="BK4" s="106">
        <f t="shared" si="7"/>
        <v>0.74767801857585137</v>
      </c>
      <c r="BL4" s="106">
        <f t="shared" si="8"/>
        <v>0.78279266572637518</v>
      </c>
      <c r="BM4" s="106">
        <f t="shared" si="9"/>
        <v>0.78041958041958037</v>
      </c>
      <c r="BN4" s="106">
        <f t="shared" si="10"/>
        <v>0.83277027027027029</v>
      </c>
      <c r="BO4" s="106">
        <f t="shared" si="11"/>
        <v>0.86794871794871797</v>
      </c>
      <c r="BP4" s="106">
        <f t="shared" si="12"/>
        <v>0.86561743341404362</v>
      </c>
      <c r="BQ4" s="106">
        <f t="shared" si="13"/>
        <v>0.87637698898408811</v>
      </c>
      <c r="BR4" s="106">
        <f t="shared" si="14"/>
        <v>0</v>
      </c>
      <c r="BT4" s="116">
        <f>AVERAGE(BC4:BQ4)</f>
        <v>0.79725273219047821</v>
      </c>
      <c r="BU4" s="116">
        <f>_xlfn.STDEV.S(BC4:BQ4)</f>
        <v>5.8291859853917653E-2</v>
      </c>
      <c r="BV4" s="87">
        <f>_xlfn.CONFIDENCE.NORM(0.05,BU4,COUNT(BC4:BQ4))</f>
        <v>2.9499209186482311E-2</v>
      </c>
      <c r="BW4" s="116">
        <f>BT4-BV4</f>
        <v>0.76775352300399591</v>
      </c>
      <c r="BX4" s="116">
        <f>BT4+BV4</f>
        <v>0.82675194137696051</v>
      </c>
      <c r="BY4" s="135"/>
    </row>
    <row r="5" spans="1:77" x14ac:dyDescent="0.25">
      <c r="A5" s="115" t="s">
        <v>117</v>
      </c>
      <c r="B5" s="114">
        <v>1</v>
      </c>
      <c r="C5" s="123">
        <v>576</v>
      </c>
      <c r="D5" s="112">
        <v>596</v>
      </c>
      <c r="E5" s="112">
        <v>626</v>
      </c>
      <c r="F5" s="112">
        <v>543</v>
      </c>
      <c r="G5" s="112">
        <v>663</v>
      </c>
      <c r="H5" s="112">
        <v>688</v>
      </c>
      <c r="I5" s="112">
        <v>717</v>
      </c>
      <c r="J5" s="112">
        <v>815</v>
      </c>
      <c r="K5" s="112">
        <v>646</v>
      </c>
      <c r="L5" s="112">
        <v>709</v>
      </c>
      <c r="M5" s="112">
        <v>715</v>
      </c>
      <c r="N5" s="112">
        <v>592</v>
      </c>
      <c r="O5" s="112">
        <v>780</v>
      </c>
      <c r="P5" s="112">
        <v>826</v>
      </c>
      <c r="Q5" s="112">
        <v>817</v>
      </c>
      <c r="R5" s="111">
        <v>628</v>
      </c>
      <c r="S5" s="118"/>
      <c r="T5" s="110">
        <f t="shared" ref="T5:T16" si="16">C5/C$16</f>
        <v>0.24731644482610562</v>
      </c>
      <c r="U5" s="109">
        <f t="shared" ref="U5:U16" si="17">D5/D$16</f>
        <v>0.2394535958216151</v>
      </c>
      <c r="V5" s="109">
        <f t="shared" ref="V5:V16" si="18">E5/E$16</f>
        <v>0.2387490465293669</v>
      </c>
      <c r="W5" s="109">
        <f t="shared" ref="W5:W16" si="19">F5/F$16</f>
        <v>0.20544835414301929</v>
      </c>
      <c r="X5" s="109">
        <f t="shared" ref="X5:X16" si="20">G5/G$16</f>
        <v>0.23917748917748918</v>
      </c>
      <c r="Y5" s="109">
        <f t="shared" ref="Y5:Y16" si="21">H5/H$16</f>
        <v>0.23172785449646346</v>
      </c>
      <c r="Z5" s="109">
        <f t="shared" ref="Z5:Z16" si="22">I5/I$16</f>
        <v>0.23733862959285004</v>
      </c>
      <c r="AA5" s="109">
        <f t="shared" ref="AA5:AA16" si="23">J5/J$16</f>
        <v>0.26818032247449819</v>
      </c>
      <c r="AB5" s="109">
        <f t="shared" ref="AB5:AB16" si="24">K5/K$16</f>
        <v>0.23890532544378698</v>
      </c>
      <c r="AC5" s="109">
        <f t="shared" ref="AC5:AC16" si="25">L5/L$16</f>
        <v>0.26027900146842881</v>
      </c>
      <c r="AD5" s="109">
        <f t="shared" ref="AD5:AD16" si="26">M5/M$16</f>
        <v>0.26161727039882915</v>
      </c>
      <c r="AE5" s="109">
        <f t="shared" ref="AE5:AE16" si="27">N5/N$16</f>
        <v>0.21836960531169311</v>
      </c>
      <c r="AF5" s="109">
        <f t="shared" ref="AF5:AF16" si="28">O5/O$16</f>
        <v>0.26306913996627318</v>
      </c>
      <c r="AG5" s="109">
        <f t="shared" ref="AG5:AG16" si="29">P5/P$16</f>
        <v>0.25060679611650488</v>
      </c>
      <c r="AH5" s="109">
        <f t="shared" ref="AH5:AH16" si="30">Q5/Q$16</f>
        <v>0.23443328550932568</v>
      </c>
      <c r="AI5" s="108">
        <f t="shared" ref="AI5:AI16" si="31">R5/R$16</f>
        <v>0.18319719953325556</v>
      </c>
      <c r="AJ5" s="121">
        <f t="shared" ref="AJ5:AZ5" si="32">B5</f>
        <v>1</v>
      </c>
      <c r="AK5" s="117">
        <f t="shared" si="32"/>
        <v>576</v>
      </c>
      <c r="AL5" s="117">
        <f t="shared" si="32"/>
        <v>596</v>
      </c>
      <c r="AM5" s="117">
        <f t="shared" si="32"/>
        <v>626</v>
      </c>
      <c r="AN5" s="117">
        <f t="shared" si="32"/>
        <v>543</v>
      </c>
      <c r="AO5" s="117">
        <f t="shared" si="32"/>
        <v>663</v>
      </c>
      <c r="AP5" s="117">
        <f t="shared" si="32"/>
        <v>688</v>
      </c>
      <c r="AQ5" s="117">
        <f t="shared" si="32"/>
        <v>717</v>
      </c>
      <c r="AR5" s="117">
        <f t="shared" si="32"/>
        <v>815</v>
      </c>
      <c r="AS5" s="117">
        <f t="shared" si="32"/>
        <v>646</v>
      </c>
      <c r="AT5" s="117">
        <f t="shared" si="32"/>
        <v>709</v>
      </c>
      <c r="AU5" s="117">
        <f t="shared" si="32"/>
        <v>715</v>
      </c>
      <c r="AV5" s="117">
        <f t="shared" si="32"/>
        <v>592</v>
      </c>
      <c r="AW5" s="117">
        <f t="shared" si="32"/>
        <v>780</v>
      </c>
      <c r="AX5" s="117">
        <f t="shared" si="32"/>
        <v>826</v>
      </c>
      <c r="AY5" s="117">
        <f t="shared" si="32"/>
        <v>817</v>
      </c>
      <c r="AZ5" s="117">
        <f t="shared" si="32"/>
        <v>628</v>
      </c>
      <c r="BA5" s="117"/>
      <c r="BB5" s="117"/>
      <c r="BC5" s="106">
        <f t="shared" si="15"/>
        <v>0.81597222222222221</v>
      </c>
      <c r="BD5" s="106">
        <f t="shared" si="0"/>
        <v>0.81040268456375841</v>
      </c>
      <c r="BE5" s="106">
        <f t="shared" si="1"/>
        <v>0.78115015974440893</v>
      </c>
      <c r="BF5" s="106">
        <f t="shared" si="2"/>
        <v>0.84346224677716386</v>
      </c>
      <c r="BG5" s="106">
        <f t="shared" si="3"/>
        <v>0.83257918552036203</v>
      </c>
      <c r="BH5" s="106">
        <f t="shared" si="4"/>
        <v>0.72383720930232553</v>
      </c>
      <c r="BI5" s="106">
        <f t="shared" si="5"/>
        <v>0.62482566248256621</v>
      </c>
      <c r="BJ5" s="106">
        <f t="shared" si="6"/>
        <v>0.64417177914110424</v>
      </c>
      <c r="BK5" s="106">
        <f t="shared" si="7"/>
        <v>0.68421052631578949</v>
      </c>
      <c r="BL5" s="106">
        <f t="shared" si="8"/>
        <v>0.78702397743300423</v>
      </c>
      <c r="BM5" s="106">
        <f t="shared" si="9"/>
        <v>0.83076923076923082</v>
      </c>
      <c r="BN5" s="106">
        <f t="shared" si="10"/>
        <v>0.91216216216216217</v>
      </c>
      <c r="BO5" s="106">
        <f t="shared" si="11"/>
        <v>0.92948717948717952</v>
      </c>
      <c r="BP5" s="106">
        <f t="shared" si="12"/>
        <v>0.85593220338983056</v>
      </c>
      <c r="BQ5" s="106">
        <f t="shared" si="13"/>
        <v>0</v>
      </c>
      <c r="BR5" s="106">
        <f t="shared" si="14"/>
        <v>2.6322770495524445E-4</v>
      </c>
      <c r="BT5" s="116">
        <f>AVERAGE(BC5:BP5)</f>
        <v>0.79114188780793615</v>
      </c>
      <c r="BU5" s="116">
        <f>_xlfn.STDEV.S(BC5:BP5)</f>
        <v>9.2127736792252335E-2</v>
      </c>
      <c r="BV5" s="87">
        <f>_xlfn.CONFIDENCE.NORM(0.05,BU5,COUNT(BC5:BP5))</f>
        <v>4.8258572986471425E-2</v>
      </c>
      <c r="BW5" s="116">
        <f t="shared" ref="BW5:BW13" si="33">BT5-BV5</f>
        <v>0.74288331482146475</v>
      </c>
      <c r="BX5" s="116">
        <f t="shared" ref="BX5:BX13" si="34">BT5+BV5</f>
        <v>0.83940046079440755</v>
      </c>
    </row>
    <row r="6" spans="1:77" x14ac:dyDescent="0.25">
      <c r="A6" s="105" t="s">
        <v>117</v>
      </c>
      <c r="B6" s="104">
        <v>2</v>
      </c>
      <c r="C6" s="103">
        <v>401</v>
      </c>
      <c r="D6" s="122">
        <v>422</v>
      </c>
      <c r="E6" s="102">
        <v>473</v>
      </c>
      <c r="F6" s="102">
        <v>515</v>
      </c>
      <c r="G6" s="102">
        <v>429</v>
      </c>
      <c r="H6" s="102">
        <v>578</v>
      </c>
      <c r="I6" s="102">
        <v>538</v>
      </c>
      <c r="J6" s="102">
        <v>513</v>
      </c>
      <c r="K6" s="102">
        <v>568</v>
      </c>
      <c r="L6" s="102">
        <v>483</v>
      </c>
      <c r="M6" s="102">
        <v>555</v>
      </c>
      <c r="N6" s="102">
        <v>558</v>
      </c>
      <c r="O6" s="102">
        <v>493</v>
      </c>
      <c r="P6" s="102">
        <v>677</v>
      </c>
      <c r="Q6" s="102">
        <v>715</v>
      </c>
      <c r="R6" s="101">
        <v>716</v>
      </c>
      <c r="S6" s="118"/>
      <c r="T6" s="100">
        <f t="shared" si="16"/>
        <v>0.17217689995706312</v>
      </c>
      <c r="U6" s="99">
        <f t="shared" si="17"/>
        <v>0.16954600241060666</v>
      </c>
      <c r="V6" s="99">
        <f t="shared" si="18"/>
        <v>0.18039664378337147</v>
      </c>
      <c r="W6" s="99">
        <f t="shared" si="19"/>
        <v>0.19485433219825957</v>
      </c>
      <c r="X6" s="99">
        <f t="shared" si="20"/>
        <v>0.15476190476190477</v>
      </c>
      <c r="Y6" s="99">
        <f t="shared" si="21"/>
        <v>0.19467834287638935</v>
      </c>
      <c r="Z6" s="99">
        <f t="shared" si="22"/>
        <v>0.17808672624958624</v>
      </c>
      <c r="AA6" s="99">
        <f t="shared" si="23"/>
        <v>0.1688055281342547</v>
      </c>
      <c r="AB6" s="99">
        <f t="shared" si="24"/>
        <v>0.21005917159763313</v>
      </c>
      <c r="AC6" s="99">
        <f t="shared" si="25"/>
        <v>0.17731277533039647</v>
      </c>
      <c r="AD6" s="99">
        <f t="shared" si="26"/>
        <v>0.2030735455543359</v>
      </c>
      <c r="AE6" s="99">
        <f t="shared" si="27"/>
        <v>0.20582810770933235</v>
      </c>
      <c r="AF6" s="99">
        <f t="shared" si="28"/>
        <v>0.16627318718381112</v>
      </c>
      <c r="AG6" s="99">
        <f t="shared" si="29"/>
        <v>0.20540048543689321</v>
      </c>
      <c r="AH6" s="99">
        <f t="shared" si="30"/>
        <v>0.20516499282639886</v>
      </c>
      <c r="AI6" s="98">
        <f t="shared" si="31"/>
        <v>0.2088681446907818</v>
      </c>
      <c r="AJ6" s="121">
        <f t="shared" ref="AJ6:AJ15" si="35">B6</f>
        <v>2</v>
      </c>
      <c r="AK6" s="117">
        <f t="shared" ref="AK6:AZ6" si="36">D6</f>
        <v>422</v>
      </c>
      <c r="AL6" s="117">
        <f t="shared" si="36"/>
        <v>473</v>
      </c>
      <c r="AM6" s="117">
        <f t="shared" si="36"/>
        <v>515</v>
      </c>
      <c r="AN6" s="117">
        <f t="shared" si="36"/>
        <v>429</v>
      </c>
      <c r="AO6" s="117">
        <f t="shared" si="36"/>
        <v>578</v>
      </c>
      <c r="AP6" s="117">
        <f t="shared" si="36"/>
        <v>538</v>
      </c>
      <c r="AQ6" s="117">
        <f t="shared" si="36"/>
        <v>513</v>
      </c>
      <c r="AR6" s="117">
        <f t="shared" si="36"/>
        <v>568</v>
      </c>
      <c r="AS6" s="117">
        <f t="shared" si="36"/>
        <v>483</v>
      </c>
      <c r="AT6" s="117">
        <f t="shared" si="36"/>
        <v>555</v>
      </c>
      <c r="AU6" s="117">
        <f t="shared" si="36"/>
        <v>558</v>
      </c>
      <c r="AV6" s="117">
        <f t="shared" si="36"/>
        <v>493</v>
      </c>
      <c r="AW6" s="117">
        <f t="shared" si="36"/>
        <v>677</v>
      </c>
      <c r="AX6" s="117">
        <f t="shared" si="36"/>
        <v>715</v>
      </c>
      <c r="AY6" s="117">
        <f t="shared" si="36"/>
        <v>716</v>
      </c>
      <c r="AZ6" s="117">
        <f t="shared" si="36"/>
        <v>0</v>
      </c>
      <c r="BA6" s="117"/>
      <c r="BB6" s="117"/>
      <c r="BC6" s="107">
        <f t="shared" si="15"/>
        <v>0.77604166666666663</v>
      </c>
      <c r="BD6" s="107">
        <f t="shared" si="0"/>
        <v>0.80369127516778527</v>
      </c>
      <c r="BE6" s="107">
        <f t="shared" si="1"/>
        <v>0.7795527156549521</v>
      </c>
      <c r="BF6" s="107">
        <f t="shared" si="2"/>
        <v>0.78637200736648249</v>
      </c>
      <c r="BG6" s="107">
        <f t="shared" si="3"/>
        <v>0.75414781297134237</v>
      </c>
      <c r="BH6" s="107">
        <f t="shared" si="4"/>
        <v>0.59302325581395354</v>
      </c>
      <c r="BI6" s="107">
        <f t="shared" si="5"/>
        <v>0.58019525801952576</v>
      </c>
      <c r="BJ6" s="107">
        <f t="shared" si="6"/>
        <v>0.59754601226993864</v>
      </c>
      <c r="BK6" s="107">
        <f t="shared" si="7"/>
        <v>0.66408668730650156</v>
      </c>
      <c r="BL6" s="107">
        <f t="shared" si="8"/>
        <v>0.76163610719322994</v>
      </c>
      <c r="BM6" s="107">
        <f t="shared" si="9"/>
        <v>0.7846153846153846</v>
      </c>
      <c r="BN6" s="107">
        <f t="shared" si="10"/>
        <v>0.89527027027027029</v>
      </c>
      <c r="BO6" s="107">
        <f t="shared" si="11"/>
        <v>0.87948717948717947</v>
      </c>
      <c r="BP6" s="107">
        <f t="shared" si="12"/>
        <v>0</v>
      </c>
      <c r="BQ6" s="107">
        <f t="shared" si="13"/>
        <v>1.7237818301833147E-4</v>
      </c>
      <c r="BR6" s="107">
        <f t="shared" si="14"/>
        <v>2.4310789128215103E-4</v>
      </c>
      <c r="BT6" s="116">
        <f>AVERAGE(BC6:BO6)</f>
        <v>0.74274351021563179</v>
      </c>
      <c r="BU6" s="116">
        <f>_xlfn.STDEV.S(BC6:BO6)</f>
        <v>0.10343780117403815</v>
      </c>
      <c r="BV6" s="87">
        <f>_xlfn.CONFIDENCE.NORM(0.05,BU6,COUNT(BC6:BO6))</f>
        <v>5.6228396007220918E-2</v>
      </c>
      <c r="BW6" s="116">
        <f t="shared" si="33"/>
        <v>0.68651511420841083</v>
      </c>
      <c r="BX6" s="116">
        <f t="shared" si="34"/>
        <v>0.79897190622285275</v>
      </c>
    </row>
    <row r="7" spans="1:77" x14ac:dyDescent="0.25">
      <c r="A7" s="105" t="s">
        <v>117</v>
      </c>
      <c r="B7" s="104">
        <v>3</v>
      </c>
      <c r="C7" s="103">
        <v>385</v>
      </c>
      <c r="D7" s="102">
        <v>435</v>
      </c>
      <c r="E7" s="122">
        <v>470</v>
      </c>
      <c r="F7" s="102">
        <v>483</v>
      </c>
      <c r="G7" s="102">
        <v>489</v>
      </c>
      <c r="H7" s="102">
        <v>458</v>
      </c>
      <c r="I7" s="102">
        <v>552</v>
      </c>
      <c r="J7" s="102">
        <v>498</v>
      </c>
      <c r="K7" s="102">
        <v>448</v>
      </c>
      <c r="L7" s="102">
        <v>525</v>
      </c>
      <c r="M7" s="102">
        <v>442</v>
      </c>
      <c r="N7" s="102">
        <v>558</v>
      </c>
      <c r="O7" s="102">
        <v>594</v>
      </c>
      <c r="P7" s="102">
        <v>540</v>
      </c>
      <c r="Q7" s="102">
        <v>725</v>
      </c>
      <c r="R7" s="101">
        <v>707</v>
      </c>
      <c r="S7" s="118"/>
      <c r="T7" s="100">
        <f t="shared" si="16"/>
        <v>0.16530699871189353</v>
      </c>
      <c r="U7" s="99">
        <f t="shared" si="17"/>
        <v>0.1747689835275211</v>
      </c>
      <c r="V7" s="99">
        <f t="shared" si="18"/>
        <v>0.17925247902364608</v>
      </c>
      <c r="W7" s="99">
        <f t="shared" si="19"/>
        <v>0.18274687854710556</v>
      </c>
      <c r="X7" s="99">
        <f t="shared" si="20"/>
        <v>0.1764069264069264</v>
      </c>
      <c r="Y7" s="99">
        <f t="shared" si="21"/>
        <v>0.15426069383630853</v>
      </c>
      <c r="Z7" s="99">
        <f t="shared" si="22"/>
        <v>0.18272095332671301</v>
      </c>
      <c r="AA7" s="99">
        <f t="shared" si="23"/>
        <v>0.16386969397828233</v>
      </c>
      <c r="AB7" s="99">
        <f t="shared" si="24"/>
        <v>0.16568047337278108</v>
      </c>
      <c r="AC7" s="99">
        <f t="shared" si="25"/>
        <v>0.19273127753303965</v>
      </c>
      <c r="AD7" s="99">
        <f t="shared" si="26"/>
        <v>0.16172703988291254</v>
      </c>
      <c r="AE7" s="99">
        <f t="shared" si="27"/>
        <v>0.20582810770933235</v>
      </c>
      <c r="AF7" s="99">
        <f t="shared" si="28"/>
        <v>0.20033726812816188</v>
      </c>
      <c r="AG7" s="99">
        <f t="shared" si="29"/>
        <v>0.16383495145631069</v>
      </c>
      <c r="AH7" s="99">
        <f t="shared" si="30"/>
        <v>0.20803443328550933</v>
      </c>
      <c r="AI7" s="98">
        <f t="shared" si="31"/>
        <v>0.20624270711785297</v>
      </c>
      <c r="AJ7" s="121">
        <f t="shared" si="35"/>
        <v>3</v>
      </c>
      <c r="AK7" s="117">
        <f t="shared" ref="AK7:AZ7" si="37">E7</f>
        <v>470</v>
      </c>
      <c r="AL7" s="117">
        <f t="shared" si="37"/>
        <v>483</v>
      </c>
      <c r="AM7" s="117">
        <f t="shared" si="37"/>
        <v>489</v>
      </c>
      <c r="AN7" s="117">
        <f t="shared" si="37"/>
        <v>458</v>
      </c>
      <c r="AO7" s="117">
        <f t="shared" si="37"/>
        <v>552</v>
      </c>
      <c r="AP7" s="117">
        <f t="shared" si="37"/>
        <v>498</v>
      </c>
      <c r="AQ7" s="117">
        <f t="shared" si="37"/>
        <v>448</v>
      </c>
      <c r="AR7" s="117">
        <f t="shared" si="37"/>
        <v>525</v>
      </c>
      <c r="AS7" s="117">
        <f t="shared" si="37"/>
        <v>442</v>
      </c>
      <c r="AT7" s="117">
        <f t="shared" si="37"/>
        <v>558</v>
      </c>
      <c r="AU7" s="117">
        <f t="shared" si="37"/>
        <v>594</v>
      </c>
      <c r="AV7" s="117">
        <f t="shared" si="37"/>
        <v>540</v>
      </c>
      <c r="AW7" s="117">
        <f t="shared" si="37"/>
        <v>725</v>
      </c>
      <c r="AX7" s="117">
        <f t="shared" si="37"/>
        <v>707</v>
      </c>
      <c r="AY7" s="117">
        <f t="shared" si="37"/>
        <v>0</v>
      </c>
      <c r="AZ7" s="117">
        <f t="shared" si="37"/>
        <v>0.16530699871189353</v>
      </c>
      <c r="BA7" s="117"/>
      <c r="BB7" s="117"/>
      <c r="BC7" s="106">
        <f t="shared" si="15"/>
        <v>0.63020833333333337</v>
      </c>
      <c r="BD7" s="106">
        <f t="shared" si="0"/>
        <v>0.66778523489932884</v>
      </c>
      <c r="BE7" s="106">
        <f t="shared" si="1"/>
        <v>0.60702875399361023</v>
      </c>
      <c r="BF7" s="106">
        <f t="shared" si="2"/>
        <v>0.59300184162062619</v>
      </c>
      <c r="BG7" s="106">
        <f t="shared" si="3"/>
        <v>0.49019607843137253</v>
      </c>
      <c r="BH7" s="106">
        <f t="shared" si="4"/>
        <v>0.4316860465116279</v>
      </c>
      <c r="BI7" s="106">
        <f t="shared" si="5"/>
        <v>0.4086471408647141</v>
      </c>
      <c r="BJ7" s="106">
        <f t="shared" si="6"/>
        <v>0.42208588957055215</v>
      </c>
      <c r="BK7" s="106">
        <f t="shared" si="7"/>
        <v>0.49226006191950467</v>
      </c>
      <c r="BL7" s="106">
        <f t="shared" si="8"/>
        <v>0.62200282087447112</v>
      </c>
      <c r="BM7" s="106">
        <f t="shared" si="9"/>
        <v>0.55944055944055948</v>
      </c>
      <c r="BN7" s="106">
        <f t="shared" si="10"/>
        <v>0.64527027027027029</v>
      </c>
      <c r="BO7" s="106">
        <f t="shared" si="11"/>
        <v>0</v>
      </c>
      <c r="BP7" s="106">
        <f t="shared" si="12"/>
        <v>1.6010363071369832E-4</v>
      </c>
      <c r="BQ7" s="106">
        <f t="shared" si="13"/>
        <v>1.3572571210511072E-4</v>
      </c>
      <c r="BR7" s="106">
        <f t="shared" si="14"/>
        <v>1.7672608549898703E-4</v>
      </c>
      <c r="BT7" s="116">
        <f>AVERAGE(BC7:BN7)</f>
        <v>0.54746775264416425</v>
      </c>
      <c r="BU7" s="116">
        <f>_xlfn.STDEV.S(BC7:BN7)</f>
        <v>9.3872463976024612E-2</v>
      </c>
      <c r="BV7" s="87">
        <f>_xlfn.CONFIDENCE.NORM(0.05,BU7,COUNT(BC7:BN7))</f>
        <v>5.3112370528924389E-2</v>
      </c>
      <c r="BW7" s="116">
        <f t="shared" ref="BW7" si="38">BT7-BV7</f>
        <v>0.49435538211523988</v>
      </c>
      <c r="BX7" s="116">
        <f t="shared" ref="BX7" si="39">BT7+BV7</f>
        <v>0.60058012317308862</v>
      </c>
    </row>
    <row r="8" spans="1:77" x14ac:dyDescent="0.25">
      <c r="A8" s="105" t="s">
        <v>117</v>
      </c>
      <c r="B8" s="104">
        <v>4</v>
      </c>
      <c r="C8" s="103">
        <v>328</v>
      </c>
      <c r="D8" s="102">
        <v>380</v>
      </c>
      <c r="E8" s="102">
        <v>421</v>
      </c>
      <c r="F8" s="122">
        <v>447</v>
      </c>
      <c r="G8" s="102">
        <v>479</v>
      </c>
      <c r="H8" s="102">
        <v>488</v>
      </c>
      <c r="I8" s="102">
        <v>427</v>
      </c>
      <c r="J8" s="102">
        <v>500</v>
      </c>
      <c r="K8" s="102">
        <v>408</v>
      </c>
      <c r="L8" s="102">
        <v>416</v>
      </c>
      <c r="M8" s="102">
        <v>487</v>
      </c>
      <c r="N8" s="102">
        <v>429</v>
      </c>
      <c r="O8" s="102">
        <v>540</v>
      </c>
      <c r="P8" s="102">
        <v>561</v>
      </c>
      <c r="Q8" s="102">
        <v>530</v>
      </c>
      <c r="R8" s="101">
        <v>686</v>
      </c>
      <c r="S8" s="118"/>
      <c r="T8" s="100">
        <f t="shared" si="16"/>
        <v>0.14083297552597682</v>
      </c>
      <c r="U8" s="99">
        <f t="shared" si="17"/>
        <v>0.15267175572519084</v>
      </c>
      <c r="V8" s="99">
        <f t="shared" si="18"/>
        <v>0.16056445461479787</v>
      </c>
      <c r="W8" s="99">
        <f t="shared" si="19"/>
        <v>0.16912599318955732</v>
      </c>
      <c r="X8" s="99">
        <f t="shared" si="20"/>
        <v>0.17279942279942279</v>
      </c>
      <c r="Y8" s="99">
        <f t="shared" si="21"/>
        <v>0.16436510609632873</v>
      </c>
      <c r="Z8" s="99">
        <f t="shared" si="22"/>
        <v>0.14134392585236677</v>
      </c>
      <c r="AA8" s="99">
        <f t="shared" si="23"/>
        <v>0.16452780519907864</v>
      </c>
      <c r="AB8" s="99">
        <f t="shared" si="24"/>
        <v>0.15088757396449703</v>
      </c>
      <c r="AC8" s="99">
        <f t="shared" si="25"/>
        <v>0.1527165932452276</v>
      </c>
      <c r="AD8" s="99">
        <f t="shared" si="26"/>
        <v>0.17819246249542628</v>
      </c>
      <c r="AE8" s="99">
        <f t="shared" si="27"/>
        <v>0.1582441903356695</v>
      </c>
      <c r="AF8" s="99">
        <f t="shared" si="28"/>
        <v>0.1821247892074199</v>
      </c>
      <c r="AG8" s="99">
        <f t="shared" si="29"/>
        <v>0.17020631067961164</v>
      </c>
      <c r="AH8" s="99">
        <f t="shared" si="30"/>
        <v>0.15208034433285508</v>
      </c>
      <c r="AI8" s="98">
        <f t="shared" si="31"/>
        <v>0.2001166861143524</v>
      </c>
      <c r="AJ8" s="121">
        <f t="shared" si="35"/>
        <v>4</v>
      </c>
      <c r="AK8" s="117">
        <f t="shared" ref="AK8:AZ8" si="40">F8</f>
        <v>447</v>
      </c>
      <c r="AL8" s="117">
        <f t="shared" si="40"/>
        <v>479</v>
      </c>
      <c r="AM8" s="117">
        <f t="shared" si="40"/>
        <v>488</v>
      </c>
      <c r="AN8" s="117">
        <f t="shared" si="40"/>
        <v>427</v>
      </c>
      <c r="AO8" s="117">
        <f t="shared" si="40"/>
        <v>500</v>
      </c>
      <c r="AP8" s="117">
        <f t="shared" si="40"/>
        <v>408</v>
      </c>
      <c r="AQ8" s="117">
        <f t="shared" si="40"/>
        <v>416</v>
      </c>
      <c r="AR8" s="117">
        <f t="shared" si="40"/>
        <v>487</v>
      </c>
      <c r="AS8" s="117">
        <f t="shared" si="40"/>
        <v>429</v>
      </c>
      <c r="AT8" s="117">
        <f t="shared" si="40"/>
        <v>540</v>
      </c>
      <c r="AU8" s="117">
        <f t="shared" si="40"/>
        <v>561</v>
      </c>
      <c r="AV8" s="117">
        <f t="shared" si="40"/>
        <v>530</v>
      </c>
      <c r="AW8" s="117">
        <f t="shared" si="40"/>
        <v>686</v>
      </c>
      <c r="AX8" s="117">
        <f t="shared" si="40"/>
        <v>0</v>
      </c>
      <c r="AY8" s="117">
        <f t="shared" si="40"/>
        <v>0.14083297552597682</v>
      </c>
      <c r="AZ8" s="117">
        <f t="shared" si="40"/>
        <v>0.15267175572519084</v>
      </c>
      <c r="BA8" s="117"/>
      <c r="BB8" s="117"/>
      <c r="BC8" s="106">
        <f t="shared" si="15"/>
        <v>0.328125</v>
      </c>
      <c r="BD8" s="106">
        <f t="shared" si="0"/>
        <v>0.35402684563758391</v>
      </c>
      <c r="BE8" s="106">
        <f t="shared" si="1"/>
        <v>0.30351437699680511</v>
      </c>
      <c r="BF8" s="106">
        <f t="shared" si="2"/>
        <v>0.2559852670349908</v>
      </c>
      <c r="BG8" s="106">
        <f t="shared" si="3"/>
        <v>0.21568627450980393</v>
      </c>
      <c r="BH8" s="106">
        <f t="shared" si="4"/>
        <v>0.16569767441860464</v>
      </c>
      <c r="BI8" s="106">
        <f t="shared" si="5"/>
        <v>0.16317991631799164</v>
      </c>
      <c r="BJ8" s="106">
        <f t="shared" si="6"/>
        <v>0.16932515337423312</v>
      </c>
      <c r="BK8" s="106">
        <f t="shared" si="7"/>
        <v>0.19504643962848298</v>
      </c>
      <c r="BL8" s="106">
        <f t="shared" si="8"/>
        <v>0.2454160789844852</v>
      </c>
      <c r="BM8" s="106">
        <f t="shared" si="9"/>
        <v>0.23076923076923078</v>
      </c>
      <c r="BN8" s="106">
        <f t="shared" si="10"/>
        <v>0</v>
      </c>
      <c r="BO8" s="106">
        <f t="shared" si="11"/>
        <v>8.9727075557904243E-5</v>
      </c>
      <c r="BP8" s="106">
        <f t="shared" si="12"/>
        <v>9.4848325367695335E-5</v>
      </c>
      <c r="BQ8" s="106">
        <f t="shared" si="13"/>
        <v>6.8621876654277389E-5</v>
      </c>
      <c r="BR8" s="106">
        <f t="shared" si="14"/>
        <v>9.0974597000609714E-5</v>
      </c>
      <c r="BT8" s="116">
        <f>AVERAGE(BC8:BM8)</f>
        <v>0.23879747797020112</v>
      </c>
      <c r="BU8" s="116">
        <f>_xlfn.STDEV.S(BC8:BM8)</f>
        <v>6.6472137761405065E-2</v>
      </c>
      <c r="BV8" s="87">
        <f>_xlfn.CONFIDENCE.NORM(0.05,BU8,COUNT(BC8:BM8))</f>
        <v>3.9281801295882518E-2</v>
      </c>
      <c r="BW8" s="116">
        <f t="shared" si="33"/>
        <v>0.1995156766743186</v>
      </c>
      <c r="BX8" s="116">
        <f t="shared" si="34"/>
        <v>0.27807927926608367</v>
      </c>
    </row>
    <row r="9" spans="1:77" x14ac:dyDescent="0.25">
      <c r="A9" s="105" t="s">
        <v>117</v>
      </c>
      <c r="B9" s="104">
        <v>5</v>
      </c>
      <c r="C9" s="103">
        <v>308</v>
      </c>
      <c r="D9" s="102">
        <v>276</v>
      </c>
      <c r="E9" s="102">
        <v>291</v>
      </c>
      <c r="F9" s="102">
        <v>338</v>
      </c>
      <c r="G9" s="119">
        <v>363</v>
      </c>
      <c r="H9" s="102">
        <v>398</v>
      </c>
      <c r="I9" s="102">
        <v>380</v>
      </c>
      <c r="J9" s="102">
        <v>322</v>
      </c>
      <c r="K9" s="102">
        <v>325</v>
      </c>
      <c r="L9" s="102">
        <v>297</v>
      </c>
      <c r="M9" s="102">
        <v>293</v>
      </c>
      <c r="N9" s="102">
        <v>344</v>
      </c>
      <c r="O9" s="102">
        <v>318</v>
      </c>
      <c r="P9" s="102">
        <v>441</v>
      </c>
      <c r="Q9" s="102">
        <v>400</v>
      </c>
      <c r="R9" s="101">
        <v>382</v>
      </c>
      <c r="S9" s="118"/>
      <c r="T9" s="100">
        <f t="shared" si="16"/>
        <v>0.13224559896951482</v>
      </c>
      <c r="U9" s="99">
        <f t="shared" si="17"/>
        <v>0.11088790678987545</v>
      </c>
      <c r="V9" s="99">
        <f t="shared" si="18"/>
        <v>0.11098398169336385</v>
      </c>
      <c r="W9" s="99">
        <f t="shared" si="19"/>
        <v>0.12788497919031402</v>
      </c>
      <c r="X9" s="99">
        <f t="shared" si="20"/>
        <v>0.13095238095238096</v>
      </c>
      <c r="Y9" s="99">
        <f t="shared" si="21"/>
        <v>0.13405186931626811</v>
      </c>
      <c r="Z9" s="99">
        <f t="shared" si="22"/>
        <v>0.12578616352201258</v>
      </c>
      <c r="AA9" s="99">
        <f t="shared" si="23"/>
        <v>0.10595590654820665</v>
      </c>
      <c r="AB9" s="99">
        <f t="shared" si="24"/>
        <v>0.1201923076923077</v>
      </c>
      <c r="AC9" s="99">
        <f t="shared" si="25"/>
        <v>0.10903083700440529</v>
      </c>
      <c r="AD9" s="99">
        <f t="shared" si="26"/>
        <v>0.10720819612147824</v>
      </c>
      <c r="AE9" s="99">
        <f t="shared" si="27"/>
        <v>0.12689044632976762</v>
      </c>
      <c r="AF9" s="99">
        <f t="shared" si="28"/>
        <v>0.10725126475548061</v>
      </c>
      <c r="AG9" s="99">
        <f t="shared" si="29"/>
        <v>0.1337985436893204</v>
      </c>
      <c r="AH9" s="99">
        <f t="shared" si="30"/>
        <v>0.11477761836441894</v>
      </c>
      <c r="AI9" s="98">
        <f t="shared" si="31"/>
        <v>0.11143523920653442</v>
      </c>
      <c r="AJ9" s="121">
        <f t="shared" si="35"/>
        <v>5</v>
      </c>
      <c r="AK9" s="117">
        <f t="shared" ref="AK9:AZ9" si="41">G9</f>
        <v>363</v>
      </c>
      <c r="AL9" s="117">
        <f t="shared" si="41"/>
        <v>398</v>
      </c>
      <c r="AM9" s="117">
        <f t="shared" si="41"/>
        <v>380</v>
      </c>
      <c r="AN9" s="117">
        <f t="shared" si="41"/>
        <v>322</v>
      </c>
      <c r="AO9" s="117">
        <f t="shared" si="41"/>
        <v>325</v>
      </c>
      <c r="AP9" s="117">
        <f t="shared" si="41"/>
        <v>297</v>
      </c>
      <c r="AQ9" s="117">
        <f t="shared" si="41"/>
        <v>293</v>
      </c>
      <c r="AR9" s="117">
        <f t="shared" si="41"/>
        <v>344</v>
      </c>
      <c r="AS9" s="117">
        <f t="shared" si="41"/>
        <v>318</v>
      </c>
      <c r="AT9" s="117">
        <f t="shared" si="41"/>
        <v>441</v>
      </c>
      <c r="AU9" s="117">
        <f t="shared" si="41"/>
        <v>400</v>
      </c>
      <c r="AV9" s="117">
        <f t="shared" si="41"/>
        <v>382</v>
      </c>
      <c r="AW9" s="117">
        <f t="shared" si="41"/>
        <v>0</v>
      </c>
      <c r="AX9" s="117">
        <f t="shared" si="41"/>
        <v>0.13224559896951482</v>
      </c>
      <c r="AY9" s="117">
        <f t="shared" si="41"/>
        <v>0.11088790678987545</v>
      </c>
      <c r="AZ9" s="117">
        <f t="shared" si="41"/>
        <v>0.11098398169336385</v>
      </c>
      <c r="BA9" s="117"/>
      <c r="BB9" s="117"/>
      <c r="BC9" s="106">
        <f t="shared" si="15"/>
        <v>0.16145833333333334</v>
      </c>
      <c r="BD9" s="106">
        <f t="shared" si="0"/>
        <v>0.15771812080536912</v>
      </c>
      <c r="BE9" s="106">
        <f t="shared" si="1"/>
        <v>0.10862619808306709</v>
      </c>
      <c r="BF9" s="106">
        <f t="shared" si="2"/>
        <v>0.10313075506445672</v>
      </c>
      <c r="BG9" s="106">
        <f t="shared" si="3"/>
        <v>7.0889894419306182E-2</v>
      </c>
      <c r="BH9" s="106">
        <f t="shared" si="4"/>
        <v>6.3953488372093026E-2</v>
      </c>
      <c r="BI9" s="106">
        <f t="shared" si="5"/>
        <v>6.4156206415620642E-2</v>
      </c>
      <c r="BJ9" s="106">
        <f t="shared" si="6"/>
        <v>7.4846625766871164E-2</v>
      </c>
      <c r="BK9" s="106">
        <f t="shared" si="7"/>
        <v>8.6687306501547989E-2</v>
      </c>
      <c r="BL9" s="106">
        <f t="shared" si="8"/>
        <v>9.4499294781382234E-2</v>
      </c>
      <c r="BM9" s="106">
        <f t="shared" si="9"/>
        <v>0</v>
      </c>
      <c r="BN9" s="106">
        <f t="shared" si="10"/>
        <v>3.8440114653081589E-5</v>
      </c>
      <c r="BO9" s="106">
        <f t="shared" si="11"/>
        <v>4.1206951612737067E-5</v>
      </c>
      <c r="BP9" s="106">
        <f t="shared" si="12"/>
        <v>3.9708704332681371E-5</v>
      </c>
      <c r="BQ9" s="106">
        <f t="shared" si="13"/>
        <v>3.0565022222160475E-5</v>
      </c>
      <c r="BR9" s="106">
        <f t="shared" si="14"/>
        <v>4.4806573468993854E-5</v>
      </c>
      <c r="BT9" s="116">
        <f>AVERAGE(BC9:BL9)</f>
        <v>9.8596622354304733E-2</v>
      </c>
      <c r="BU9" s="116">
        <f>_xlfn.STDEV.S(BC9:BL9)</f>
        <v>3.5660016553353734E-2</v>
      </c>
      <c r="BV9" s="87">
        <f>_xlfn.CONFIDENCE.NORM(0.05,BU9,COUNT(BC9:BL9))</f>
        <v>2.2101901111667072E-2</v>
      </c>
      <c r="BW9" s="116">
        <f t="shared" ref="BW9" si="42">BT9-BV9</f>
        <v>7.6494721242637662E-2</v>
      </c>
      <c r="BX9" s="116">
        <f t="shared" ref="BX9" si="43">BT9+BV9</f>
        <v>0.1206985234659718</v>
      </c>
    </row>
    <row r="10" spans="1:77" x14ac:dyDescent="0.25">
      <c r="A10" s="105" t="s">
        <v>117</v>
      </c>
      <c r="B10" s="104">
        <v>6</v>
      </c>
      <c r="C10" s="103">
        <v>163</v>
      </c>
      <c r="D10" s="102">
        <v>195</v>
      </c>
      <c r="E10" s="102">
        <v>147</v>
      </c>
      <c r="F10" s="102">
        <v>151</v>
      </c>
      <c r="G10" s="102">
        <v>184</v>
      </c>
      <c r="H10" s="119">
        <v>189</v>
      </c>
      <c r="I10" s="102">
        <v>211</v>
      </c>
      <c r="J10" s="102">
        <v>190</v>
      </c>
      <c r="K10" s="102">
        <v>139</v>
      </c>
      <c r="L10" s="102">
        <v>143</v>
      </c>
      <c r="M10" s="102">
        <v>114</v>
      </c>
      <c r="N10" s="102">
        <v>117</v>
      </c>
      <c r="O10" s="102">
        <v>138</v>
      </c>
      <c r="P10" s="102">
        <v>126</v>
      </c>
      <c r="Q10" s="102">
        <v>174</v>
      </c>
      <c r="R10" s="101">
        <v>165</v>
      </c>
      <c r="S10" s="118"/>
      <c r="T10" s="100">
        <f t="shared" si="16"/>
        <v>6.9987118935165307E-2</v>
      </c>
      <c r="U10" s="99">
        <f t="shared" si="17"/>
        <v>7.8344716753716348E-2</v>
      </c>
      <c r="V10" s="99">
        <f t="shared" si="18"/>
        <v>5.6064073226544622E-2</v>
      </c>
      <c r="W10" s="99">
        <f t="shared" si="19"/>
        <v>5.7132046916382899E-2</v>
      </c>
      <c r="X10" s="99">
        <f t="shared" si="20"/>
        <v>6.6378066378066383E-2</v>
      </c>
      <c r="Y10" s="99">
        <f t="shared" si="21"/>
        <v>6.3657797238127312E-2</v>
      </c>
      <c r="Z10" s="99">
        <f t="shared" si="22"/>
        <v>6.9844422376696455E-2</v>
      </c>
      <c r="AA10" s="99">
        <f t="shared" si="23"/>
        <v>6.252056597564988E-2</v>
      </c>
      <c r="AB10" s="99">
        <f t="shared" si="24"/>
        <v>5.1405325443786981E-2</v>
      </c>
      <c r="AC10" s="99">
        <f t="shared" si="25"/>
        <v>5.2496328928046988E-2</v>
      </c>
      <c r="AD10" s="99">
        <f t="shared" si="26"/>
        <v>4.1712403951701428E-2</v>
      </c>
      <c r="AE10" s="99">
        <f t="shared" si="27"/>
        <v>4.3157506455182591E-2</v>
      </c>
      <c r="AF10" s="99">
        <f t="shared" si="28"/>
        <v>4.6543001686340638E-2</v>
      </c>
      <c r="AG10" s="99">
        <f t="shared" si="29"/>
        <v>3.8228155339805822E-2</v>
      </c>
      <c r="AH10" s="99">
        <f t="shared" si="30"/>
        <v>4.9928263988522237E-2</v>
      </c>
      <c r="AI10" s="98">
        <f t="shared" si="31"/>
        <v>4.8133022170361729E-2</v>
      </c>
      <c r="AJ10" s="121">
        <f t="shared" si="35"/>
        <v>6</v>
      </c>
      <c r="AK10" s="117">
        <f t="shared" ref="AK10:AZ10" si="44">H10</f>
        <v>189</v>
      </c>
      <c r="AL10" s="117">
        <f t="shared" si="44"/>
        <v>211</v>
      </c>
      <c r="AM10" s="117">
        <f t="shared" si="44"/>
        <v>190</v>
      </c>
      <c r="AN10" s="117">
        <f t="shared" si="44"/>
        <v>139</v>
      </c>
      <c r="AO10" s="117">
        <f t="shared" si="44"/>
        <v>143</v>
      </c>
      <c r="AP10" s="117">
        <f t="shared" si="44"/>
        <v>114</v>
      </c>
      <c r="AQ10" s="117">
        <f t="shared" si="44"/>
        <v>117</v>
      </c>
      <c r="AR10" s="117">
        <f t="shared" si="44"/>
        <v>138</v>
      </c>
      <c r="AS10" s="117">
        <f t="shared" si="44"/>
        <v>126</v>
      </c>
      <c r="AT10" s="117">
        <f t="shared" si="44"/>
        <v>174</v>
      </c>
      <c r="AU10" s="117">
        <f t="shared" si="44"/>
        <v>165</v>
      </c>
      <c r="AV10" s="117">
        <f t="shared" si="44"/>
        <v>0</v>
      </c>
      <c r="AW10" s="117">
        <f t="shared" si="44"/>
        <v>6.9987118935165307E-2</v>
      </c>
      <c r="AX10" s="117">
        <f t="shared" si="44"/>
        <v>7.8344716753716348E-2</v>
      </c>
      <c r="AY10" s="117">
        <f t="shared" si="44"/>
        <v>5.6064073226544622E-2</v>
      </c>
      <c r="AZ10" s="117">
        <f t="shared" si="44"/>
        <v>5.7132046916382899E-2</v>
      </c>
      <c r="BA10" s="117"/>
      <c r="BB10" s="117"/>
      <c r="BC10" s="106">
        <f t="shared" si="15"/>
        <v>8.3333333333333329E-2</v>
      </c>
      <c r="BD10" s="106">
        <f t="shared" si="0"/>
        <v>5.8724832214765099E-2</v>
      </c>
      <c r="BE10" s="106">
        <f t="shared" si="1"/>
        <v>4.9520766773162937E-2</v>
      </c>
      <c r="BF10" s="106">
        <f t="shared" si="2"/>
        <v>4.0515653775322284E-2</v>
      </c>
      <c r="BG10" s="106">
        <f t="shared" si="3"/>
        <v>3.7707390648567117E-2</v>
      </c>
      <c r="BH10" s="106">
        <f t="shared" si="4"/>
        <v>2.616279069767442E-2</v>
      </c>
      <c r="BI10" s="106">
        <f t="shared" si="5"/>
        <v>3.626220362622036E-2</v>
      </c>
      <c r="BJ10" s="106">
        <f t="shared" si="6"/>
        <v>3.6809815950920248E-2</v>
      </c>
      <c r="BK10" s="106">
        <f t="shared" si="7"/>
        <v>3.7151702786377708E-2</v>
      </c>
      <c r="BL10" s="106">
        <f t="shared" si="8"/>
        <v>0</v>
      </c>
      <c r="BM10" s="106">
        <f t="shared" si="9"/>
        <v>1.8015475293276924E-5</v>
      </c>
      <c r="BN10" s="106">
        <f t="shared" si="10"/>
        <v>2.3753162563929939E-5</v>
      </c>
      <c r="BO10" s="106">
        <f t="shared" si="11"/>
        <v>1.809149406403411E-5</v>
      </c>
      <c r="BP10" s="106">
        <f t="shared" si="12"/>
        <v>1.8780478196780937E-5</v>
      </c>
      <c r="BQ10" s="106">
        <f t="shared" si="13"/>
        <v>1.280509236445589E-5</v>
      </c>
      <c r="BR10" s="106">
        <f t="shared" si="14"/>
        <v>1.9844121742077907E-5</v>
      </c>
      <c r="BT10" s="116">
        <f>AVERAGE(BC10:BK10)</f>
        <v>4.5132054422927052E-2</v>
      </c>
      <c r="BU10" s="116">
        <f>_xlfn.STDEV.S(BC10:BK10)</f>
        <v>1.6997248992651353E-2</v>
      </c>
      <c r="BV10" s="87">
        <f>_xlfn.CONFIDENCE.NORM(0.05,BU10,COUNT(BC10:BK10))</f>
        <v>1.1104665287285452E-2</v>
      </c>
      <c r="BW10" s="116">
        <f t="shared" si="33"/>
        <v>3.40273891356416E-2</v>
      </c>
      <c r="BX10" s="116">
        <f t="shared" si="34"/>
        <v>5.6236719710212504E-2</v>
      </c>
    </row>
    <row r="11" spans="1:77" x14ac:dyDescent="0.25">
      <c r="A11" s="105" t="s">
        <v>117</v>
      </c>
      <c r="B11" s="104">
        <v>7</v>
      </c>
      <c r="C11" s="103">
        <v>53</v>
      </c>
      <c r="D11" s="102">
        <v>80</v>
      </c>
      <c r="E11" s="102">
        <v>86</v>
      </c>
      <c r="F11" s="102">
        <v>66</v>
      </c>
      <c r="G11" s="102">
        <v>78</v>
      </c>
      <c r="H11" s="102">
        <v>83</v>
      </c>
      <c r="I11" s="119">
        <v>93</v>
      </c>
      <c r="J11" s="102">
        <v>94</v>
      </c>
      <c r="K11" s="102">
        <v>68</v>
      </c>
      <c r="L11" s="102">
        <v>56</v>
      </c>
      <c r="M11" s="102">
        <v>47</v>
      </c>
      <c r="N11" s="102">
        <v>44</v>
      </c>
      <c r="O11" s="102">
        <v>46</v>
      </c>
      <c r="P11" s="102">
        <v>61</v>
      </c>
      <c r="Q11" s="102">
        <v>56</v>
      </c>
      <c r="R11" s="101">
        <v>67</v>
      </c>
      <c r="S11" s="118"/>
      <c r="T11" s="100">
        <f t="shared" si="16"/>
        <v>2.2756547874624302E-2</v>
      </c>
      <c r="U11" s="99">
        <f t="shared" si="17"/>
        <v>3.2141422257934912E-2</v>
      </c>
      <c r="V11" s="99">
        <f t="shared" si="18"/>
        <v>3.2799389778794812E-2</v>
      </c>
      <c r="W11" s="99">
        <f t="shared" si="19"/>
        <v>2.4971623155505107E-2</v>
      </c>
      <c r="X11" s="99">
        <f t="shared" si="20"/>
        <v>2.813852813852814E-2</v>
      </c>
      <c r="Y11" s="99">
        <f t="shared" si="21"/>
        <v>2.795554058605591E-2</v>
      </c>
      <c r="Z11" s="99">
        <f t="shared" si="22"/>
        <v>3.0784508440913606E-2</v>
      </c>
      <c r="AA11" s="99">
        <f t="shared" si="23"/>
        <v>3.0931227377426786E-2</v>
      </c>
      <c r="AB11" s="99">
        <f t="shared" si="24"/>
        <v>2.514792899408284E-2</v>
      </c>
      <c r="AC11" s="99">
        <f t="shared" si="25"/>
        <v>2.0558002936857563E-2</v>
      </c>
      <c r="AD11" s="99">
        <f t="shared" si="26"/>
        <v>1.7197219173069888E-2</v>
      </c>
      <c r="AE11" s="99">
        <f t="shared" si="27"/>
        <v>1.6230173367760975E-2</v>
      </c>
      <c r="AF11" s="99">
        <f t="shared" si="28"/>
        <v>1.551433389544688E-2</v>
      </c>
      <c r="AG11" s="99">
        <f t="shared" si="29"/>
        <v>1.8507281553398057E-2</v>
      </c>
      <c r="AH11" s="99">
        <f t="shared" si="30"/>
        <v>1.606886657101865E-2</v>
      </c>
      <c r="AI11" s="98">
        <f t="shared" si="31"/>
        <v>1.9544924154025672E-2</v>
      </c>
      <c r="AJ11" s="121">
        <f t="shared" si="35"/>
        <v>7</v>
      </c>
      <c r="AK11" s="117">
        <f t="shared" ref="AK11:AZ11" si="45">I11</f>
        <v>93</v>
      </c>
      <c r="AL11" s="117">
        <f t="shared" si="45"/>
        <v>94</v>
      </c>
      <c r="AM11" s="117">
        <f t="shared" si="45"/>
        <v>68</v>
      </c>
      <c r="AN11" s="117">
        <f t="shared" si="45"/>
        <v>56</v>
      </c>
      <c r="AO11" s="117">
        <f t="shared" si="45"/>
        <v>47</v>
      </c>
      <c r="AP11" s="117">
        <f t="shared" si="45"/>
        <v>44</v>
      </c>
      <c r="AQ11" s="117">
        <f t="shared" si="45"/>
        <v>46</v>
      </c>
      <c r="AR11" s="117">
        <f t="shared" si="45"/>
        <v>61</v>
      </c>
      <c r="AS11" s="117">
        <f t="shared" si="45"/>
        <v>56</v>
      </c>
      <c r="AT11" s="117">
        <f t="shared" si="45"/>
        <v>67</v>
      </c>
      <c r="AU11" s="117">
        <f t="shared" si="45"/>
        <v>0</v>
      </c>
      <c r="AV11" s="117">
        <f t="shared" si="45"/>
        <v>2.2756547874624302E-2</v>
      </c>
      <c r="AW11" s="117">
        <f t="shared" si="45"/>
        <v>3.2141422257934912E-2</v>
      </c>
      <c r="AX11" s="117">
        <f t="shared" si="45"/>
        <v>3.2799389778794812E-2</v>
      </c>
      <c r="AY11" s="117">
        <f t="shared" si="45"/>
        <v>2.4971623155505107E-2</v>
      </c>
      <c r="AZ11" s="117">
        <f t="shared" si="45"/>
        <v>2.813852813852814E-2</v>
      </c>
      <c r="BA11" s="117"/>
      <c r="BB11" s="117"/>
      <c r="BC11" s="106">
        <f t="shared" si="15"/>
        <v>4.5138888888888888E-2</v>
      </c>
      <c r="BD11" s="106">
        <f t="shared" si="0"/>
        <v>2.5167785234899327E-2</v>
      </c>
      <c r="BE11" s="106">
        <f t="shared" si="1"/>
        <v>3.035143769968051E-2</v>
      </c>
      <c r="BF11" s="106">
        <f t="shared" si="2"/>
        <v>1.841620626151013E-2</v>
      </c>
      <c r="BG11" s="106">
        <f t="shared" si="3"/>
        <v>1.2066365007541479E-2</v>
      </c>
      <c r="BH11" s="106">
        <f t="shared" si="4"/>
        <v>1.1627906976744186E-2</v>
      </c>
      <c r="BI11" s="106">
        <f t="shared" si="5"/>
        <v>1.9525801952580194E-2</v>
      </c>
      <c r="BJ11" s="106">
        <f t="shared" si="6"/>
        <v>2.2085889570552148E-2</v>
      </c>
      <c r="BK11" s="106">
        <f t="shared" si="7"/>
        <v>0</v>
      </c>
      <c r="BL11" s="106">
        <f t="shared" si="8"/>
        <v>1.150635786832003E-5</v>
      </c>
      <c r="BM11" s="106">
        <f t="shared" si="9"/>
        <v>1.236208548382112E-5</v>
      </c>
      <c r="BN11" s="106">
        <f t="shared" si="10"/>
        <v>1.3528975199455749E-5</v>
      </c>
      <c r="BO11" s="106">
        <f t="shared" si="11"/>
        <v>1.1641782356878838E-5</v>
      </c>
      <c r="BP11" s="106">
        <f t="shared" si="12"/>
        <v>9.1716193411108666E-6</v>
      </c>
      <c r="BQ11" s="106">
        <f t="shared" si="13"/>
        <v>4.5348239437055203E-6</v>
      </c>
      <c r="BR11" s="106">
        <f t="shared" si="14"/>
        <v>1.4231589067609537E-5</v>
      </c>
      <c r="BT11" s="116">
        <f>AVERAGE(BC11:BJ11)</f>
        <v>2.3047535199049611E-2</v>
      </c>
      <c r="BU11" s="116">
        <f>_xlfn.STDEV.S(BC11:BJ11)</f>
        <v>1.0899809581660097E-2</v>
      </c>
      <c r="BV11" s="87">
        <f>_xlfn.CONFIDENCE.NORM(0.05,BU11,COUNT(BC11:BJ11))</f>
        <v>7.5530438919529921E-3</v>
      </c>
      <c r="BW11" s="116">
        <f t="shared" si="33"/>
        <v>1.5494491307096618E-2</v>
      </c>
      <c r="BX11" s="116">
        <f t="shared" si="34"/>
        <v>3.0600579091002604E-2</v>
      </c>
    </row>
    <row r="12" spans="1:77" x14ac:dyDescent="0.25">
      <c r="A12" s="105" t="s">
        <v>117</v>
      </c>
      <c r="B12" s="104">
        <v>8</v>
      </c>
      <c r="C12" s="103">
        <v>30</v>
      </c>
      <c r="D12" s="102">
        <v>35</v>
      </c>
      <c r="E12" s="102">
        <v>37</v>
      </c>
      <c r="F12" s="102">
        <v>41</v>
      </c>
      <c r="G12" s="102">
        <v>29</v>
      </c>
      <c r="H12" s="102">
        <v>37</v>
      </c>
      <c r="I12" s="102">
        <v>33</v>
      </c>
      <c r="J12" s="119">
        <v>48</v>
      </c>
      <c r="K12" s="102">
        <v>35</v>
      </c>
      <c r="L12" s="102">
        <v>31</v>
      </c>
      <c r="M12" s="102">
        <v>22</v>
      </c>
      <c r="N12" s="102">
        <v>25</v>
      </c>
      <c r="O12" s="102">
        <v>18</v>
      </c>
      <c r="P12" s="102">
        <v>26</v>
      </c>
      <c r="Q12" s="102">
        <v>30</v>
      </c>
      <c r="R12" s="101">
        <v>24</v>
      </c>
      <c r="S12" s="118"/>
      <c r="T12" s="100">
        <f t="shared" si="16"/>
        <v>1.2881064834693002E-2</v>
      </c>
      <c r="U12" s="99">
        <f t="shared" si="17"/>
        <v>1.4061872237846525E-2</v>
      </c>
      <c r="V12" s="99">
        <f t="shared" si="18"/>
        <v>1.4111365369946605E-2</v>
      </c>
      <c r="W12" s="99">
        <f t="shared" si="19"/>
        <v>1.5512674990541053E-2</v>
      </c>
      <c r="X12" s="99">
        <f t="shared" si="20"/>
        <v>1.0461760461760462E-2</v>
      </c>
      <c r="Y12" s="99">
        <f t="shared" si="21"/>
        <v>1.2462108454024925E-2</v>
      </c>
      <c r="Z12" s="99">
        <f t="shared" si="22"/>
        <v>1.0923535253227408E-2</v>
      </c>
      <c r="AA12" s="99">
        <f t="shared" si="23"/>
        <v>1.5794669299111549E-2</v>
      </c>
      <c r="AB12" s="99">
        <f t="shared" si="24"/>
        <v>1.2943786982248521E-2</v>
      </c>
      <c r="AC12" s="99">
        <f t="shared" si="25"/>
        <v>1.1380323054331865E-2</v>
      </c>
      <c r="AD12" s="99">
        <f t="shared" si="26"/>
        <v>8.0497621661178194E-3</v>
      </c>
      <c r="AE12" s="99">
        <f t="shared" si="27"/>
        <v>9.2216894135005532E-3</v>
      </c>
      <c r="AF12" s="99">
        <f t="shared" si="28"/>
        <v>6.0708263069139965E-3</v>
      </c>
      <c r="AG12" s="99">
        <f t="shared" si="29"/>
        <v>7.8883495145631068E-3</v>
      </c>
      <c r="AH12" s="99">
        <f t="shared" si="30"/>
        <v>8.60832137733142E-3</v>
      </c>
      <c r="AI12" s="98">
        <f t="shared" si="31"/>
        <v>7.0011668611435242E-3</v>
      </c>
      <c r="AJ12" s="121">
        <f t="shared" si="35"/>
        <v>8</v>
      </c>
      <c r="AK12" s="117">
        <f t="shared" ref="AK12:AZ12" si="46">J12</f>
        <v>48</v>
      </c>
      <c r="AL12" s="117">
        <f t="shared" si="46"/>
        <v>35</v>
      </c>
      <c r="AM12" s="117">
        <f t="shared" si="46"/>
        <v>31</v>
      </c>
      <c r="AN12" s="117">
        <f t="shared" si="46"/>
        <v>22</v>
      </c>
      <c r="AO12" s="117">
        <f t="shared" si="46"/>
        <v>25</v>
      </c>
      <c r="AP12" s="117">
        <f t="shared" si="46"/>
        <v>18</v>
      </c>
      <c r="AQ12" s="117">
        <f t="shared" si="46"/>
        <v>26</v>
      </c>
      <c r="AR12" s="117">
        <f t="shared" si="46"/>
        <v>30</v>
      </c>
      <c r="AS12" s="117">
        <f t="shared" si="46"/>
        <v>24</v>
      </c>
      <c r="AT12" s="117">
        <f t="shared" si="46"/>
        <v>0</v>
      </c>
      <c r="AU12" s="117">
        <f t="shared" si="46"/>
        <v>1.2881064834693002E-2</v>
      </c>
      <c r="AV12" s="117">
        <f t="shared" si="46"/>
        <v>1.4061872237846525E-2</v>
      </c>
      <c r="AW12" s="117">
        <f t="shared" si="46"/>
        <v>1.4111365369946605E-2</v>
      </c>
      <c r="AX12" s="117">
        <f t="shared" si="46"/>
        <v>1.5512674990541053E-2</v>
      </c>
      <c r="AY12" s="117">
        <f t="shared" si="46"/>
        <v>1.0461760461760462E-2</v>
      </c>
      <c r="AZ12" s="117">
        <f t="shared" si="46"/>
        <v>1.2462108454024925E-2</v>
      </c>
      <c r="BA12" s="117"/>
      <c r="BB12" s="117"/>
      <c r="BC12" s="106">
        <f t="shared" si="15"/>
        <v>3.4722222222222224E-2</v>
      </c>
      <c r="BD12" s="106">
        <f t="shared" si="0"/>
        <v>1.0067114093959731E-2</v>
      </c>
      <c r="BE12" s="106">
        <f t="shared" si="1"/>
        <v>2.2364217252396165E-2</v>
      </c>
      <c r="BF12" s="106">
        <f t="shared" si="2"/>
        <v>1.4732965009208104E-2</v>
      </c>
      <c r="BG12" s="106">
        <f t="shared" si="3"/>
        <v>1.0558069381598794E-2</v>
      </c>
      <c r="BH12" s="106">
        <f t="shared" si="4"/>
        <v>7.2674418604651162E-3</v>
      </c>
      <c r="BI12" s="106">
        <f t="shared" si="5"/>
        <v>1.2552301255230125E-2</v>
      </c>
      <c r="BJ12" s="106">
        <f t="shared" si="6"/>
        <v>0</v>
      </c>
      <c r="BK12" s="106">
        <f t="shared" si="7"/>
        <v>1.1299179679555265E-5</v>
      </c>
      <c r="BL12" s="106">
        <f t="shared" si="8"/>
        <v>4.5333458755902557E-6</v>
      </c>
      <c r="BM12" s="106">
        <f t="shared" si="9"/>
        <v>8.0011521659118917E-6</v>
      </c>
      <c r="BN12" s="106">
        <f t="shared" si="10"/>
        <v>5.7520630732889532E-6</v>
      </c>
      <c r="BO12" s="106">
        <f t="shared" si="11"/>
        <v>5.0875050875050869E-6</v>
      </c>
      <c r="BP12" s="106">
        <f t="shared" si="12"/>
        <v>5.7087074915368413E-6</v>
      </c>
      <c r="BQ12" s="106">
        <f t="shared" si="13"/>
        <v>4.4567667291829491E-6</v>
      </c>
      <c r="BR12" s="106">
        <f t="shared" si="14"/>
        <v>7.8596085286184057E-6</v>
      </c>
      <c r="BT12" s="116">
        <f>AVERAGE(BC12:BI12)</f>
        <v>1.6037761582154326E-2</v>
      </c>
      <c r="BU12" s="116">
        <f>_xlfn.STDEV.S(BC12:BI12)</f>
        <v>9.5357066213161909E-3</v>
      </c>
      <c r="BV12" s="87">
        <f>_xlfn.CONFIDENCE.NORM(0.05,BU12,COUNT(BC12:BI12))</f>
        <v>7.0640205172569914E-3</v>
      </c>
      <c r="BW12" s="116">
        <f t="shared" si="33"/>
        <v>8.9737410648973344E-3</v>
      </c>
      <c r="BX12" s="116">
        <f t="shared" si="34"/>
        <v>2.3101782099411317E-2</v>
      </c>
    </row>
    <row r="13" spans="1:77" x14ac:dyDescent="0.25">
      <c r="A13" s="105" t="s">
        <v>117</v>
      </c>
      <c r="B13" s="104">
        <v>9</v>
      </c>
      <c r="C13" s="103">
        <v>19</v>
      </c>
      <c r="D13" s="102">
        <v>22</v>
      </c>
      <c r="E13" s="102">
        <v>21</v>
      </c>
      <c r="F13" s="102">
        <v>24</v>
      </c>
      <c r="G13" s="102">
        <v>21</v>
      </c>
      <c r="H13" s="102">
        <v>11</v>
      </c>
      <c r="I13" s="102">
        <v>27</v>
      </c>
      <c r="J13" s="102">
        <v>14</v>
      </c>
      <c r="K13" s="119">
        <v>26</v>
      </c>
      <c r="L13" s="102">
        <v>15</v>
      </c>
      <c r="M13" s="102">
        <v>19</v>
      </c>
      <c r="N13" s="102">
        <v>10</v>
      </c>
      <c r="O13" s="102">
        <v>8</v>
      </c>
      <c r="P13" s="102">
        <v>8</v>
      </c>
      <c r="Q13" s="102">
        <v>14</v>
      </c>
      <c r="R13" s="101">
        <v>18</v>
      </c>
      <c r="S13" s="118"/>
      <c r="T13" s="100">
        <f t="shared" si="16"/>
        <v>8.1580077286389011E-3</v>
      </c>
      <c r="U13" s="99">
        <f t="shared" si="17"/>
        <v>8.8388911209321009E-3</v>
      </c>
      <c r="V13" s="99">
        <f t="shared" si="18"/>
        <v>8.0091533180778034E-3</v>
      </c>
      <c r="W13" s="99">
        <f t="shared" si="19"/>
        <v>9.0805902383654935E-3</v>
      </c>
      <c r="X13" s="99">
        <f t="shared" si="20"/>
        <v>7.575757575757576E-3</v>
      </c>
      <c r="Y13" s="99">
        <f t="shared" si="21"/>
        <v>3.7049511620074098E-3</v>
      </c>
      <c r="Z13" s="99">
        <f t="shared" si="22"/>
        <v>8.9374379344587893E-3</v>
      </c>
      <c r="AA13" s="99">
        <f t="shared" si="23"/>
        <v>4.6067785455742019E-3</v>
      </c>
      <c r="AB13" s="99">
        <f t="shared" si="24"/>
        <v>9.6153846153846159E-3</v>
      </c>
      <c r="AC13" s="99">
        <f t="shared" si="25"/>
        <v>5.5066079295154188E-3</v>
      </c>
      <c r="AD13" s="99">
        <f t="shared" si="26"/>
        <v>6.9520673252835711E-3</v>
      </c>
      <c r="AE13" s="99">
        <f t="shared" si="27"/>
        <v>3.6886757654002213E-3</v>
      </c>
      <c r="AF13" s="99">
        <f t="shared" si="28"/>
        <v>2.6981450252951096E-3</v>
      </c>
      <c r="AG13" s="99">
        <f t="shared" si="29"/>
        <v>2.4271844660194173E-3</v>
      </c>
      <c r="AH13" s="99">
        <f t="shared" si="30"/>
        <v>4.0172166427546625E-3</v>
      </c>
      <c r="AI13" s="98">
        <f t="shared" si="31"/>
        <v>5.2508751458576431E-3</v>
      </c>
      <c r="AJ13" s="121">
        <f t="shared" si="35"/>
        <v>9</v>
      </c>
      <c r="AK13" s="117">
        <f t="shared" ref="AK13:AZ13" si="47">K13</f>
        <v>26</v>
      </c>
      <c r="AL13" s="117">
        <f t="shared" si="47"/>
        <v>15</v>
      </c>
      <c r="AM13" s="117">
        <f t="shared" si="47"/>
        <v>19</v>
      </c>
      <c r="AN13" s="117">
        <f t="shared" si="47"/>
        <v>10</v>
      </c>
      <c r="AO13" s="117">
        <f t="shared" si="47"/>
        <v>8</v>
      </c>
      <c r="AP13" s="117">
        <f t="shared" si="47"/>
        <v>8</v>
      </c>
      <c r="AQ13" s="117">
        <f t="shared" si="47"/>
        <v>14</v>
      </c>
      <c r="AR13" s="117">
        <f t="shared" si="47"/>
        <v>18</v>
      </c>
      <c r="AS13" s="117">
        <f t="shared" si="47"/>
        <v>0</v>
      </c>
      <c r="AT13" s="117">
        <f t="shared" si="47"/>
        <v>8.1580077286389011E-3</v>
      </c>
      <c r="AU13" s="117">
        <f t="shared" si="47"/>
        <v>8.8388911209321009E-3</v>
      </c>
      <c r="AV13" s="117">
        <f t="shared" si="47"/>
        <v>8.0091533180778034E-3</v>
      </c>
      <c r="AW13" s="117">
        <f t="shared" si="47"/>
        <v>9.0805902383654935E-3</v>
      </c>
      <c r="AX13" s="117">
        <f t="shared" si="47"/>
        <v>7.575757575757576E-3</v>
      </c>
      <c r="AY13" s="117">
        <f t="shared" si="47"/>
        <v>3.7049511620074098E-3</v>
      </c>
      <c r="AZ13" s="117">
        <f t="shared" si="47"/>
        <v>8.9374379344587893E-3</v>
      </c>
      <c r="BA13" s="120"/>
      <c r="BB13" s="120"/>
      <c r="BC13" s="106">
        <f>AK15/AK$5</f>
        <v>5.7291666666666664E-2</v>
      </c>
      <c r="BD13" s="106">
        <f t="shared" si="0"/>
        <v>3.3557046979865772E-2</v>
      </c>
      <c r="BE13" s="106">
        <f t="shared" si="1"/>
        <v>3.5143769968051117E-2</v>
      </c>
      <c r="BF13" s="106">
        <f t="shared" si="2"/>
        <v>4.2357274401473299E-2</v>
      </c>
      <c r="BG13" s="106">
        <f t="shared" si="3"/>
        <v>2.8657616892911009E-2</v>
      </c>
      <c r="BH13" s="106">
        <f t="shared" si="4"/>
        <v>3.7790697674418602E-2</v>
      </c>
      <c r="BI13" s="106">
        <f t="shared" si="5"/>
        <v>0</v>
      </c>
      <c r="BJ13" s="106">
        <f t="shared" si="6"/>
        <v>2.5814812961143435E-5</v>
      </c>
      <c r="BK13" s="106">
        <f t="shared" si="7"/>
        <v>2.4877261809547145E-5</v>
      </c>
      <c r="BL13" s="106">
        <f t="shared" si="8"/>
        <v>1.8827346774983082E-5</v>
      </c>
      <c r="BM13" s="106">
        <f t="shared" si="9"/>
        <v>1.3758470058129535E-5</v>
      </c>
      <c r="BN13" s="106">
        <f t="shared" si="10"/>
        <v>1.5843765843765843E-5</v>
      </c>
      <c r="BO13" s="106">
        <f t="shared" si="11"/>
        <v>1.0795312243611335E-5</v>
      </c>
      <c r="BP13" s="106">
        <f t="shared" si="12"/>
        <v>1.2823872921831282E-5</v>
      </c>
      <c r="BQ13" s="106">
        <f t="shared" si="13"/>
        <v>1.2082825351217526E-5</v>
      </c>
      <c r="BR13" s="106">
        <f t="shared" si="14"/>
        <v>1.7666679229638561E-5</v>
      </c>
      <c r="BT13" s="116">
        <f>AVERAGE(BC13:BH13)</f>
        <v>3.9133012097231079E-2</v>
      </c>
      <c r="BU13" s="116">
        <f>_xlfn.STDEV.S(BC13:BH13)</f>
        <v>9.9867287499993736E-3</v>
      </c>
      <c r="BV13" s="87">
        <f>_xlfn.CONFIDENCE.NORM(0.05,BU13,COUNT(BC13:BF13))</f>
        <v>9.7868143366847404E-3</v>
      </c>
      <c r="BW13" s="116">
        <f t="shared" si="33"/>
        <v>2.9346197760546339E-2</v>
      </c>
      <c r="BX13" s="116">
        <f t="shared" si="34"/>
        <v>4.891982643391582E-2</v>
      </c>
    </row>
    <row r="14" spans="1:77" x14ac:dyDescent="0.25">
      <c r="A14" s="105" t="s">
        <v>117</v>
      </c>
      <c r="B14" s="104">
        <v>10</v>
      </c>
      <c r="C14" s="103">
        <v>17</v>
      </c>
      <c r="D14" s="102">
        <v>8</v>
      </c>
      <c r="E14" s="102">
        <v>15</v>
      </c>
      <c r="F14" s="102">
        <v>9</v>
      </c>
      <c r="G14" s="102">
        <v>11</v>
      </c>
      <c r="H14" s="102">
        <v>14</v>
      </c>
      <c r="I14" s="102">
        <v>11</v>
      </c>
      <c r="J14" s="102">
        <v>15</v>
      </c>
      <c r="K14" s="102">
        <v>11</v>
      </c>
      <c r="L14" s="119">
        <v>20</v>
      </c>
      <c r="M14" s="102">
        <v>6</v>
      </c>
      <c r="N14" s="102">
        <v>14</v>
      </c>
      <c r="O14" s="102">
        <v>8</v>
      </c>
      <c r="P14" s="102">
        <v>7</v>
      </c>
      <c r="Q14" s="102">
        <v>5</v>
      </c>
      <c r="R14" s="101">
        <v>9</v>
      </c>
      <c r="S14" s="118"/>
      <c r="T14" s="100">
        <f t="shared" si="16"/>
        <v>7.2992700729927005E-3</v>
      </c>
      <c r="U14" s="99">
        <f t="shared" si="17"/>
        <v>3.2141422257934912E-3</v>
      </c>
      <c r="V14" s="99">
        <f t="shared" si="18"/>
        <v>5.7208237986270021E-3</v>
      </c>
      <c r="W14" s="99">
        <f t="shared" si="19"/>
        <v>3.4052213393870601E-3</v>
      </c>
      <c r="X14" s="99">
        <f t="shared" si="20"/>
        <v>3.968253968253968E-3</v>
      </c>
      <c r="Y14" s="99">
        <f t="shared" si="21"/>
        <v>4.7153923880094307E-3</v>
      </c>
      <c r="Z14" s="99">
        <f t="shared" si="22"/>
        <v>3.6411784177424692E-3</v>
      </c>
      <c r="AA14" s="99">
        <f t="shared" si="23"/>
        <v>4.9358341559723592E-3</v>
      </c>
      <c r="AB14" s="99">
        <f t="shared" si="24"/>
        <v>4.0680473372781065E-3</v>
      </c>
      <c r="AC14" s="99">
        <f t="shared" si="25"/>
        <v>7.3421439060205578E-3</v>
      </c>
      <c r="AD14" s="99">
        <f t="shared" si="26"/>
        <v>2.1953896816684962E-3</v>
      </c>
      <c r="AE14" s="99">
        <f t="shared" si="27"/>
        <v>5.1641460715603094E-3</v>
      </c>
      <c r="AF14" s="99">
        <f t="shared" si="28"/>
        <v>2.6981450252951096E-3</v>
      </c>
      <c r="AG14" s="99">
        <f t="shared" si="29"/>
        <v>2.1237864077669902E-3</v>
      </c>
      <c r="AH14" s="99">
        <f t="shared" si="30"/>
        <v>1.4347202295552368E-3</v>
      </c>
      <c r="AI14" s="98">
        <f t="shared" si="31"/>
        <v>2.6254375729288216E-3</v>
      </c>
      <c r="AJ14" s="121">
        <f t="shared" si="35"/>
        <v>10</v>
      </c>
      <c r="AK14" s="120">
        <f t="shared" ref="AK14:AZ14" si="48">L14</f>
        <v>20</v>
      </c>
      <c r="AL14" s="120">
        <f t="shared" si="48"/>
        <v>6</v>
      </c>
      <c r="AM14" s="120">
        <f t="shared" si="48"/>
        <v>14</v>
      </c>
      <c r="AN14" s="120">
        <f t="shared" si="48"/>
        <v>8</v>
      </c>
      <c r="AO14" s="120">
        <f t="shared" si="48"/>
        <v>7</v>
      </c>
      <c r="AP14" s="120">
        <f t="shared" si="48"/>
        <v>5</v>
      </c>
      <c r="AQ14" s="120">
        <f t="shared" si="48"/>
        <v>9</v>
      </c>
      <c r="AR14" s="120">
        <f t="shared" si="48"/>
        <v>0</v>
      </c>
      <c r="AS14" s="120">
        <f t="shared" si="48"/>
        <v>7.2992700729927005E-3</v>
      </c>
      <c r="AT14" s="120">
        <f t="shared" si="48"/>
        <v>3.2141422257934912E-3</v>
      </c>
      <c r="AU14" s="120">
        <f t="shared" si="48"/>
        <v>5.7208237986270021E-3</v>
      </c>
      <c r="AV14" s="120">
        <f t="shared" si="48"/>
        <v>3.4052213393870601E-3</v>
      </c>
      <c r="AW14" s="120">
        <f t="shared" si="48"/>
        <v>3.968253968253968E-3</v>
      </c>
      <c r="AX14" s="120">
        <f t="shared" si="48"/>
        <v>4.7153923880094307E-3</v>
      </c>
      <c r="AY14" s="120">
        <f t="shared" si="48"/>
        <v>3.6411784177424692E-3</v>
      </c>
      <c r="AZ14" s="120">
        <f t="shared" si="48"/>
        <v>4.9358341559723592E-3</v>
      </c>
      <c r="BA14" s="120"/>
      <c r="BB14" s="120"/>
    </row>
    <row r="15" spans="1:77" x14ac:dyDescent="0.25">
      <c r="A15" s="105" t="s">
        <v>117</v>
      </c>
      <c r="B15" s="104" t="s">
        <v>116</v>
      </c>
      <c r="C15" s="103">
        <v>49</v>
      </c>
      <c r="D15" s="102">
        <v>40</v>
      </c>
      <c r="E15" s="102">
        <v>35</v>
      </c>
      <c r="F15" s="102">
        <v>26</v>
      </c>
      <c r="G15" s="102">
        <v>26</v>
      </c>
      <c r="H15" s="102">
        <v>25</v>
      </c>
      <c r="I15" s="102">
        <v>32</v>
      </c>
      <c r="J15" s="102">
        <v>30</v>
      </c>
      <c r="K15" s="102">
        <v>30</v>
      </c>
      <c r="L15" s="102">
        <v>29</v>
      </c>
      <c r="M15" s="119">
        <v>33</v>
      </c>
      <c r="N15" s="102">
        <v>20</v>
      </c>
      <c r="O15" s="102">
        <v>22</v>
      </c>
      <c r="P15" s="102">
        <v>23</v>
      </c>
      <c r="Q15" s="102">
        <v>19</v>
      </c>
      <c r="R15" s="101">
        <v>26</v>
      </c>
      <c r="S15" s="118"/>
      <c r="T15" s="100">
        <f t="shared" si="16"/>
        <v>2.1039072563331901E-2</v>
      </c>
      <c r="U15" s="99">
        <f t="shared" si="17"/>
        <v>1.6070711128967456E-2</v>
      </c>
      <c r="V15" s="99">
        <f t="shared" si="18"/>
        <v>1.3348588863463006E-2</v>
      </c>
      <c r="W15" s="99">
        <f t="shared" si="19"/>
        <v>9.8373060915626174E-3</v>
      </c>
      <c r="X15" s="99">
        <f t="shared" si="20"/>
        <v>9.3795093795093799E-3</v>
      </c>
      <c r="Y15" s="99">
        <f t="shared" si="21"/>
        <v>8.4203435500168414E-3</v>
      </c>
      <c r="Z15" s="99">
        <f t="shared" si="22"/>
        <v>1.0592519033432638E-2</v>
      </c>
      <c r="AA15" s="99">
        <f t="shared" si="23"/>
        <v>9.8716683119447184E-3</v>
      </c>
      <c r="AB15" s="99">
        <f t="shared" si="24"/>
        <v>1.1094674556213017E-2</v>
      </c>
      <c r="AC15" s="99">
        <f t="shared" si="25"/>
        <v>1.0646108663729809E-2</v>
      </c>
      <c r="AD15" s="99">
        <f t="shared" si="26"/>
        <v>1.2074643249176729E-2</v>
      </c>
      <c r="AE15" s="99">
        <f t="shared" si="27"/>
        <v>7.3773515308004425E-3</v>
      </c>
      <c r="AF15" s="99">
        <f t="shared" si="28"/>
        <v>7.4198988195615517E-3</v>
      </c>
      <c r="AG15" s="99">
        <f t="shared" si="29"/>
        <v>6.9781553398058256E-3</v>
      </c>
      <c r="AH15" s="99">
        <f t="shared" si="30"/>
        <v>5.4519368723098998E-3</v>
      </c>
      <c r="AI15" s="98">
        <f t="shared" si="31"/>
        <v>7.5845974329054842E-3</v>
      </c>
      <c r="AJ15" s="134" t="str">
        <f t="shared" si="35"/>
        <v>11+</v>
      </c>
      <c r="AK15" s="120">
        <f t="shared" ref="AK15:AZ15" si="49">M15</f>
        <v>33</v>
      </c>
      <c r="AL15" s="120">
        <f t="shared" si="49"/>
        <v>20</v>
      </c>
      <c r="AM15" s="120">
        <f t="shared" si="49"/>
        <v>22</v>
      </c>
      <c r="AN15" s="120">
        <f t="shared" si="49"/>
        <v>23</v>
      </c>
      <c r="AO15" s="120">
        <f t="shared" si="49"/>
        <v>19</v>
      </c>
      <c r="AP15" s="120">
        <f t="shared" si="49"/>
        <v>26</v>
      </c>
      <c r="AQ15" s="120">
        <f t="shared" si="49"/>
        <v>0</v>
      </c>
      <c r="AR15" s="120">
        <f t="shared" si="49"/>
        <v>2.1039072563331901E-2</v>
      </c>
      <c r="AS15" s="120">
        <f t="shared" si="49"/>
        <v>1.6070711128967456E-2</v>
      </c>
      <c r="AT15" s="120">
        <f t="shared" si="49"/>
        <v>1.3348588863463006E-2</v>
      </c>
      <c r="AU15" s="120">
        <f t="shared" si="49"/>
        <v>9.8373060915626174E-3</v>
      </c>
      <c r="AV15" s="120">
        <f t="shared" si="49"/>
        <v>9.3795093795093799E-3</v>
      </c>
      <c r="AW15" s="120">
        <f t="shared" si="49"/>
        <v>8.4203435500168414E-3</v>
      </c>
      <c r="AX15" s="120">
        <f t="shared" si="49"/>
        <v>1.0592519033432638E-2</v>
      </c>
      <c r="AY15" s="120">
        <f t="shared" si="49"/>
        <v>9.8716683119447184E-3</v>
      </c>
      <c r="AZ15" s="120">
        <f t="shared" si="49"/>
        <v>1.1094674556213017E-2</v>
      </c>
    </row>
    <row r="16" spans="1:77" x14ac:dyDescent="0.25">
      <c r="A16" s="97" t="s">
        <v>117</v>
      </c>
      <c r="B16" s="96" t="s">
        <v>114</v>
      </c>
      <c r="C16" s="95">
        <v>2329</v>
      </c>
      <c r="D16" s="94">
        <v>2489</v>
      </c>
      <c r="E16" s="94">
        <v>2622</v>
      </c>
      <c r="F16" s="94">
        <v>2643</v>
      </c>
      <c r="G16" s="94">
        <v>2772</v>
      </c>
      <c r="H16" s="94">
        <v>2969</v>
      </c>
      <c r="I16" s="94">
        <v>3021</v>
      </c>
      <c r="J16" s="94">
        <v>3039</v>
      </c>
      <c r="K16" s="94">
        <v>2704</v>
      </c>
      <c r="L16" s="94">
        <v>2724</v>
      </c>
      <c r="M16" s="94">
        <v>2733</v>
      </c>
      <c r="N16" s="94">
        <v>2711</v>
      </c>
      <c r="O16" s="94">
        <v>2965</v>
      </c>
      <c r="P16" s="94">
        <v>3296</v>
      </c>
      <c r="Q16" s="94">
        <v>3485</v>
      </c>
      <c r="R16" s="93">
        <v>3428</v>
      </c>
      <c r="S16" s="118"/>
      <c r="T16" s="92">
        <f t="shared" si="16"/>
        <v>1</v>
      </c>
      <c r="U16" s="91">
        <f t="shared" si="17"/>
        <v>1</v>
      </c>
      <c r="V16" s="91">
        <f t="shared" si="18"/>
        <v>1</v>
      </c>
      <c r="W16" s="91">
        <f t="shared" si="19"/>
        <v>1</v>
      </c>
      <c r="X16" s="91">
        <f t="shared" si="20"/>
        <v>1</v>
      </c>
      <c r="Y16" s="91">
        <f t="shared" si="21"/>
        <v>1</v>
      </c>
      <c r="Z16" s="91">
        <f t="shared" si="22"/>
        <v>1</v>
      </c>
      <c r="AA16" s="91">
        <f t="shared" si="23"/>
        <v>1</v>
      </c>
      <c r="AB16" s="91">
        <f t="shared" si="24"/>
        <v>1</v>
      </c>
      <c r="AC16" s="91">
        <f t="shared" si="25"/>
        <v>1</v>
      </c>
      <c r="AD16" s="91">
        <f t="shared" si="26"/>
        <v>1</v>
      </c>
      <c r="AE16" s="91">
        <f t="shared" si="27"/>
        <v>1</v>
      </c>
      <c r="AF16" s="91">
        <f t="shared" si="28"/>
        <v>1</v>
      </c>
      <c r="AG16" s="91">
        <f t="shared" si="29"/>
        <v>1</v>
      </c>
      <c r="AH16" s="91">
        <f t="shared" si="30"/>
        <v>1</v>
      </c>
      <c r="AI16" s="90">
        <f t="shared" si="31"/>
        <v>1</v>
      </c>
      <c r="BA16" s="106"/>
      <c r="BB16" s="106"/>
    </row>
    <row r="17" spans="1:70" x14ac:dyDescent="0.25"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87" t="s">
        <v>30</v>
      </c>
      <c r="AK17" s="87">
        <v>2001</v>
      </c>
      <c r="AL17" s="87">
        <v>2002</v>
      </c>
      <c r="AM17" s="87">
        <v>2003</v>
      </c>
      <c r="AN17" s="87">
        <v>2004</v>
      </c>
      <c r="AO17" s="87">
        <v>2005</v>
      </c>
      <c r="AP17" s="87">
        <v>2006</v>
      </c>
      <c r="AQ17" s="87">
        <v>2007</v>
      </c>
      <c r="AR17" s="87">
        <v>2008</v>
      </c>
      <c r="AS17" s="87">
        <v>2009</v>
      </c>
      <c r="AT17" s="87">
        <v>2010</v>
      </c>
      <c r="AU17" s="87">
        <v>2011</v>
      </c>
      <c r="AV17" s="87">
        <v>2012</v>
      </c>
      <c r="AW17" s="87">
        <v>2013</v>
      </c>
      <c r="AX17" s="87">
        <v>2014</v>
      </c>
      <c r="AY17" s="87">
        <v>2015</v>
      </c>
      <c r="AZ17" s="87">
        <v>2016</v>
      </c>
    </row>
    <row r="18" spans="1:70" x14ac:dyDescent="0.25">
      <c r="A18" s="115" t="s">
        <v>115</v>
      </c>
      <c r="B18" s="114">
        <v>1</v>
      </c>
      <c r="C18" s="113">
        <v>1307</v>
      </c>
      <c r="D18" s="112">
        <v>1200</v>
      </c>
      <c r="E18" s="112">
        <v>1160</v>
      </c>
      <c r="F18" s="112">
        <v>1100</v>
      </c>
      <c r="G18" s="112">
        <v>1538</v>
      </c>
      <c r="H18" s="112">
        <v>1434</v>
      </c>
      <c r="I18" s="112">
        <v>1452</v>
      </c>
      <c r="J18" s="112">
        <v>1389</v>
      </c>
      <c r="K18" s="112">
        <v>1315</v>
      </c>
      <c r="L18" s="112">
        <v>1148</v>
      </c>
      <c r="M18" s="112">
        <v>1271</v>
      </c>
      <c r="N18" s="112">
        <v>1086</v>
      </c>
      <c r="O18" s="112">
        <v>1217</v>
      </c>
      <c r="P18" s="112">
        <v>1340</v>
      </c>
      <c r="Q18" s="112">
        <v>1424</v>
      </c>
      <c r="R18" s="111">
        <v>1228</v>
      </c>
      <c r="T18" s="110">
        <f t="shared" ref="T18:T29" si="50">C18/C$29</f>
        <v>0.39038231780167265</v>
      </c>
      <c r="U18" s="109">
        <f t="shared" ref="U18:U29" si="51">D18/D$29</f>
        <v>0.35576638007708272</v>
      </c>
      <c r="V18" s="109">
        <f t="shared" ref="V18:V29" si="52">E18/E$29</f>
        <v>0.35747303543913711</v>
      </c>
      <c r="W18" s="109">
        <f t="shared" ref="W18:W29" si="53">F18/F$29</f>
        <v>0.36776997659645605</v>
      </c>
      <c r="X18" s="109">
        <f t="shared" ref="X18:X29" si="54">G18/G$29</f>
        <v>0.4547604967474867</v>
      </c>
      <c r="Y18" s="109">
        <f t="shared" ref="Y18:Y29" si="55">H18/H$29</f>
        <v>0.39569536423841062</v>
      </c>
      <c r="Z18" s="109">
        <f t="shared" ref="Z18:Z29" si="56">I18/I$29</f>
        <v>0.39477977161500816</v>
      </c>
      <c r="AA18" s="109">
        <f t="shared" ref="AA18:AA29" si="57">J18/J$29</f>
        <v>0.38327814569536423</v>
      </c>
      <c r="AB18" s="109">
        <f t="shared" ref="AB18:AB29" si="58">K18/K$29</f>
        <v>0.38699234844025898</v>
      </c>
      <c r="AC18" s="109">
        <f t="shared" ref="AC18:AC29" si="59">L18/L$29</f>
        <v>0.35897435897435898</v>
      </c>
      <c r="AD18" s="109">
        <f t="shared" ref="AD18:AD29" si="60">M18/M$29</f>
        <v>0.40310815096733271</v>
      </c>
      <c r="AE18" s="109">
        <f t="shared" ref="AE18:AE29" si="61">N18/N$29</f>
        <v>0.3640630238015421</v>
      </c>
      <c r="AF18" s="109">
        <f t="shared" ref="AF18:AF29" si="62">O18/O$29</f>
        <v>0.40770519262981575</v>
      </c>
      <c r="AG18" s="109">
        <f t="shared" ref="AG18:AG29" si="63">P18/P$29</f>
        <v>0.42499207104345066</v>
      </c>
      <c r="AH18" s="109">
        <f t="shared" ref="AH18:AH29" si="64">Q18/Q$29</f>
        <v>0.41072973752523795</v>
      </c>
      <c r="AI18" s="108">
        <f t="shared" ref="AI18:AI29" si="65">R18/R$29</f>
        <v>0.35697674418604652</v>
      </c>
      <c r="AJ18" s="134">
        <f>B18</f>
        <v>1</v>
      </c>
      <c r="AK18" s="117">
        <f>C18</f>
        <v>1307</v>
      </c>
      <c r="AL18" s="117">
        <f t="shared" ref="AL18:AZ18" si="66">D18</f>
        <v>1200</v>
      </c>
      <c r="AM18" s="117">
        <f t="shared" si="66"/>
        <v>1160</v>
      </c>
      <c r="AN18" s="117">
        <f t="shared" si="66"/>
        <v>1100</v>
      </c>
      <c r="AO18" s="117">
        <f t="shared" si="66"/>
        <v>1538</v>
      </c>
      <c r="AP18" s="117">
        <f t="shared" si="66"/>
        <v>1434</v>
      </c>
      <c r="AQ18" s="117">
        <f t="shared" si="66"/>
        <v>1452</v>
      </c>
      <c r="AR18" s="117">
        <f t="shared" si="66"/>
        <v>1389</v>
      </c>
      <c r="AS18" s="117">
        <f t="shared" si="66"/>
        <v>1315</v>
      </c>
      <c r="AT18" s="117">
        <f t="shared" si="66"/>
        <v>1148</v>
      </c>
      <c r="AU18" s="117">
        <f t="shared" si="66"/>
        <v>1271</v>
      </c>
      <c r="AV18" s="117">
        <f t="shared" si="66"/>
        <v>1086</v>
      </c>
      <c r="AW18" s="117">
        <f t="shared" si="66"/>
        <v>1217</v>
      </c>
      <c r="AX18" s="117">
        <f t="shared" si="66"/>
        <v>1340</v>
      </c>
      <c r="AY18" s="117">
        <f t="shared" si="66"/>
        <v>1424</v>
      </c>
      <c r="AZ18" s="117">
        <f t="shared" si="66"/>
        <v>1228</v>
      </c>
      <c r="BA18" s="117"/>
      <c r="BB18" s="117"/>
      <c r="BC18" s="106">
        <f>AK18/AK$18</f>
        <v>1</v>
      </c>
      <c r="BD18" s="106">
        <f t="shared" ref="BD18:BR28" si="67">AL18/AL$18</f>
        <v>1</v>
      </c>
      <c r="BE18" s="106">
        <f t="shared" si="67"/>
        <v>1</v>
      </c>
      <c r="BF18" s="106">
        <f t="shared" si="67"/>
        <v>1</v>
      </c>
      <c r="BG18" s="106">
        <f t="shared" si="67"/>
        <v>1</v>
      </c>
      <c r="BH18" s="106">
        <f t="shared" si="67"/>
        <v>1</v>
      </c>
      <c r="BI18" s="106">
        <f t="shared" si="67"/>
        <v>1</v>
      </c>
      <c r="BJ18" s="106">
        <f t="shared" si="67"/>
        <v>1</v>
      </c>
      <c r="BK18" s="106">
        <f t="shared" si="67"/>
        <v>1</v>
      </c>
      <c r="BL18" s="106">
        <f t="shared" si="67"/>
        <v>1</v>
      </c>
      <c r="BM18" s="106">
        <f t="shared" si="67"/>
        <v>1</v>
      </c>
      <c r="BN18" s="106">
        <f t="shared" si="67"/>
        <v>1</v>
      </c>
      <c r="BO18" s="106">
        <f t="shared" si="67"/>
        <v>1</v>
      </c>
      <c r="BP18" s="106">
        <f t="shared" si="67"/>
        <v>1</v>
      </c>
      <c r="BQ18" s="106">
        <f t="shared" si="67"/>
        <v>1</v>
      </c>
      <c r="BR18" s="106">
        <f t="shared" si="67"/>
        <v>1</v>
      </c>
    </row>
    <row r="19" spans="1:70" x14ac:dyDescent="0.25">
      <c r="A19" s="105" t="s">
        <v>115</v>
      </c>
      <c r="B19" s="104">
        <v>2</v>
      </c>
      <c r="C19" s="103">
        <v>933</v>
      </c>
      <c r="D19" s="102">
        <v>1026</v>
      </c>
      <c r="E19" s="102">
        <v>959</v>
      </c>
      <c r="F19" s="102">
        <v>913</v>
      </c>
      <c r="G19" s="102">
        <v>883</v>
      </c>
      <c r="H19" s="102">
        <v>1255</v>
      </c>
      <c r="I19" s="102">
        <v>1163</v>
      </c>
      <c r="J19" s="102">
        <v>1174</v>
      </c>
      <c r="K19" s="102">
        <v>1075</v>
      </c>
      <c r="L19" s="102">
        <v>1052</v>
      </c>
      <c r="M19" s="102">
        <v>919</v>
      </c>
      <c r="N19" s="102">
        <v>1011</v>
      </c>
      <c r="O19" s="102">
        <v>870</v>
      </c>
      <c r="P19" s="102">
        <v>987</v>
      </c>
      <c r="Q19" s="102">
        <v>1101</v>
      </c>
      <c r="R19" s="101">
        <v>1185</v>
      </c>
      <c r="T19" s="100">
        <f t="shared" si="50"/>
        <v>0.27867383512544802</v>
      </c>
      <c r="U19" s="99">
        <f t="shared" si="51"/>
        <v>0.30418025496590573</v>
      </c>
      <c r="V19" s="99">
        <f t="shared" si="52"/>
        <v>0.29553158705701077</v>
      </c>
      <c r="W19" s="99">
        <f t="shared" si="53"/>
        <v>0.30524908057505851</v>
      </c>
      <c r="X19" s="99">
        <f t="shared" si="54"/>
        <v>0.26108811354228267</v>
      </c>
      <c r="Y19" s="99">
        <f t="shared" si="55"/>
        <v>0.34630242825607066</v>
      </c>
      <c r="Z19" s="99">
        <f t="shared" si="56"/>
        <v>0.31620445894507887</v>
      </c>
      <c r="AA19" s="99">
        <f t="shared" si="57"/>
        <v>0.32395143487858719</v>
      </c>
      <c r="AB19" s="99">
        <f t="shared" si="58"/>
        <v>0.31636256621542086</v>
      </c>
      <c r="AC19" s="99">
        <f t="shared" si="59"/>
        <v>0.32895559724828016</v>
      </c>
      <c r="AD19" s="99">
        <f t="shared" si="60"/>
        <v>0.29146844275293371</v>
      </c>
      <c r="AE19" s="99">
        <f t="shared" si="61"/>
        <v>0.33892054978209857</v>
      </c>
      <c r="AF19" s="99">
        <f t="shared" si="62"/>
        <v>0.29145728643216079</v>
      </c>
      <c r="AG19" s="99">
        <f t="shared" si="63"/>
        <v>0.31303520456707895</v>
      </c>
      <c r="AH19" s="99">
        <f t="shared" si="64"/>
        <v>0.31756561869051053</v>
      </c>
      <c r="AI19" s="98">
        <f t="shared" si="65"/>
        <v>0.34447674418604651</v>
      </c>
      <c r="AJ19" s="134">
        <f t="shared" ref="AJ19:AJ28" si="68">B19</f>
        <v>2</v>
      </c>
      <c r="AK19" s="117">
        <f>D19</f>
        <v>1026</v>
      </c>
      <c r="AL19" s="117">
        <f t="shared" ref="AL19:AZ19" si="69">E19</f>
        <v>959</v>
      </c>
      <c r="AM19" s="117">
        <f t="shared" si="69"/>
        <v>913</v>
      </c>
      <c r="AN19" s="117">
        <f t="shared" si="69"/>
        <v>883</v>
      </c>
      <c r="AO19" s="117">
        <f t="shared" si="69"/>
        <v>1255</v>
      </c>
      <c r="AP19" s="117">
        <f t="shared" si="69"/>
        <v>1163</v>
      </c>
      <c r="AQ19" s="117">
        <f t="shared" si="69"/>
        <v>1174</v>
      </c>
      <c r="AR19" s="117">
        <f t="shared" si="69"/>
        <v>1075</v>
      </c>
      <c r="AS19" s="117">
        <f t="shared" si="69"/>
        <v>1052</v>
      </c>
      <c r="AT19" s="117">
        <f t="shared" si="69"/>
        <v>919</v>
      </c>
      <c r="AU19" s="117">
        <f t="shared" si="69"/>
        <v>1011</v>
      </c>
      <c r="AV19" s="117">
        <f t="shared" si="69"/>
        <v>870</v>
      </c>
      <c r="AW19" s="117">
        <f t="shared" si="69"/>
        <v>987</v>
      </c>
      <c r="AX19" s="117">
        <f t="shared" si="69"/>
        <v>1101</v>
      </c>
      <c r="AY19" s="117">
        <f t="shared" si="69"/>
        <v>1185</v>
      </c>
      <c r="AZ19" s="117">
        <f t="shared" si="69"/>
        <v>0</v>
      </c>
      <c r="BA19" s="117"/>
      <c r="BB19" s="117"/>
      <c r="BC19" s="106">
        <f t="shared" ref="BC19:BC28" si="70">AK19/AK$18</f>
        <v>0.78500382555470538</v>
      </c>
      <c r="BD19" s="106">
        <f t="shared" si="67"/>
        <v>0.79916666666666669</v>
      </c>
      <c r="BE19" s="106">
        <f t="shared" si="67"/>
        <v>0.78706896551724137</v>
      </c>
      <c r="BF19" s="106">
        <f t="shared" si="67"/>
        <v>0.80272727272727273</v>
      </c>
      <c r="BG19" s="106">
        <f t="shared" si="67"/>
        <v>0.81599479843953182</v>
      </c>
      <c r="BH19" s="106">
        <f t="shared" si="67"/>
        <v>0.81101813110181309</v>
      </c>
      <c r="BI19" s="106">
        <f t="shared" si="67"/>
        <v>0.80853994490358128</v>
      </c>
      <c r="BJ19" s="106">
        <f t="shared" si="67"/>
        <v>0.77393808495320371</v>
      </c>
      <c r="BK19" s="106">
        <f t="shared" si="67"/>
        <v>0.8</v>
      </c>
      <c r="BL19" s="106">
        <f t="shared" si="67"/>
        <v>0.80052264808362372</v>
      </c>
      <c r="BM19" s="106">
        <f t="shared" si="67"/>
        <v>0.79543666404405977</v>
      </c>
      <c r="BN19" s="106">
        <f t="shared" si="67"/>
        <v>0.80110497237569056</v>
      </c>
      <c r="BO19" s="106">
        <f t="shared" si="67"/>
        <v>0.81101068200493021</v>
      </c>
      <c r="BP19" s="106">
        <f t="shared" si="67"/>
        <v>0.82164179104477608</v>
      </c>
      <c r="BQ19" s="106">
        <f t="shared" si="67"/>
        <v>0.8321629213483146</v>
      </c>
      <c r="BR19" s="106">
        <f t="shared" si="67"/>
        <v>0</v>
      </c>
    </row>
    <row r="20" spans="1:70" x14ac:dyDescent="0.25">
      <c r="A20" s="105" t="s">
        <v>115</v>
      </c>
      <c r="B20" s="104">
        <v>3</v>
      </c>
      <c r="C20" s="103">
        <v>597</v>
      </c>
      <c r="D20" s="102">
        <v>639</v>
      </c>
      <c r="E20" s="102">
        <v>624</v>
      </c>
      <c r="F20" s="102">
        <v>519</v>
      </c>
      <c r="G20" s="102">
        <v>514</v>
      </c>
      <c r="H20" s="102">
        <v>511</v>
      </c>
      <c r="I20" s="102">
        <v>696</v>
      </c>
      <c r="J20" s="102">
        <v>641</v>
      </c>
      <c r="K20" s="102">
        <v>599</v>
      </c>
      <c r="L20" s="102">
        <v>615</v>
      </c>
      <c r="M20" s="102">
        <v>580</v>
      </c>
      <c r="N20" s="102">
        <v>540</v>
      </c>
      <c r="O20" s="102">
        <v>593</v>
      </c>
      <c r="P20" s="102">
        <v>532</v>
      </c>
      <c r="Q20" s="102">
        <v>648</v>
      </c>
      <c r="R20" s="101">
        <v>693</v>
      </c>
      <c r="T20" s="100">
        <f t="shared" si="50"/>
        <v>0.17831541218637992</v>
      </c>
      <c r="U20" s="99">
        <f t="shared" si="51"/>
        <v>0.18944559739104655</v>
      </c>
      <c r="V20" s="99">
        <f t="shared" si="52"/>
        <v>0.19229583975346687</v>
      </c>
      <c r="W20" s="99">
        <f t="shared" si="53"/>
        <v>0.17352056168505517</v>
      </c>
      <c r="X20" s="99">
        <f t="shared" si="54"/>
        <v>0.15198107628622118</v>
      </c>
      <c r="Y20" s="99">
        <f t="shared" si="55"/>
        <v>0.14100441501103753</v>
      </c>
      <c r="Z20" s="99">
        <f t="shared" si="56"/>
        <v>0.18923327895595432</v>
      </c>
      <c r="AA20" s="99">
        <f t="shared" si="57"/>
        <v>0.17687637969094921</v>
      </c>
      <c r="AB20" s="99">
        <f t="shared" si="58"/>
        <v>0.17628016480282518</v>
      </c>
      <c r="AC20" s="99">
        <f t="shared" si="59"/>
        <v>0.19230769230769232</v>
      </c>
      <c r="AD20" s="99">
        <f t="shared" si="60"/>
        <v>0.18395179194418015</v>
      </c>
      <c r="AE20" s="99">
        <f t="shared" si="61"/>
        <v>0.18102581293999329</v>
      </c>
      <c r="AF20" s="99">
        <f t="shared" si="62"/>
        <v>0.19865996649916248</v>
      </c>
      <c r="AG20" s="99">
        <f t="shared" si="63"/>
        <v>0.16872819536948938</v>
      </c>
      <c r="AH20" s="99">
        <f t="shared" si="64"/>
        <v>0.18690510527833862</v>
      </c>
      <c r="AI20" s="98">
        <f t="shared" si="65"/>
        <v>0.20145348837209304</v>
      </c>
      <c r="AJ20" s="134">
        <f t="shared" si="68"/>
        <v>3</v>
      </c>
      <c r="AK20" s="117">
        <f>E20</f>
        <v>624</v>
      </c>
      <c r="AL20" s="117">
        <f t="shared" ref="AL20:AZ20" si="71">F20</f>
        <v>519</v>
      </c>
      <c r="AM20" s="117">
        <f t="shared" si="71"/>
        <v>514</v>
      </c>
      <c r="AN20" s="117">
        <f t="shared" si="71"/>
        <v>511</v>
      </c>
      <c r="AO20" s="117">
        <f t="shared" si="71"/>
        <v>696</v>
      </c>
      <c r="AP20" s="117">
        <f t="shared" si="71"/>
        <v>641</v>
      </c>
      <c r="AQ20" s="117">
        <f t="shared" si="71"/>
        <v>599</v>
      </c>
      <c r="AR20" s="117">
        <f t="shared" si="71"/>
        <v>615</v>
      </c>
      <c r="AS20" s="117">
        <f t="shared" si="71"/>
        <v>580</v>
      </c>
      <c r="AT20" s="117">
        <f t="shared" si="71"/>
        <v>540</v>
      </c>
      <c r="AU20" s="117">
        <f t="shared" si="71"/>
        <v>593</v>
      </c>
      <c r="AV20" s="117">
        <f t="shared" si="71"/>
        <v>532</v>
      </c>
      <c r="AW20" s="117">
        <f t="shared" si="71"/>
        <v>648</v>
      </c>
      <c r="AX20" s="117">
        <f t="shared" si="71"/>
        <v>693</v>
      </c>
      <c r="AY20" s="117">
        <f t="shared" si="71"/>
        <v>0</v>
      </c>
      <c r="AZ20" s="117">
        <f t="shared" si="71"/>
        <v>0.17831541218637992</v>
      </c>
      <c r="BA20" s="117"/>
      <c r="BB20" s="117"/>
      <c r="BC20" s="106">
        <f t="shared" si="70"/>
        <v>0.47742922723794951</v>
      </c>
      <c r="BD20" s="106">
        <f t="shared" si="67"/>
        <v>0.4325</v>
      </c>
      <c r="BE20" s="106">
        <f t="shared" si="67"/>
        <v>0.44310344827586207</v>
      </c>
      <c r="BF20" s="106">
        <f t="shared" si="67"/>
        <v>0.46454545454545454</v>
      </c>
      <c r="BG20" s="106">
        <f t="shared" si="67"/>
        <v>0.45253576072821844</v>
      </c>
      <c r="BH20" s="106">
        <f t="shared" si="67"/>
        <v>0.44700139470013944</v>
      </c>
      <c r="BI20" s="106">
        <f t="shared" si="67"/>
        <v>0.41253443526170797</v>
      </c>
      <c r="BJ20" s="106">
        <f t="shared" si="67"/>
        <v>0.4427645788336933</v>
      </c>
      <c r="BK20" s="106">
        <f t="shared" si="67"/>
        <v>0.44106463878326996</v>
      </c>
      <c r="BL20" s="106">
        <f t="shared" si="67"/>
        <v>0.47038327526132406</v>
      </c>
      <c r="BM20" s="106">
        <f t="shared" si="67"/>
        <v>0.46656176239181746</v>
      </c>
      <c r="BN20" s="106">
        <f t="shared" si="67"/>
        <v>0.48987108655616945</v>
      </c>
      <c r="BO20" s="106">
        <f t="shared" si="67"/>
        <v>0.53245686113393587</v>
      </c>
      <c r="BP20" s="106">
        <f t="shared" si="67"/>
        <v>0.51716417910447765</v>
      </c>
      <c r="BQ20" s="106">
        <f t="shared" si="67"/>
        <v>0</v>
      </c>
      <c r="BR20" s="106">
        <f t="shared" si="67"/>
        <v>1.452079903797882E-4</v>
      </c>
    </row>
    <row r="21" spans="1:70" x14ac:dyDescent="0.25">
      <c r="A21" s="105" t="s">
        <v>115</v>
      </c>
      <c r="B21" s="104">
        <v>4</v>
      </c>
      <c r="C21" s="103">
        <v>199</v>
      </c>
      <c r="D21" s="102">
        <v>254</v>
      </c>
      <c r="E21" s="102">
        <v>247</v>
      </c>
      <c r="F21" s="102">
        <v>240</v>
      </c>
      <c r="G21" s="102">
        <v>206</v>
      </c>
      <c r="H21" s="102">
        <v>188</v>
      </c>
      <c r="I21" s="102">
        <v>169</v>
      </c>
      <c r="J21" s="102">
        <v>241</v>
      </c>
      <c r="K21" s="102">
        <v>221</v>
      </c>
      <c r="L21" s="102">
        <v>213</v>
      </c>
      <c r="M21" s="102">
        <v>216</v>
      </c>
      <c r="N21" s="102">
        <v>169</v>
      </c>
      <c r="O21" s="102">
        <v>162</v>
      </c>
      <c r="P21" s="102">
        <v>176</v>
      </c>
      <c r="Q21" s="102">
        <v>180</v>
      </c>
      <c r="R21" s="101">
        <v>219</v>
      </c>
      <c r="T21" s="100">
        <f t="shared" si="50"/>
        <v>5.9438470728793311E-2</v>
      </c>
      <c r="U21" s="99">
        <f t="shared" si="51"/>
        <v>7.5303883782982514E-2</v>
      </c>
      <c r="V21" s="99">
        <f t="shared" si="52"/>
        <v>7.6117103235747302E-2</v>
      </c>
      <c r="W21" s="99">
        <f t="shared" si="53"/>
        <v>8.0240722166499495E-2</v>
      </c>
      <c r="X21" s="99">
        <f t="shared" si="54"/>
        <v>6.0910703725606148E-2</v>
      </c>
      <c r="Y21" s="99">
        <f t="shared" si="55"/>
        <v>5.1876379690949229E-2</v>
      </c>
      <c r="Z21" s="99">
        <f t="shared" si="56"/>
        <v>4.5948885263730289E-2</v>
      </c>
      <c r="AA21" s="99">
        <f t="shared" si="57"/>
        <v>6.6501103752759388E-2</v>
      </c>
      <c r="AB21" s="99">
        <f t="shared" si="58"/>
        <v>6.5038257798705118E-2</v>
      </c>
      <c r="AC21" s="99">
        <f t="shared" si="59"/>
        <v>6.6604127579737341E-2</v>
      </c>
      <c r="AD21" s="99">
        <f t="shared" si="60"/>
        <v>6.8506184586108465E-2</v>
      </c>
      <c r="AE21" s="99">
        <f t="shared" si="61"/>
        <v>5.6654374790479384E-2</v>
      </c>
      <c r="AF21" s="99">
        <f t="shared" si="62"/>
        <v>5.4271356783919596E-2</v>
      </c>
      <c r="AG21" s="99">
        <f t="shared" si="63"/>
        <v>5.5819854107199494E-2</v>
      </c>
      <c r="AH21" s="99">
        <f t="shared" si="64"/>
        <v>5.1918084799538508E-2</v>
      </c>
      <c r="AI21" s="98">
        <f t="shared" si="65"/>
        <v>6.3662790697674415E-2</v>
      </c>
      <c r="AJ21" s="134">
        <f t="shared" si="68"/>
        <v>4</v>
      </c>
      <c r="AK21" s="117">
        <f>F21</f>
        <v>240</v>
      </c>
      <c r="AL21" s="117">
        <f t="shared" ref="AL21:AZ21" si="72">G21</f>
        <v>206</v>
      </c>
      <c r="AM21" s="117">
        <f t="shared" si="72"/>
        <v>188</v>
      </c>
      <c r="AN21" s="117">
        <f t="shared" si="72"/>
        <v>169</v>
      </c>
      <c r="AO21" s="117">
        <f t="shared" si="72"/>
        <v>241</v>
      </c>
      <c r="AP21" s="117">
        <f t="shared" si="72"/>
        <v>221</v>
      </c>
      <c r="AQ21" s="117">
        <f t="shared" si="72"/>
        <v>213</v>
      </c>
      <c r="AR21" s="117">
        <f t="shared" si="72"/>
        <v>216</v>
      </c>
      <c r="AS21" s="117">
        <f t="shared" si="72"/>
        <v>169</v>
      </c>
      <c r="AT21" s="117">
        <f t="shared" si="72"/>
        <v>162</v>
      </c>
      <c r="AU21" s="117">
        <f t="shared" si="72"/>
        <v>176</v>
      </c>
      <c r="AV21" s="117">
        <f t="shared" si="72"/>
        <v>180</v>
      </c>
      <c r="AW21" s="117">
        <f t="shared" si="72"/>
        <v>219</v>
      </c>
      <c r="AX21" s="117">
        <f t="shared" si="72"/>
        <v>0</v>
      </c>
      <c r="AY21" s="117">
        <f t="shared" si="72"/>
        <v>5.9438470728793311E-2</v>
      </c>
      <c r="AZ21" s="117">
        <f t="shared" si="72"/>
        <v>7.5303883782982514E-2</v>
      </c>
      <c r="BA21" s="117"/>
      <c r="BB21" s="117"/>
      <c r="BC21" s="106">
        <f t="shared" si="70"/>
        <v>0.18362662586074982</v>
      </c>
      <c r="BD21" s="106">
        <f t="shared" si="67"/>
        <v>0.17166666666666666</v>
      </c>
      <c r="BE21" s="106">
        <f t="shared" si="67"/>
        <v>0.16206896551724137</v>
      </c>
      <c r="BF21" s="106">
        <f t="shared" si="67"/>
        <v>0.15363636363636363</v>
      </c>
      <c r="BG21" s="106">
        <f t="shared" si="67"/>
        <v>0.15669700910273082</v>
      </c>
      <c r="BH21" s="106">
        <f t="shared" si="67"/>
        <v>0.15411436541143655</v>
      </c>
      <c r="BI21" s="106">
        <f t="shared" si="67"/>
        <v>0.14669421487603307</v>
      </c>
      <c r="BJ21" s="106">
        <f t="shared" si="67"/>
        <v>0.15550755939524838</v>
      </c>
      <c r="BK21" s="106">
        <f t="shared" si="67"/>
        <v>0.1285171102661597</v>
      </c>
      <c r="BL21" s="106">
        <f t="shared" si="67"/>
        <v>0.14111498257839722</v>
      </c>
      <c r="BM21" s="106">
        <f t="shared" si="67"/>
        <v>0.13847364280094415</v>
      </c>
      <c r="BN21" s="106">
        <f t="shared" si="67"/>
        <v>0.16574585635359115</v>
      </c>
      <c r="BO21" s="106">
        <f t="shared" si="67"/>
        <v>0.17995069843878389</v>
      </c>
      <c r="BP21" s="106">
        <f t="shared" si="67"/>
        <v>0</v>
      </c>
      <c r="BQ21" s="106">
        <f t="shared" si="67"/>
        <v>4.1740499107298673E-5</v>
      </c>
      <c r="BR21" s="106">
        <f t="shared" si="67"/>
        <v>6.1322380930767514E-5</v>
      </c>
    </row>
    <row r="22" spans="1:70" x14ac:dyDescent="0.25">
      <c r="A22" s="105" t="s">
        <v>115</v>
      </c>
      <c r="B22" s="104">
        <v>5</v>
      </c>
      <c r="C22" s="103">
        <v>127</v>
      </c>
      <c r="D22" s="102">
        <v>73</v>
      </c>
      <c r="E22" s="102">
        <v>120</v>
      </c>
      <c r="F22" s="102">
        <v>88</v>
      </c>
      <c r="G22" s="102">
        <v>104</v>
      </c>
      <c r="H22" s="102">
        <v>104</v>
      </c>
      <c r="I22" s="102">
        <v>71</v>
      </c>
      <c r="J22" s="102">
        <v>69</v>
      </c>
      <c r="K22" s="102">
        <v>88</v>
      </c>
      <c r="L22" s="102">
        <v>78</v>
      </c>
      <c r="M22" s="102">
        <v>77</v>
      </c>
      <c r="N22" s="102">
        <v>83</v>
      </c>
      <c r="O22" s="102">
        <v>50</v>
      </c>
      <c r="P22" s="102">
        <v>51</v>
      </c>
      <c r="Q22" s="102">
        <v>56</v>
      </c>
      <c r="R22" s="101">
        <v>48</v>
      </c>
      <c r="T22" s="100">
        <f t="shared" si="50"/>
        <v>3.7933094384707287E-2</v>
      </c>
      <c r="U22" s="99">
        <f t="shared" si="51"/>
        <v>2.1642454788022531E-2</v>
      </c>
      <c r="V22" s="99">
        <f t="shared" si="52"/>
        <v>3.6979969183359017E-2</v>
      </c>
      <c r="W22" s="99">
        <f t="shared" si="53"/>
        <v>2.9421598127716483E-2</v>
      </c>
      <c r="X22" s="99">
        <f t="shared" si="54"/>
        <v>3.075103489059728E-2</v>
      </c>
      <c r="Y22" s="99">
        <f t="shared" si="55"/>
        <v>2.8697571743929361E-2</v>
      </c>
      <c r="Z22" s="99">
        <f t="shared" si="56"/>
        <v>1.9303969548667754E-2</v>
      </c>
      <c r="AA22" s="99">
        <f t="shared" si="57"/>
        <v>1.9039735099337748E-2</v>
      </c>
      <c r="AB22" s="99">
        <f t="shared" si="58"/>
        <v>2.5897586815773983E-2</v>
      </c>
      <c r="AC22" s="99">
        <f t="shared" si="59"/>
        <v>2.4390243902439025E-2</v>
      </c>
      <c r="AD22" s="99">
        <f t="shared" si="60"/>
        <v>2.4421186171899777E-2</v>
      </c>
      <c r="AE22" s="99">
        <f t="shared" si="61"/>
        <v>2.7824337914850821E-2</v>
      </c>
      <c r="AF22" s="99">
        <f t="shared" si="62"/>
        <v>1.675041876046901E-2</v>
      </c>
      <c r="AG22" s="99">
        <f t="shared" si="63"/>
        <v>1.6175071360608945E-2</v>
      </c>
      <c r="AH22" s="99">
        <f t="shared" si="64"/>
        <v>1.6152293048745311E-2</v>
      </c>
      <c r="AI22" s="98">
        <f t="shared" si="65"/>
        <v>1.3953488372093023E-2</v>
      </c>
      <c r="AJ22" s="134">
        <f t="shared" si="68"/>
        <v>5</v>
      </c>
      <c r="AK22" s="117">
        <f>G22</f>
        <v>104</v>
      </c>
      <c r="AL22" s="117">
        <f t="shared" ref="AL22:AZ22" si="73">H22</f>
        <v>104</v>
      </c>
      <c r="AM22" s="117">
        <f t="shared" si="73"/>
        <v>71</v>
      </c>
      <c r="AN22" s="117">
        <f t="shared" si="73"/>
        <v>69</v>
      </c>
      <c r="AO22" s="117">
        <f t="shared" si="73"/>
        <v>88</v>
      </c>
      <c r="AP22" s="117">
        <f t="shared" si="73"/>
        <v>78</v>
      </c>
      <c r="AQ22" s="117">
        <f t="shared" si="73"/>
        <v>77</v>
      </c>
      <c r="AR22" s="117">
        <f t="shared" si="73"/>
        <v>83</v>
      </c>
      <c r="AS22" s="117">
        <f t="shared" si="73"/>
        <v>50</v>
      </c>
      <c r="AT22" s="117">
        <f t="shared" si="73"/>
        <v>51</v>
      </c>
      <c r="AU22" s="117">
        <f t="shared" si="73"/>
        <v>56</v>
      </c>
      <c r="AV22" s="117">
        <f t="shared" si="73"/>
        <v>48</v>
      </c>
      <c r="AW22" s="117">
        <f t="shared" si="73"/>
        <v>0</v>
      </c>
      <c r="AX22" s="117">
        <f t="shared" si="73"/>
        <v>3.7933094384707287E-2</v>
      </c>
      <c r="AY22" s="117">
        <f t="shared" si="73"/>
        <v>2.1642454788022531E-2</v>
      </c>
      <c r="AZ22" s="117">
        <f t="shared" si="73"/>
        <v>3.6979969183359017E-2</v>
      </c>
      <c r="BA22" s="117"/>
      <c r="BB22" s="117"/>
      <c r="BC22" s="106">
        <f t="shared" si="70"/>
        <v>7.957153787299158E-2</v>
      </c>
      <c r="BD22" s="106">
        <f t="shared" si="67"/>
        <v>8.666666666666667E-2</v>
      </c>
      <c r="BE22" s="106">
        <f t="shared" si="67"/>
        <v>6.1206896551724135E-2</v>
      </c>
      <c r="BF22" s="106">
        <f t="shared" si="67"/>
        <v>6.2727272727272729E-2</v>
      </c>
      <c r="BG22" s="106">
        <f t="shared" si="67"/>
        <v>5.7217165149544863E-2</v>
      </c>
      <c r="BH22" s="106">
        <f t="shared" si="67"/>
        <v>5.4393305439330547E-2</v>
      </c>
      <c r="BI22" s="106">
        <f t="shared" si="67"/>
        <v>5.3030303030303032E-2</v>
      </c>
      <c r="BJ22" s="106">
        <f t="shared" si="67"/>
        <v>5.9755219582433405E-2</v>
      </c>
      <c r="BK22" s="106">
        <f t="shared" si="67"/>
        <v>3.8022813688212927E-2</v>
      </c>
      <c r="BL22" s="106">
        <f t="shared" si="67"/>
        <v>4.442508710801394E-2</v>
      </c>
      <c r="BM22" s="106">
        <f t="shared" si="67"/>
        <v>4.4059795436664044E-2</v>
      </c>
      <c r="BN22" s="106">
        <f t="shared" si="67"/>
        <v>4.4198895027624308E-2</v>
      </c>
      <c r="BO22" s="106">
        <f t="shared" si="67"/>
        <v>0</v>
      </c>
      <c r="BP22" s="106">
        <f t="shared" si="67"/>
        <v>2.8308279391572602E-5</v>
      </c>
      <c r="BQ22" s="106">
        <f t="shared" si="67"/>
        <v>1.5198353081476497E-5</v>
      </c>
      <c r="BR22" s="106">
        <f t="shared" si="67"/>
        <v>3.0113981419673466E-5</v>
      </c>
    </row>
    <row r="23" spans="1:70" x14ac:dyDescent="0.25">
      <c r="A23" s="105" t="s">
        <v>115</v>
      </c>
      <c r="B23" s="104">
        <v>6</v>
      </c>
      <c r="C23" s="103">
        <v>87</v>
      </c>
      <c r="D23" s="102">
        <v>57</v>
      </c>
      <c r="E23" s="102">
        <v>35</v>
      </c>
      <c r="F23" s="102">
        <v>39</v>
      </c>
      <c r="G23" s="102">
        <v>44</v>
      </c>
      <c r="H23" s="102">
        <v>47</v>
      </c>
      <c r="I23" s="102">
        <v>49</v>
      </c>
      <c r="J23" s="102">
        <v>40</v>
      </c>
      <c r="K23" s="102">
        <v>21</v>
      </c>
      <c r="L23" s="102">
        <v>44</v>
      </c>
      <c r="M23" s="102">
        <v>29</v>
      </c>
      <c r="N23" s="102">
        <v>40</v>
      </c>
      <c r="O23" s="102">
        <v>37</v>
      </c>
      <c r="P23" s="102">
        <v>23</v>
      </c>
      <c r="Q23" s="102">
        <v>17</v>
      </c>
      <c r="R23" s="101">
        <v>26</v>
      </c>
      <c r="T23" s="100">
        <f t="shared" si="50"/>
        <v>2.5985663082437275E-2</v>
      </c>
      <c r="U23" s="99">
        <f t="shared" si="51"/>
        <v>1.6898903053661429E-2</v>
      </c>
      <c r="V23" s="99">
        <f t="shared" si="52"/>
        <v>1.078582434514638E-2</v>
      </c>
      <c r="W23" s="99">
        <f t="shared" si="53"/>
        <v>1.3039117352056168E-2</v>
      </c>
      <c r="X23" s="99">
        <f t="shared" si="54"/>
        <v>1.3010053222945003E-2</v>
      </c>
      <c r="Y23" s="99">
        <f t="shared" si="55"/>
        <v>1.2969094922737307E-2</v>
      </c>
      <c r="Z23" s="99">
        <f t="shared" si="56"/>
        <v>1.3322457857531268E-2</v>
      </c>
      <c r="AA23" s="99">
        <f t="shared" si="57"/>
        <v>1.1037527593818985E-2</v>
      </c>
      <c r="AB23" s="99">
        <f t="shared" si="58"/>
        <v>6.1801059446733369E-3</v>
      </c>
      <c r="AC23" s="99">
        <f t="shared" si="59"/>
        <v>1.3758599124452783E-2</v>
      </c>
      <c r="AD23" s="99">
        <f t="shared" si="60"/>
        <v>9.197589597209007E-3</v>
      </c>
      <c r="AE23" s="99">
        <f t="shared" si="61"/>
        <v>1.340931947703654E-2</v>
      </c>
      <c r="AF23" s="99">
        <f t="shared" si="62"/>
        <v>1.2395309882747068E-2</v>
      </c>
      <c r="AG23" s="99">
        <f t="shared" si="63"/>
        <v>7.2946400253726612E-3</v>
      </c>
      <c r="AH23" s="99">
        <f t="shared" si="64"/>
        <v>4.9033746755119704E-3</v>
      </c>
      <c r="AI23" s="98">
        <f t="shared" si="65"/>
        <v>7.5581395348837208E-3</v>
      </c>
      <c r="AJ23" s="134">
        <f t="shared" si="68"/>
        <v>6</v>
      </c>
      <c r="AK23" s="117">
        <f>H23</f>
        <v>47</v>
      </c>
      <c r="AL23" s="117">
        <f t="shared" ref="AL23:AZ23" si="74">I23</f>
        <v>49</v>
      </c>
      <c r="AM23" s="117">
        <f t="shared" si="74"/>
        <v>40</v>
      </c>
      <c r="AN23" s="117">
        <f t="shared" si="74"/>
        <v>21</v>
      </c>
      <c r="AO23" s="117">
        <f t="shared" si="74"/>
        <v>44</v>
      </c>
      <c r="AP23" s="117">
        <f t="shared" si="74"/>
        <v>29</v>
      </c>
      <c r="AQ23" s="117">
        <f t="shared" si="74"/>
        <v>40</v>
      </c>
      <c r="AR23" s="117">
        <f t="shared" si="74"/>
        <v>37</v>
      </c>
      <c r="AS23" s="117">
        <f t="shared" si="74"/>
        <v>23</v>
      </c>
      <c r="AT23" s="117">
        <f t="shared" si="74"/>
        <v>17</v>
      </c>
      <c r="AU23" s="117">
        <f t="shared" si="74"/>
        <v>26</v>
      </c>
      <c r="AV23" s="117">
        <f t="shared" si="74"/>
        <v>0</v>
      </c>
      <c r="AW23" s="117">
        <f t="shared" si="74"/>
        <v>2.5985663082437275E-2</v>
      </c>
      <c r="AX23" s="117">
        <f t="shared" si="74"/>
        <v>1.6898903053661429E-2</v>
      </c>
      <c r="AY23" s="117">
        <f t="shared" si="74"/>
        <v>1.078582434514638E-2</v>
      </c>
      <c r="AZ23" s="117">
        <f t="shared" si="74"/>
        <v>1.3039117352056168E-2</v>
      </c>
      <c r="BA23" s="117"/>
      <c r="BB23" s="117"/>
      <c r="BC23" s="106">
        <f t="shared" si="70"/>
        <v>3.5960214231063506E-2</v>
      </c>
      <c r="BD23" s="106">
        <f t="shared" si="67"/>
        <v>4.0833333333333333E-2</v>
      </c>
      <c r="BE23" s="106">
        <f t="shared" si="67"/>
        <v>3.4482758620689655E-2</v>
      </c>
      <c r="BF23" s="106">
        <f t="shared" si="67"/>
        <v>1.9090909090909092E-2</v>
      </c>
      <c r="BG23" s="106">
        <f t="shared" si="67"/>
        <v>2.8608582574772431E-2</v>
      </c>
      <c r="BH23" s="106">
        <f t="shared" si="67"/>
        <v>2.0223152022315203E-2</v>
      </c>
      <c r="BI23" s="106">
        <f t="shared" si="67"/>
        <v>2.7548209366391185E-2</v>
      </c>
      <c r="BJ23" s="106">
        <f t="shared" si="67"/>
        <v>2.663786897048236E-2</v>
      </c>
      <c r="BK23" s="106">
        <f t="shared" si="67"/>
        <v>1.7490494296577948E-2</v>
      </c>
      <c r="BL23" s="106">
        <f t="shared" si="67"/>
        <v>1.4808362369337979E-2</v>
      </c>
      <c r="BM23" s="106">
        <f t="shared" si="67"/>
        <v>2.0456333595594022E-2</v>
      </c>
      <c r="BN23" s="106">
        <f t="shared" si="67"/>
        <v>0</v>
      </c>
      <c r="BO23" s="106">
        <f t="shared" si="67"/>
        <v>2.135222931999776E-5</v>
      </c>
      <c r="BP23" s="106">
        <f t="shared" si="67"/>
        <v>1.2611121681836887E-5</v>
      </c>
      <c r="BQ23" s="106">
        <f t="shared" si="67"/>
        <v>7.5743148491196489E-6</v>
      </c>
      <c r="BR23" s="106">
        <f t="shared" si="67"/>
        <v>1.061817373945942E-5</v>
      </c>
    </row>
    <row r="24" spans="1:70" x14ac:dyDescent="0.25">
      <c r="A24" s="105" t="s">
        <v>115</v>
      </c>
      <c r="B24" s="104">
        <v>7</v>
      </c>
      <c r="C24" s="103">
        <v>33</v>
      </c>
      <c r="D24" s="102">
        <v>43</v>
      </c>
      <c r="E24" s="102">
        <v>24</v>
      </c>
      <c r="F24" s="102">
        <v>23</v>
      </c>
      <c r="G24" s="102">
        <v>25</v>
      </c>
      <c r="H24" s="102">
        <v>29</v>
      </c>
      <c r="I24" s="102">
        <v>21</v>
      </c>
      <c r="J24" s="102">
        <v>21</v>
      </c>
      <c r="K24" s="102">
        <v>33</v>
      </c>
      <c r="L24" s="102">
        <v>10</v>
      </c>
      <c r="M24" s="102">
        <v>19</v>
      </c>
      <c r="N24" s="102">
        <v>13</v>
      </c>
      <c r="O24" s="102">
        <v>17</v>
      </c>
      <c r="P24" s="102">
        <v>9</v>
      </c>
      <c r="Q24" s="102">
        <v>8</v>
      </c>
      <c r="R24" s="101">
        <v>12</v>
      </c>
      <c r="T24" s="100">
        <f t="shared" si="50"/>
        <v>9.8566308243727592E-3</v>
      </c>
      <c r="U24" s="99">
        <f t="shared" si="51"/>
        <v>1.2748295286095465E-2</v>
      </c>
      <c r="V24" s="99">
        <f t="shared" si="52"/>
        <v>7.395993836671803E-3</v>
      </c>
      <c r="W24" s="99">
        <f t="shared" si="53"/>
        <v>7.6897358742895354E-3</v>
      </c>
      <c r="X24" s="99">
        <f t="shared" si="54"/>
        <v>7.392075694855115E-3</v>
      </c>
      <c r="Y24" s="99">
        <f t="shared" si="55"/>
        <v>8.002207505518763E-3</v>
      </c>
      <c r="Z24" s="99">
        <f t="shared" si="56"/>
        <v>5.7096247960848291E-3</v>
      </c>
      <c r="AA24" s="99">
        <f t="shared" si="57"/>
        <v>5.794701986754967E-3</v>
      </c>
      <c r="AB24" s="99">
        <f t="shared" si="58"/>
        <v>9.7115950559152446E-3</v>
      </c>
      <c r="AC24" s="99">
        <f t="shared" si="59"/>
        <v>3.1269543464665416E-3</v>
      </c>
      <c r="AD24" s="99">
        <f t="shared" si="60"/>
        <v>6.0260069774817635E-3</v>
      </c>
      <c r="AE24" s="99">
        <f t="shared" si="61"/>
        <v>4.3580288300368759E-3</v>
      </c>
      <c r="AF24" s="99">
        <f t="shared" si="62"/>
        <v>5.6951423785594644E-3</v>
      </c>
      <c r="AG24" s="99">
        <f t="shared" si="63"/>
        <v>2.8544243577545195E-3</v>
      </c>
      <c r="AH24" s="99">
        <f t="shared" si="64"/>
        <v>2.3074704355350445E-3</v>
      </c>
      <c r="AI24" s="98">
        <f t="shared" si="65"/>
        <v>3.4883720930232558E-3</v>
      </c>
      <c r="AJ24" s="134">
        <f t="shared" si="68"/>
        <v>7</v>
      </c>
      <c r="AK24" s="117">
        <f>I24</f>
        <v>21</v>
      </c>
      <c r="AL24" s="117">
        <f t="shared" ref="AL24:AZ24" si="75">J24</f>
        <v>21</v>
      </c>
      <c r="AM24" s="117">
        <f t="shared" si="75"/>
        <v>33</v>
      </c>
      <c r="AN24" s="117">
        <f t="shared" si="75"/>
        <v>10</v>
      </c>
      <c r="AO24" s="117">
        <f t="shared" si="75"/>
        <v>19</v>
      </c>
      <c r="AP24" s="117">
        <f t="shared" si="75"/>
        <v>13</v>
      </c>
      <c r="AQ24" s="117">
        <f t="shared" si="75"/>
        <v>17</v>
      </c>
      <c r="AR24" s="117">
        <f t="shared" si="75"/>
        <v>9</v>
      </c>
      <c r="AS24" s="117">
        <f t="shared" si="75"/>
        <v>8</v>
      </c>
      <c r="AT24" s="117">
        <f t="shared" si="75"/>
        <v>12</v>
      </c>
      <c r="AU24" s="117">
        <f t="shared" si="75"/>
        <v>0</v>
      </c>
      <c r="AV24" s="117">
        <f t="shared" si="75"/>
        <v>9.8566308243727592E-3</v>
      </c>
      <c r="AW24" s="117">
        <f t="shared" si="75"/>
        <v>1.2748295286095465E-2</v>
      </c>
      <c r="AX24" s="117">
        <f t="shared" si="75"/>
        <v>7.395993836671803E-3</v>
      </c>
      <c r="AY24" s="117">
        <f t="shared" si="75"/>
        <v>7.6897358742895354E-3</v>
      </c>
      <c r="AZ24" s="117">
        <f t="shared" si="75"/>
        <v>7.392075694855115E-3</v>
      </c>
      <c r="BA24" s="117"/>
      <c r="BB24" s="117"/>
      <c r="BC24" s="106">
        <f t="shared" si="70"/>
        <v>1.6067329762815608E-2</v>
      </c>
      <c r="BD24" s="106">
        <f t="shared" si="67"/>
        <v>1.7500000000000002E-2</v>
      </c>
      <c r="BE24" s="106">
        <f t="shared" si="67"/>
        <v>2.8448275862068967E-2</v>
      </c>
      <c r="BF24" s="106">
        <f t="shared" si="67"/>
        <v>9.0909090909090905E-3</v>
      </c>
      <c r="BG24" s="106">
        <f t="shared" si="67"/>
        <v>1.235370611183355E-2</v>
      </c>
      <c r="BH24" s="106">
        <f t="shared" si="67"/>
        <v>9.06555090655509E-3</v>
      </c>
      <c r="BI24" s="106">
        <f t="shared" si="67"/>
        <v>1.1707988980716254E-2</v>
      </c>
      <c r="BJ24" s="106">
        <f t="shared" si="67"/>
        <v>6.4794816414686825E-3</v>
      </c>
      <c r="BK24" s="106">
        <f t="shared" si="67"/>
        <v>6.0836501901140681E-3</v>
      </c>
      <c r="BL24" s="106">
        <f t="shared" si="67"/>
        <v>1.0452961672473868E-2</v>
      </c>
      <c r="BM24" s="106">
        <f t="shared" si="67"/>
        <v>0</v>
      </c>
      <c r="BN24" s="106">
        <f t="shared" si="67"/>
        <v>9.0760873152603678E-6</v>
      </c>
      <c r="BO24" s="106">
        <f t="shared" si="67"/>
        <v>1.0475181007473677E-5</v>
      </c>
      <c r="BP24" s="106">
        <f t="shared" si="67"/>
        <v>5.5193983855759727E-6</v>
      </c>
      <c r="BQ24" s="106">
        <f t="shared" si="67"/>
        <v>5.4000954173381567E-6</v>
      </c>
      <c r="BR24" s="106">
        <f t="shared" si="67"/>
        <v>6.0196056147028622E-6</v>
      </c>
    </row>
    <row r="25" spans="1:70" x14ac:dyDescent="0.25">
      <c r="A25" s="105" t="s">
        <v>115</v>
      </c>
      <c r="B25" s="104">
        <v>8</v>
      </c>
      <c r="C25" s="103">
        <v>13</v>
      </c>
      <c r="D25" s="102">
        <v>22</v>
      </c>
      <c r="E25" s="102">
        <v>22</v>
      </c>
      <c r="F25" s="102">
        <v>12</v>
      </c>
      <c r="G25" s="102">
        <v>18</v>
      </c>
      <c r="H25" s="102">
        <v>15</v>
      </c>
      <c r="I25" s="102">
        <v>11</v>
      </c>
      <c r="J25" s="102">
        <v>12</v>
      </c>
      <c r="K25" s="102">
        <v>8</v>
      </c>
      <c r="L25" s="102">
        <v>11</v>
      </c>
      <c r="M25" s="102">
        <v>9</v>
      </c>
      <c r="N25" s="102">
        <v>13</v>
      </c>
      <c r="O25" s="102">
        <v>9</v>
      </c>
      <c r="P25" s="102">
        <v>6</v>
      </c>
      <c r="Q25" s="102">
        <v>7</v>
      </c>
      <c r="R25" s="101">
        <v>6</v>
      </c>
      <c r="T25" s="100">
        <f t="shared" si="50"/>
        <v>3.8829151732377538E-3</v>
      </c>
      <c r="U25" s="99">
        <f t="shared" si="51"/>
        <v>6.5223836347465163E-3</v>
      </c>
      <c r="V25" s="99">
        <f t="shared" si="52"/>
        <v>6.7796610169491523E-3</v>
      </c>
      <c r="W25" s="99">
        <f t="shared" si="53"/>
        <v>4.0120361083249749E-3</v>
      </c>
      <c r="X25" s="99">
        <f t="shared" si="54"/>
        <v>5.3222945002956833E-3</v>
      </c>
      <c r="Y25" s="99">
        <f t="shared" si="55"/>
        <v>4.1390728476821195E-3</v>
      </c>
      <c r="Z25" s="99">
        <f t="shared" si="56"/>
        <v>2.9907558455682438E-3</v>
      </c>
      <c r="AA25" s="99">
        <f t="shared" si="57"/>
        <v>3.3112582781456954E-3</v>
      </c>
      <c r="AB25" s="99">
        <f t="shared" si="58"/>
        <v>2.3543260741612712E-3</v>
      </c>
      <c r="AC25" s="99">
        <f t="shared" si="59"/>
        <v>3.4396497811131957E-3</v>
      </c>
      <c r="AD25" s="99">
        <f t="shared" si="60"/>
        <v>2.8544243577545195E-3</v>
      </c>
      <c r="AE25" s="99">
        <f t="shared" si="61"/>
        <v>4.3580288300368759E-3</v>
      </c>
      <c r="AF25" s="99">
        <f t="shared" si="62"/>
        <v>3.015075376884422E-3</v>
      </c>
      <c r="AG25" s="99">
        <f t="shared" si="63"/>
        <v>1.9029495718363464E-3</v>
      </c>
      <c r="AH25" s="99">
        <f t="shared" si="64"/>
        <v>2.0190366310931639E-3</v>
      </c>
      <c r="AI25" s="98">
        <f t="shared" si="65"/>
        <v>1.7441860465116279E-3</v>
      </c>
      <c r="AJ25" s="134">
        <f t="shared" si="68"/>
        <v>8</v>
      </c>
      <c r="AK25" s="117">
        <f>J25</f>
        <v>12</v>
      </c>
      <c r="AL25" s="117">
        <f t="shared" ref="AL25:AZ25" si="76">K25</f>
        <v>8</v>
      </c>
      <c r="AM25" s="117">
        <f t="shared" si="76"/>
        <v>11</v>
      </c>
      <c r="AN25" s="117">
        <f t="shared" si="76"/>
        <v>9</v>
      </c>
      <c r="AO25" s="117">
        <f t="shared" si="76"/>
        <v>13</v>
      </c>
      <c r="AP25" s="117">
        <f t="shared" si="76"/>
        <v>9</v>
      </c>
      <c r="AQ25" s="117">
        <f t="shared" si="76"/>
        <v>6</v>
      </c>
      <c r="AR25" s="117">
        <f t="shared" si="76"/>
        <v>7</v>
      </c>
      <c r="AS25" s="117">
        <f t="shared" si="76"/>
        <v>6</v>
      </c>
      <c r="AT25" s="117">
        <f t="shared" si="76"/>
        <v>0</v>
      </c>
      <c r="AU25" s="117">
        <f t="shared" si="76"/>
        <v>3.8829151732377538E-3</v>
      </c>
      <c r="AV25" s="117">
        <f t="shared" si="76"/>
        <v>6.5223836347465163E-3</v>
      </c>
      <c r="AW25" s="117">
        <f t="shared" si="76"/>
        <v>6.7796610169491523E-3</v>
      </c>
      <c r="AX25" s="117">
        <f t="shared" si="76"/>
        <v>4.0120361083249749E-3</v>
      </c>
      <c r="AY25" s="117">
        <f t="shared" si="76"/>
        <v>5.3222945002956833E-3</v>
      </c>
      <c r="AZ25" s="117">
        <f t="shared" si="76"/>
        <v>4.1390728476821195E-3</v>
      </c>
      <c r="BA25" s="117"/>
      <c r="BB25" s="117"/>
      <c r="BC25" s="106">
        <f t="shared" si="70"/>
        <v>9.181331293037491E-3</v>
      </c>
      <c r="BD25" s="106">
        <f t="shared" si="67"/>
        <v>6.6666666666666671E-3</v>
      </c>
      <c r="BE25" s="106">
        <f t="shared" si="67"/>
        <v>9.482758620689655E-3</v>
      </c>
      <c r="BF25" s="106">
        <f t="shared" si="67"/>
        <v>8.1818181818181825E-3</v>
      </c>
      <c r="BG25" s="106">
        <f t="shared" si="67"/>
        <v>8.4525357607282189E-3</v>
      </c>
      <c r="BH25" s="106">
        <f t="shared" si="67"/>
        <v>6.2761506276150627E-3</v>
      </c>
      <c r="BI25" s="106">
        <f t="shared" si="67"/>
        <v>4.1322314049586778E-3</v>
      </c>
      <c r="BJ25" s="106">
        <f t="shared" si="67"/>
        <v>5.0395968322534193E-3</v>
      </c>
      <c r="BK25" s="106">
        <f t="shared" si="67"/>
        <v>4.5627376425855515E-3</v>
      </c>
      <c r="BL25" s="106">
        <f t="shared" si="67"/>
        <v>0</v>
      </c>
      <c r="BM25" s="106">
        <f t="shared" si="67"/>
        <v>3.0550080041209709E-6</v>
      </c>
      <c r="BN25" s="106">
        <f t="shared" si="67"/>
        <v>6.0058781167094996E-6</v>
      </c>
      <c r="BO25" s="106">
        <f t="shared" si="67"/>
        <v>5.5707978775260082E-6</v>
      </c>
      <c r="BP25" s="106">
        <f t="shared" si="67"/>
        <v>2.994056797257444E-6</v>
      </c>
      <c r="BQ25" s="106">
        <f t="shared" si="67"/>
        <v>3.7375663625671933E-6</v>
      </c>
      <c r="BR25" s="106">
        <f t="shared" si="67"/>
        <v>3.3705804948551464E-6</v>
      </c>
    </row>
    <row r="26" spans="1:70" x14ac:dyDescent="0.25">
      <c r="A26" s="105" t="s">
        <v>115</v>
      </c>
      <c r="B26" s="104">
        <v>9</v>
      </c>
      <c r="C26" s="103">
        <v>7</v>
      </c>
      <c r="D26" s="102">
        <v>9</v>
      </c>
      <c r="E26" s="102">
        <v>11</v>
      </c>
      <c r="F26" s="102">
        <v>15</v>
      </c>
      <c r="G26" s="102">
        <v>6</v>
      </c>
      <c r="H26" s="102">
        <v>6</v>
      </c>
      <c r="I26" s="102">
        <v>9</v>
      </c>
      <c r="J26" s="102">
        <v>7</v>
      </c>
      <c r="K26" s="102">
        <v>11</v>
      </c>
      <c r="L26" s="102">
        <v>7</v>
      </c>
      <c r="M26" s="102">
        <v>8</v>
      </c>
      <c r="N26" s="102">
        <v>3</v>
      </c>
      <c r="O26" s="102">
        <v>9</v>
      </c>
      <c r="P26" s="102">
        <v>7</v>
      </c>
      <c r="Q26" s="102">
        <v>5</v>
      </c>
      <c r="R26" s="101">
        <v>5</v>
      </c>
      <c r="T26" s="100">
        <f t="shared" si="50"/>
        <v>2.090800477897252E-3</v>
      </c>
      <c r="U26" s="99">
        <f t="shared" si="51"/>
        <v>2.6682478505781204E-3</v>
      </c>
      <c r="V26" s="99">
        <f t="shared" si="52"/>
        <v>3.3898305084745762E-3</v>
      </c>
      <c r="W26" s="99">
        <f t="shared" si="53"/>
        <v>5.0150451354062184E-3</v>
      </c>
      <c r="X26" s="99">
        <f t="shared" si="54"/>
        <v>1.7740981667652277E-3</v>
      </c>
      <c r="Y26" s="99">
        <f t="shared" si="55"/>
        <v>1.6556291390728477E-3</v>
      </c>
      <c r="Z26" s="99">
        <f t="shared" si="56"/>
        <v>2.4469820554649264E-3</v>
      </c>
      <c r="AA26" s="99">
        <f t="shared" si="57"/>
        <v>1.9315673289183224E-3</v>
      </c>
      <c r="AB26" s="99">
        <f t="shared" si="58"/>
        <v>3.2371983519717479E-3</v>
      </c>
      <c r="AC26" s="99">
        <f t="shared" si="59"/>
        <v>2.1888680425265791E-3</v>
      </c>
      <c r="AD26" s="99">
        <f t="shared" si="60"/>
        <v>2.5372660957817951E-3</v>
      </c>
      <c r="AE26" s="99">
        <f t="shared" si="61"/>
        <v>1.0056989607777405E-3</v>
      </c>
      <c r="AF26" s="99">
        <f t="shared" si="62"/>
        <v>3.015075376884422E-3</v>
      </c>
      <c r="AG26" s="99">
        <f t="shared" si="63"/>
        <v>2.2201078338090706E-3</v>
      </c>
      <c r="AH26" s="99">
        <f t="shared" si="64"/>
        <v>1.442169022209403E-3</v>
      </c>
      <c r="AI26" s="98">
        <f t="shared" si="65"/>
        <v>1.4534883720930232E-3</v>
      </c>
      <c r="AJ26" s="134">
        <f t="shared" si="68"/>
        <v>9</v>
      </c>
      <c r="AK26" s="117">
        <f>K26</f>
        <v>11</v>
      </c>
      <c r="AL26" s="117">
        <f t="shared" ref="AL26:AZ26" si="77">L26</f>
        <v>7</v>
      </c>
      <c r="AM26" s="117">
        <f t="shared" si="77"/>
        <v>8</v>
      </c>
      <c r="AN26" s="117">
        <f t="shared" si="77"/>
        <v>3</v>
      </c>
      <c r="AO26" s="117">
        <f t="shared" si="77"/>
        <v>9</v>
      </c>
      <c r="AP26" s="117">
        <f t="shared" si="77"/>
        <v>7</v>
      </c>
      <c r="AQ26" s="117">
        <f t="shared" si="77"/>
        <v>5</v>
      </c>
      <c r="AR26" s="117">
        <f t="shared" si="77"/>
        <v>5</v>
      </c>
      <c r="AS26" s="117">
        <f t="shared" si="77"/>
        <v>0</v>
      </c>
      <c r="AT26" s="117">
        <f t="shared" si="77"/>
        <v>2.090800477897252E-3</v>
      </c>
      <c r="AU26" s="117">
        <f t="shared" si="77"/>
        <v>2.6682478505781204E-3</v>
      </c>
      <c r="AV26" s="117">
        <f t="shared" si="77"/>
        <v>3.3898305084745762E-3</v>
      </c>
      <c r="AW26" s="117">
        <f t="shared" si="77"/>
        <v>5.0150451354062184E-3</v>
      </c>
      <c r="AX26" s="117">
        <f t="shared" si="77"/>
        <v>1.7740981667652277E-3</v>
      </c>
      <c r="AY26" s="117">
        <f t="shared" si="77"/>
        <v>1.6556291390728477E-3</v>
      </c>
      <c r="AZ26" s="117">
        <f t="shared" si="77"/>
        <v>2.4469820554649264E-3</v>
      </c>
      <c r="BA26" s="117"/>
      <c r="BB26" s="117"/>
      <c r="BC26" s="106">
        <f t="shared" si="70"/>
        <v>8.4162203519510329E-3</v>
      </c>
      <c r="BD26" s="106">
        <f t="shared" si="67"/>
        <v>5.8333333333333336E-3</v>
      </c>
      <c r="BE26" s="106">
        <f t="shared" si="67"/>
        <v>6.8965517241379309E-3</v>
      </c>
      <c r="BF26" s="106">
        <f t="shared" si="67"/>
        <v>2.7272727272727275E-3</v>
      </c>
      <c r="BG26" s="106">
        <f t="shared" si="67"/>
        <v>5.8517555266579977E-3</v>
      </c>
      <c r="BH26" s="106">
        <f t="shared" si="67"/>
        <v>4.8814504881450485E-3</v>
      </c>
      <c r="BI26" s="106">
        <f t="shared" si="67"/>
        <v>3.4435261707988982E-3</v>
      </c>
      <c r="BJ26" s="106">
        <f t="shared" si="67"/>
        <v>3.599712023038157E-3</v>
      </c>
      <c r="BK26" s="106">
        <f t="shared" si="67"/>
        <v>0</v>
      </c>
      <c r="BL26" s="106">
        <f t="shared" si="67"/>
        <v>1.8212547716875017E-6</v>
      </c>
      <c r="BM26" s="106">
        <f t="shared" si="67"/>
        <v>2.0993295441212591E-6</v>
      </c>
      <c r="BN26" s="106">
        <f t="shared" si="67"/>
        <v>3.1213908917813777E-6</v>
      </c>
      <c r="BO26" s="106">
        <f t="shared" si="67"/>
        <v>4.1208259124126689E-6</v>
      </c>
      <c r="BP26" s="106">
        <f t="shared" si="67"/>
        <v>1.3239538557949461E-6</v>
      </c>
      <c r="BQ26" s="106">
        <f t="shared" si="67"/>
        <v>1.1626609122702581E-6</v>
      </c>
      <c r="BR26" s="106">
        <f t="shared" si="67"/>
        <v>1.9926563969584091E-6</v>
      </c>
    </row>
    <row r="27" spans="1:70" x14ac:dyDescent="0.25">
      <c r="A27" s="105" t="s">
        <v>115</v>
      </c>
      <c r="B27" s="104">
        <v>10</v>
      </c>
      <c r="C27" s="103">
        <v>15</v>
      </c>
      <c r="D27" s="102">
        <v>9</v>
      </c>
      <c r="E27" s="102">
        <v>8</v>
      </c>
      <c r="F27" s="102">
        <v>9</v>
      </c>
      <c r="G27" s="102">
        <v>12</v>
      </c>
      <c r="H27" s="102">
        <v>8</v>
      </c>
      <c r="I27" s="102">
        <v>4</v>
      </c>
      <c r="J27" s="102">
        <v>8</v>
      </c>
      <c r="K27" s="102">
        <v>5</v>
      </c>
      <c r="L27" s="102">
        <v>6</v>
      </c>
      <c r="M27" s="102">
        <v>5</v>
      </c>
      <c r="N27" s="102">
        <v>1</v>
      </c>
      <c r="O27" s="102">
        <v>4</v>
      </c>
      <c r="P27" s="102">
        <v>4</v>
      </c>
      <c r="Q27" s="102">
        <v>6</v>
      </c>
      <c r="R27" s="101">
        <v>5</v>
      </c>
      <c r="T27" s="100">
        <f t="shared" si="50"/>
        <v>4.4802867383512543E-3</v>
      </c>
      <c r="U27" s="99">
        <f t="shared" si="51"/>
        <v>2.6682478505781204E-3</v>
      </c>
      <c r="V27" s="99">
        <f t="shared" si="52"/>
        <v>2.465331278890601E-3</v>
      </c>
      <c r="W27" s="99">
        <f t="shared" si="53"/>
        <v>3.009027081243731E-3</v>
      </c>
      <c r="X27" s="99">
        <f t="shared" si="54"/>
        <v>3.5481963335304554E-3</v>
      </c>
      <c r="Y27" s="99">
        <f t="shared" si="55"/>
        <v>2.2075055187637969E-3</v>
      </c>
      <c r="Z27" s="99">
        <f t="shared" si="56"/>
        <v>1.0875475802066339E-3</v>
      </c>
      <c r="AA27" s="99">
        <f t="shared" si="57"/>
        <v>2.2075055187637969E-3</v>
      </c>
      <c r="AB27" s="99">
        <f t="shared" si="58"/>
        <v>1.4714537963507945E-3</v>
      </c>
      <c r="AC27" s="99">
        <f t="shared" si="59"/>
        <v>1.876172607879925E-3</v>
      </c>
      <c r="AD27" s="99">
        <f t="shared" si="60"/>
        <v>1.585791309863622E-3</v>
      </c>
      <c r="AE27" s="99">
        <f t="shared" si="61"/>
        <v>3.3523298692591353E-4</v>
      </c>
      <c r="AF27" s="99">
        <f t="shared" si="62"/>
        <v>1.340033500837521E-3</v>
      </c>
      <c r="AG27" s="99">
        <f t="shared" si="63"/>
        <v>1.2686330478908975E-3</v>
      </c>
      <c r="AH27" s="99">
        <f t="shared" si="64"/>
        <v>1.7306028266512836E-3</v>
      </c>
      <c r="AI27" s="98">
        <f t="shared" si="65"/>
        <v>1.4534883720930232E-3</v>
      </c>
      <c r="AJ27" s="134">
        <f t="shared" si="68"/>
        <v>10</v>
      </c>
      <c r="AK27" s="120">
        <f>L27</f>
        <v>6</v>
      </c>
      <c r="AL27" s="120">
        <f t="shared" ref="AL27:AZ27" si="78">M27</f>
        <v>5</v>
      </c>
      <c r="AM27" s="120">
        <f t="shared" si="78"/>
        <v>1</v>
      </c>
      <c r="AN27" s="120">
        <f t="shared" si="78"/>
        <v>4</v>
      </c>
      <c r="AO27" s="120">
        <f t="shared" si="78"/>
        <v>4</v>
      </c>
      <c r="AP27" s="120">
        <f t="shared" si="78"/>
        <v>6</v>
      </c>
      <c r="AQ27" s="120">
        <f t="shared" si="78"/>
        <v>5</v>
      </c>
      <c r="AR27" s="120">
        <f t="shared" si="78"/>
        <v>0</v>
      </c>
      <c r="AS27" s="120">
        <f t="shared" si="78"/>
        <v>4.4802867383512543E-3</v>
      </c>
      <c r="AT27" s="120">
        <f t="shared" si="78"/>
        <v>2.6682478505781204E-3</v>
      </c>
      <c r="AU27" s="120">
        <f t="shared" si="78"/>
        <v>2.465331278890601E-3</v>
      </c>
      <c r="AV27" s="120">
        <f t="shared" si="78"/>
        <v>3.009027081243731E-3</v>
      </c>
      <c r="AW27" s="120">
        <f t="shared" si="78"/>
        <v>3.5481963335304554E-3</v>
      </c>
      <c r="AX27" s="120">
        <f t="shared" si="78"/>
        <v>2.2075055187637969E-3</v>
      </c>
      <c r="AY27" s="120">
        <f t="shared" si="78"/>
        <v>1.0875475802066339E-3</v>
      </c>
      <c r="AZ27" s="120">
        <f t="shared" si="78"/>
        <v>2.2075055187637969E-3</v>
      </c>
      <c r="BA27" s="120"/>
      <c r="BB27" s="120"/>
      <c r="BC27" s="106">
        <f t="shared" si="70"/>
        <v>4.5906656465187455E-3</v>
      </c>
      <c r="BD27" s="106">
        <f t="shared" si="67"/>
        <v>4.1666666666666666E-3</v>
      </c>
      <c r="BE27" s="106">
        <f t="shared" si="67"/>
        <v>8.6206896551724137E-4</v>
      </c>
      <c r="BF27" s="106">
        <f t="shared" si="67"/>
        <v>3.6363636363636364E-3</v>
      </c>
      <c r="BG27" s="106">
        <f t="shared" si="67"/>
        <v>2.6007802340702211E-3</v>
      </c>
      <c r="BH27" s="106">
        <f t="shared" si="67"/>
        <v>4.1841004184100415E-3</v>
      </c>
      <c r="BI27" s="106">
        <f t="shared" si="67"/>
        <v>3.4435261707988982E-3</v>
      </c>
      <c r="BJ27" s="106">
        <f t="shared" si="67"/>
        <v>0</v>
      </c>
      <c r="BK27" s="106">
        <f t="shared" si="67"/>
        <v>3.4070621584420183E-6</v>
      </c>
      <c r="BL27" s="106">
        <f t="shared" si="67"/>
        <v>2.3242577095628226E-6</v>
      </c>
      <c r="BM27" s="106">
        <f t="shared" si="67"/>
        <v>1.9396784255630222E-6</v>
      </c>
      <c r="BN27" s="106">
        <f t="shared" si="67"/>
        <v>2.7707431687327173E-6</v>
      </c>
      <c r="BO27" s="106">
        <f t="shared" si="67"/>
        <v>2.9155269790718614E-6</v>
      </c>
      <c r="BP27" s="106">
        <f t="shared" si="67"/>
        <v>1.6473921781819379E-6</v>
      </c>
      <c r="BQ27" s="106">
        <f t="shared" si="67"/>
        <v>7.6372723329117551E-7</v>
      </c>
      <c r="BR27" s="106">
        <f t="shared" si="67"/>
        <v>1.7976429305894111E-6</v>
      </c>
    </row>
    <row r="28" spans="1:70" x14ac:dyDescent="0.25">
      <c r="A28" s="105" t="s">
        <v>115</v>
      </c>
      <c r="B28" s="104" t="s">
        <v>116</v>
      </c>
      <c r="C28" s="103">
        <v>30</v>
      </c>
      <c r="D28" s="102">
        <v>41</v>
      </c>
      <c r="E28" s="102">
        <v>35</v>
      </c>
      <c r="F28" s="102">
        <v>33</v>
      </c>
      <c r="G28" s="102">
        <v>32</v>
      </c>
      <c r="H28" s="102">
        <v>27</v>
      </c>
      <c r="I28" s="102">
        <v>33</v>
      </c>
      <c r="J28" s="102">
        <v>22</v>
      </c>
      <c r="K28" s="102">
        <v>22</v>
      </c>
      <c r="L28" s="102">
        <v>14</v>
      </c>
      <c r="M28" s="102">
        <v>20</v>
      </c>
      <c r="N28" s="102">
        <v>24</v>
      </c>
      <c r="O28" s="102">
        <v>17</v>
      </c>
      <c r="P28" s="102">
        <v>18</v>
      </c>
      <c r="Q28" s="102">
        <v>15</v>
      </c>
      <c r="R28" s="101">
        <v>13</v>
      </c>
      <c r="T28" s="100">
        <f t="shared" si="50"/>
        <v>8.9605734767025085E-3</v>
      </c>
      <c r="U28" s="99">
        <f t="shared" si="51"/>
        <v>1.2155351319300326E-2</v>
      </c>
      <c r="V28" s="99">
        <f t="shared" si="52"/>
        <v>1.078582434514638E-2</v>
      </c>
      <c r="W28" s="99">
        <f t="shared" si="53"/>
        <v>1.1033099297893681E-2</v>
      </c>
      <c r="X28" s="99">
        <f t="shared" si="54"/>
        <v>9.4618568894145483E-3</v>
      </c>
      <c r="Y28" s="99">
        <f t="shared" si="55"/>
        <v>7.4503311258278145E-3</v>
      </c>
      <c r="Z28" s="99">
        <f t="shared" si="56"/>
        <v>8.9722675367047301E-3</v>
      </c>
      <c r="AA28" s="99">
        <f t="shared" si="57"/>
        <v>6.0706401766004413E-3</v>
      </c>
      <c r="AB28" s="99">
        <f t="shared" si="58"/>
        <v>6.4743967039434958E-3</v>
      </c>
      <c r="AC28" s="99">
        <f t="shared" si="59"/>
        <v>4.3777360850531582E-3</v>
      </c>
      <c r="AD28" s="99">
        <f t="shared" si="60"/>
        <v>6.3431652394544879E-3</v>
      </c>
      <c r="AE28" s="99">
        <f t="shared" si="61"/>
        <v>8.0455916862219243E-3</v>
      </c>
      <c r="AF28" s="99">
        <f t="shared" si="62"/>
        <v>5.6951423785594644E-3</v>
      </c>
      <c r="AG28" s="99">
        <f t="shared" si="63"/>
        <v>5.708848715509039E-3</v>
      </c>
      <c r="AH28" s="99">
        <f t="shared" si="64"/>
        <v>4.3265070666282084E-3</v>
      </c>
      <c r="AI28" s="98">
        <f t="shared" si="65"/>
        <v>3.7790697674418604E-3</v>
      </c>
      <c r="AJ28" s="134" t="str">
        <f t="shared" si="68"/>
        <v>11+</v>
      </c>
      <c r="AK28" s="120">
        <f>M28</f>
        <v>20</v>
      </c>
      <c r="AL28" s="120">
        <f t="shared" ref="AL28:AZ28" si="79">N28</f>
        <v>24</v>
      </c>
      <c r="AM28" s="120">
        <f t="shared" si="79"/>
        <v>17</v>
      </c>
      <c r="AN28" s="120">
        <f t="shared" si="79"/>
        <v>18</v>
      </c>
      <c r="AO28" s="120">
        <f t="shared" si="79"/>
        <v>15</v>
      </c>
      <c r="AP28" s="120">
        <f t="shared" si="79"/>
        <v>13</v>
      </c>
      <c r="AQ28" s="120">
        <f t="shared" si="79"/>
        <v>0</v>
      </c>
      <c r="AR28" s="120">
        <f t="shared" si="79"/>
        <v>8.9605734767025085E-3</v>
      </c>
      <c r="AS28" s="120">
        <f t="shared" si="79"/>
        <v>1.2155351319300326E-2</v>
      </c>
      <c r="AT28" s="120">
        <f t="shared" si="79"/>
        <v>1.078582434514638E-2</v>
      </c>
      <c r="AU28" s="120">
        <f t="shared" si="79"/>
        <v>1.1033099297893681E-2</v>
      </c>
      <c r="AV28" s="120">
        <f t="shared" si="79"/>
        <v>9.4618568894145483E-3</v>
      </c>
      <c r="AW28" s="120">
        <f t="shared" si="79"/>
        <v>7.4503311258278145E-3</v>
      </c>
      <c r="AX28" s="120">
        <f t="shared" si="79"/>
        <v>8.9722675367047301E-3</v>
      </c>
      <c r="AY28" s="120">
        <f t="shared" si="79"/>
        <v>6.0706401766004413E-3</v>
      </c>
      <c r="AZ28" s="120">
        <f t="shared" si="79"/>
        <v>6.4743967039434958E-3</v>
      </c>
      <c r="BC28" s="106">
        <f t="shared" si="70"/>
        <v>1.5302218821729151E-2</v>
      </c>
      <c r="BD28" s="106">
        <f t="shared" si="67"/>
        <v>0.02</v>
      </c>
      <c r="BE28" s="106">
        <f t="shared" si="67"/>
        <v>1.4655172413793103E-2</v>
      </c>
      <c r="BF28" s="106">
        <f t="shared" si="67"/>
        <v>1.6363636363636365E-2</v>
      </c>
      <c r="BG28" s="106">
        <f t="shared" si="67"/>
        <v>9.7529258777633299E-3</v>
      </c>
      <c r="BH28" s="106">
        <f t="shared" si="67"/>
        <v>9.06555090655509E-3</v>
      </c>
      <c r="BI28" s="106">
        <f t="shared" si="67"/>
        <v>0</v>
      </c>
      <c r="BJ28" s="106">
        <f t="shared" si="67"/>
        <v>6.4510968154805675E-6</v>
      </c>
      <c r="BK28" s="106">
        <f t="shared" si="67"/>
        <v>9.2436131705705902E-6</v>
      </c>
      <c r="BL28" s="106">
        <f t="shared" si="67"/>
        <v>9.3953173738208875E-6</v>
      </c>
      <c r="BM28" s="106">
        <f t="shared" si="67"/>
        <v>8.6806446088856665E-6</v>
      </c>
      <c r="BN28" s="106">
        <f t="shared" si="67"/>
        <v>8.7125754046174476E-6</v>
      </c>
      <c r="BO28" s="106">
        <f t="shared" si="67"/>
        <v>6.1218826013375635E-6</v>
      </c>
      <c r="BP28" s="106">
        <f t="shared" si="67"/>
        <v>6.6957220423169625E-6</v>
      </c>
      <c r="BQ28" s="106">
        <f t="shared" si="67"/>
        <v>4.2630900116576128E-6</v>
      </c>
      <c r="BR28" s="106">
        <f t="shared" si="67"/>
        <v>5.2723100194979609E-6</v>
      </c>
    </row>
    <row r="29" spans="1:70" x14ac:dyDescent="0.25">
      <c r="A29" s="97" t="s">
        <v>115</v>
      </c>
      <c r="B29" s="96" t="s">
        <v>114</v>
      </c>
      <c r="C29" s="95">
        <v>3348</v>
      </c>
      <c r="D29" s="94">
        <v>3373</v>
      </c>
      <c r="E29" s="94">
        <v>3245</v>
      </c>
      <c r="F29" s="94">
        <v>2991</v>
      </c>
      <c r="G29" s="94">
        <v>3382</v>
      </c>
      <c r="H29" s="94">
        <v>3624</v>
      </c>
      <c r="I29" s="94">
        <v>3678</v>
      </c>
      <c r="J29" s="94">
        <v>3624</v>
      </c>
      <c r="K29" s="94">
        <v>3398</v>
      </c>
      <c r="L29" s="94">
        <v>3198</v>
      </c>
      <c r="M29" s="94">
        <v>3153</v>
      </c>
      <c r="N29" s="94">
        <v>2983</v>
      </c>
      <c r="O29" s="94">
        <v>2985</v>
      </c>
      <c r="P29" s="94">
        <v>3153</v>
      </c>
      <c r="Q29" s="94">
        <v>3467</v>
      </c>
      <c r="R29" s="93">
        <v>3440</v>
      </c>
      <c r="T29" s="92">
        <f t="shared" si="50"/>
        <v>1</v>
      </c>
      <c r="U29" s="91">
        <f t="shared" si="51"/>
        <v>1</v>
      </c>
      <c r="V29" s="91">
        <f t="shared" si="52"/>
        <v>1</v>
      </c>
      <c r="W29" s="91">
        <f t="shared" si="53"/>
        <v>1</v>
      </c>
      <c r="X29" s="91">
        <f t="shared" si="54"/>
        <v>1</v>
      </c>
      <c r="Y29" s="91">
        <f t="shared" si="55"/>
        <v>1</v>
      </c>
      <c r="Z29" s="91">
        <f t="shared" si="56"/>
        <v>1</v>
      </c>
      <c r="AA29" s="91">
        <f t="shared" si="57"/>
        <v>1</v>
      </c>
      <c r="AB29" s="91">
        <f t="shared" si="58"/>
        <v>1</v>
      </c>
      <c r="AC29" s="91">
        <f t="shared" si="59"/>
        <v>1</v>
      </c>
      <c r="AD29" s="91">
        <f t="shared" si="60"/>
        <v>1</v>
      </c>
      <c r="AE29" s="91">
        <f t="shared" si="61"/>
        <v>1</v>
      </c>
      <c r="AF29" s="91">
        <f t="shared" si="62"/>
        <v>1</v>
      </c>
      <c r="AG29" s="91">
        <f t="shared" si="63"/>
        <v>1</v>
      </c>
      <c r="AH29" s="91">
        <f t="shared" si="64"/>
        <v>1</v>
      </c>
      <c r="AI29" s="90">
        <f t="shared" si="65"/>
        <v>1</v>
      </c>
    </row>
    <row r="31" spans="1:70" x14ac:dyDescent="0.25">
      <c r="A31" s="89" t="s">
        <v>113</v>
      </c>
    </row>
    <row r="33" spans="1:1" x14ac:dyDescent="0.25">
      <c r="A33" s="89" t="s">
        <v>112</v>
      </c>
    </row>
  </sheetData>
  <mergeCells count="1">
    <mergeCell ref="I3:L3"/>
  </mergeCells>
  <pageMargins left="0.45" right="0.45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5"/>
  <sheetViews>
    <sheetView topLeftCell="A21" workbookViewId="0">
      <selection activeCell="T34" sqref="T34:T45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3" width="9.83203125" style="139" bestFit="1" customWidth="1"/>
    <col min="4" max="18" width="8.33203125" style="139" bestFit="1" customWidth="1"/>
    <col min="19" max="19" width="1.5" style="139" customWidth="1"/>
    <col min="20" max="20" width="6.1640625" style="139" customWidth="1"/>
    <col min="21" max="21" width="7.6640625" style="139" customWidth="1"/>
    <col min="22" max="35" width="6.1640625" style="139" customWidth="1"/>
    <col min="36" max="16384" width="9.33203125" style="139"/>
  </cols>
  <sheetData>
    <row r="1" spans="1:35" ht="18.75" x14ac:dyDescent="0.3">
      <c r="A1" s="137" t="s">
        <v>122</v>
      </c>
    </row>
    <row r="3" spans="1:35" x14ac:dyDescent="0.25">
      <c r="C3" s="140"/>
      <c r="D3" s="141"/>
      <c r="E3" s="141"/>
      <c r="F3" s="141"/>
      <c r="G3" s="141"/>
      <c r="H3" s="141"/>
      <c r="I3" s="193" t="s">
        <v>120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119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118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117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AI16" si="0">C5/C$16</f>
        <v>0.24731644482610562</v>
      </c>
      <c r="U5" s="157">
        <f t="shared" si="0"/>
        <v>0.2394535958216151</v>
      </c>
      <c r="V5" s="157">
        <f t="shared" si="0"/>
        <v>0.2387490465293669</v>
      </c>
      <c r="W5" s="157">
        <f t="shared" si="0"/>
        <v>0.20544835414301929</v>
      </c>
      <c r="X5" s="157">
        <f t="shared" si="0"/>
        <v>0.23917748917748918</v>
      </c>
      <c r="Y5" s="157">
        <f t="shared" si="0"/>
        <v>0.23172785449646346</v>
      </c>
      <c r="Z5" s="157">
        <f t="shared" si="0"/>
        <v>0.23733862959285004</v>
      </c>
      <c r="AA5" s="157">
        <f t="shared" si="0"/>
        <v>0.26818032247449819</v>
      </c>
      <c r="AB5" s="157">
        <f t="shared" si="0"/>
        <v>0.23890532544378698</v>
      </c>
      <c r="AC5" s="157">
        <f t="shared" si="0"/>
        <v>0.26027900146842881</v>
      </c>
      <c r="AD5" s="157">
        <f t="shared" si="0"/>
        <v>0.26161727039882915</v>
      </c>
      <c r="AE5" s="157">
        <f t="shared" si="0"/>
        <v>0.21836960531169311</v>
      </c>
      <c r="AF5" s="157">
        <f t="shared" si="0"/>
        <v>0.26306913996627318</v>
      </c>
      <c r="AG5" s="157">
        <f t="shared" si="0"/>
        <v>0.25060679611650488</v>
      </c>
      <c r="AH5" s="157">
        <f t="shared" si="0"/>
        <v>0.23443328550932568</v>
      </c>
      <c r="AI5" s="158">
        <f t="shared" si="0"/>
        <v>0.18319719953325556</v>
      </c>
    </row>
    <row r="6" spans="1:35" ht="12" customHeight="1" x14ac:dyDescent="0.25">
      <c r="A6" s="159" t="s">
        <v>117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0"/>
        <v>0.16954600241060666</v>
      </c>
      <c r="V6" s="165">
        <f t="shared" si="0"/>
        <v>0.18039664378337147</v>
      </c>
      <c r="W6" s="165">
        <f t="shared" si="0"/>
        <v>0.19485433219825957</v>
      </c>
      <c r="X6" s="165">
        <f t="shared" si="0"/>
        <v>0.15476190476190477</v>
      </c>
      <c r="Y6" s="165">
        <f t="shared" si="0"/>
        <v>0.19467834287638935</v>
      </c>
      <c r="Z6" s="165">
        <f t="shared" si="0"/>
        <v>0.17808672624958624</v>
      </c>
      <c r="AA6" s="165">
        <f t="shared" si="0"/>
        <v>0.1688055281342547</v>
      </c>
      <c r="AB6" s="165">
        <f t="shared" si="0"/>
        <v>0.21005917159763313</v>
      </c>
      <c r="AC6" s="165">
        <f t="shared" si="0"/>
        <v>0.17731277533039647</v>
      </c>
      <c r="AD6" s="165">
        <f t="shared" si="0"/>
        <v>0.2030735455543359</v>
      </c>
      <c r="AE6" s="165">
        <f t="shared" si="0"/>
        <v>0.20582810770933235</v>
      </c>
      <c r="AF6" s="165">
        <f t="shared" si="0"/>
        <v>0.16627318718381112</v>
      </c>
      <c r="AG6" s="165">
        <f t="shared" si="0"/>
        <v>0.20540048543689321</v>
      </c>
      <c r="AH6" s="165">
        <f t="shared" si="0"/>
        <v>0.20516499282639886</v>
      </c>
      <c r="AI6" s="166">
        <f t="shared" si="0"/>
        <v>0.2088681446907818</v>
      </c>
    </row>
    <row r="7" spans="1:35" ht="12" customHeight="1" x14ac:dyDescent="0.25">
      <c r="A7" s="159" t="s">
        <v>117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0"/>
        <v>0.1747689835275211</v>
      </c>
      <c r="V7" s="165">
        <f t="shared" si="0"/>
        <v>0.17925247902364608</v>
      </c>
      <c r="W7" s="165">
        <f t="shared" si="0"/>
        <v>0.18274687854710556</v>
      </c>
      <c r="X7" s="165">
        <f t="shared" si="0"/>
        <v>0.1764069264069264</v>
      </c>
      <c r="Y7" s="165">
        <f t="shared" si="0"/>
        <v>0.15426069383630853</v>
      </c>
      <c r="Z7" s="165">
        <f t="shared" si="0"/>
        <v>0.18272095332671301</v>
      </c>
      <c r="AA7" s="165">
        <f t="shared" si="0"/>
        <v>0.16386969397828233</v>
      </c>
      <c r="AB7" s="165">
        <f t="shared" si="0"/>
        <v>0.16568047337278108</v>
      </c>
      <c r="AC7" s="165">
        <f t="shared" si="0"/>
        <v>0.19273127753303965</v>
      </c>
      <c r="AD7" s="165">
        <f t="shared" si="0"/>
        <v>0.16172703988291254</v>
      </c>
      <c r="AE7" s="165">
        <f t="shared" si="0"/>
        <v>0.20582810770933235</v>
      </c>
      <c r="AF7" s="165">
        <f t="shared" si="0"/>
        <v>0.20033726812816188</v>
      </c>
      <c r="AG7" s="165">
        <f t="shared" si="0"/>
        <v>0.16383495145631069</v>
      </c>
      <c r="AH7" s="165">
        <f t="shared" si="0"/>
        <v>0.20803443328550933</v>
      </c>
      <c r="AI7" s="166">
        <f t="shared" si="0"/>
        <v>0.20624270711785297</v>
      </c>
    </row>
    <row r="8" spans="1:35" ht="12" customHeight="1" x14ac:dyDescent="0.25">
      <c r="A8" s="159" t="s">
        <v>117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0"/>
        <v>0.15267175572519084</v>
      </c>
      <c r="V8" s="165">
        <f t="shared" si="0"/>
        <v>0.16056445461479787</v>
      </c>
      <c r="W8" s="165">
        <f t="shared" si="0"/>
        <v>0.16912599318955732</v>
      </c>
      <c r="X8" s="165">
        <f t="shared" si="0"/>
        <v>0.17279942279942279</v>
      </c>
      <c r="Y8" s="165">
        <f t="shared" si="0"/>
        <v>0.16436510609632873</v>
      </c>
      <c r="Z8" s="165">
        <f t="shared" si="0"/>
        <v>0.14134392585236677</v>
      </c>
      <c r="AA8" s="165">
        <f t="shared" si="0"/>
        <v>0.16452780519907864</v>
      </c>
      <c r="AB8" s="165">
        <f t="shared" si="0"/>
        <v>0.15088757396449703</v>
      </c>
      <c r="AC8" s="165">
        <f t="shared" si="0"/>
        <v>0.1527165932452276</v>
      </c>
      <c r="AD8" s="165">
        <f t="shared" si="0"/>
        <v>0.17819246249542628</v>
      </c>
      <c r="AE8" s="165">
        <f t="shared" si="0"/>
        <v>0.1582441903356695</v>
      </c>
      <c r="AF8" s="165">
        <f t="shared" si="0"/>
        <v>0.1821247892074199</v>
      </c>
      <c r="AG8" s="165">
        <f t="shared" si="0"/>
        <v>0.17020631067961164</v>
      </c>
      <c r="AH8" s="165">
        <f t="shared" si="0"/>
        <v>0.15208034433285508</v>
      </c>
      <c r="AI8" s="166">
        <f t="shared" si="0"/>
        <v>0.2001166861143524</v>
      </c>
    </row>
    <row r="9" spans="1:35" ht="12" customHeight="1" x14ac:dyDescent="0.25">
      <c r="A9" s="159" t="s">
        <v>117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0"/>
        <v>0.11088790678987545</v>
      </c>
      <c r="V9" s="165">
        <f t="shared" si="0"/>
        <v>0.11098398169336385</v>
      </c>
      <c r="W9" s="165">
        <f t="shared" si="0"/>
        <v>0.12788497919031402</v>
      </c>
      <c r="X9" s="165">
        <f t="shared" si="0"/>
        <v>0.13095238095238096</v>
      </c>
      <c r="Y9" s="165">
        <f t="shared" si="0"/>
        <v>0.13405186931626811</v>
      </c>
      <c r="Z9" s="165">
        <f t="shared" si="0"/>
        <v>0.12578616352201258</v>
      </c>
      <c r="AA9" s="165">
        <f t="shared" si="0"/>
        <v>0.10595590654820665</v>
      </c>
      <c r="AB9" s="165">
        <f t="shared" si="0"/>
        <v>0.1201923076923077</v>
      </c>
      <c r="AC9" s="165">
        <f t="shared" si="0"/>
        <v>0.10903083700440529</v>
      </c>
      <c r="AD9" s="165">
        <f t="shared" si="0"/>
        <v>0.10720819612147824</v>
      </c>
      <c r="AE9" s="165">
        <f t="shared" si="0"/>
        <v>0.12689044632976762</v>
      </c>
      <c r="AF9" s="165">
        <f t="shared" si="0"/>
        <v>0.10725126475548061</v>
      </c>
      <c r="AG9" s="165">
        <f t="shared" si="0"/>
        <v>0.1337985436893204</v>
      </c>
      <c r="AH9" s="165">
        <f t="shared" si="0"/>
        <v>0.11477761836441894</v>
      </c>
      <c r="AI9" s="166">
        <f t="shared" si="0"/>
        <v>0.11143523920653442</v>
      </c>
    </row>
    <row r="10" spans="1:35" ht="12" customHeight="1" x14ac:dyDescent="0.25">
      <c r="A10" s="159" t="s">
        <v>117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0"/>
        <v>7.8344716753716348E-2</v>
      </c>
      <c r="V10" s="165">
        <f t="shared" si="0"/>
        <v>5.6064073226544622E-2</v>
      </c>
      <c r="W10" s="165">
        <f t="shared" si="0"/>
        <v>5.7132046916382899E-2</v>
      </c>
      <c r="X10" s="165">
        <f t="shared" si="0"/>
        <v>6.6378066378066383E-2</v>
      </c>
      <c r="Y10" s="165">
        <f t="shared" si="0"/>
        <v>6.3657797238127312E-2</v>
      </c>
      <c r="Z10" s="165">
        <f t="shared" si="0"/>
        <v>6.9844422376696455E-2</v>
      </c>
      <c r="AA10" s="165">
        <f t="shared" si="0"/>
        <v>6.252056597564988E-2</v>
      </c>
      <c r="AB10" s="165">
        <f t="shared" si="0"/>
        <v>5.1405325443786981E-2</v>
      </c>
      <c r="AC10" s="165">
        <f t="shared" si="0"/>
        <v>5.2496328928046988E-2</v>
      </c>
      <c r="AD10" s="165">
        <f t="shared" si="0"/>
        <v>4.1712403951701428E-2</v>
      </c>
      <c r="AE10" s="165">
        <f t="shared" si="0"/>
        <v>4.3157506455182591E-2</v>
      </c>
      <c r="AF10" s="165">
        <f t="shared" si="0"/>
        <v>4.6543001686340638E-2</v>
      </c>
      <c r="AG10" s="165">
        <f t="shared" si="0"/>
        <v>3.8228155339805822E-2</v>
      </c>
      <c r="AH10" s="165">
        <f t="shared" si="0"/>
        <v>4.9928263988522237E-2</v>
      </c>
      <c r="AI10" s="166">
        <f t="shared" si="0"/>
        <v>4.8133022170361729E-2</v>
      </c>
    </row>
    <row r="11" spans="1:35" ht="12" customHeight="1" x14ac:dyDescent="0.25">
      <c r="A11" s="159" t="s">
        <v>117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0"/>
        <v>3.2141422257934912E-2</v>
      </c>
      <c r="V11" s="165">
        <f t="shared" si="0"/>
        <v>3.2799389778794812E-2</v>
      </c>
      <c r="W11" s="165">
        <f t="shared" si="0"/>
        <v>2.4971623155505107E-2</v>
      </c>
      <c r="X11" s="165">
        <f t="shared" si="0"/>
        <v>2.813852813852814E-2</v>
      </c>
      <c r="Y11" s="165">
        <f t="shared" si="0"/>
        <v>2.795554058605591E-2</v>
      </c>
      <c r="Z11" s="165">
        <f t="shared" si="0"/>
        <v>3.0784508440913606E-2</v>
      </c>
      <c r="AA11" s="165">
        <f t="shared" si="0"/>
        <v>3.0931227377426786E-2</v>
      </c>
      <c r="AB11" s="165">
        <f t="shared" si="0"/>
        <v>2.514792899408284E-2</v>
      </c>
      <c r="AC11" s="165">
        <f t="shared" si="0"/>
        <v>2.0558002936857563E-2</v>
      </c>
      <c r="AD11" s="165">
        <f t="shared" si="0"/>
        <v>1.7197219173069888E-2</v>
      </c>
      <c r="AE11" s="165">
        <f t="shared" si="0"/>
        <v>1.6230173367760975E-2</v>
      </c>
      <c r="AF11" s="165">
        <f t="shared" si="0"/>
        <v>1.551433389544688E-2</v>
      </c>
      <c r="AG11" s="165">
        <f t="shared" si="0"/>
        <v>1.8507281553398057E-2</v>
      </c>
      <c r="AH11" s="165">
        <f t="shared" si="0"/>
        <v>1.606886657101865E-2</v>
      </c>
      <c r="AI11" s="166">
        <f t="shared" si="0"/>
        <v>1.9544924154025672E-2</v>
      </c>
    </row>
    <row r="12" spans="1:35" ht="12" customHeight="1" x14ac:dyDescent="0.25">
      <c r="A12" s="159" t="s">
        <v>117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0"/>
        <v>1.4061872237846525E-2</v>
      </c>
      <c r="V12" s="165">
        <f t="shared" si="0"/>
        <v>1.4111365369946605E-2</v>
      </c>
      <c r="W12" s="165">
        <f t="shared" si="0"/>
        <v>1.5512674990541053E-2</v>
      </c>
      <c r="X12" s="165">
        <f t="shared" si="0"/>
        <v>1.0461760461760462E-2</v>
      </c>
      <c r="Y12" s="165">
        <f t="shared" si="0"/>
        <v>1.2462108454024925E-2</v>
      </c>
      <c r="Z12" s="165">
        <f t="shared" si="0"/>
        <v>1.0923535253227408E-2</v>
      </c>
      <c r="AA12" s="165">
        <f t="shared" si="0"/>
        <v>1.5794669299111549E-2</v>
      </c>
      <c r="AB12" s="165">
        <f t="shared" si="0"/>
        <v>1.2943786982248521E-2</v>
      </c>
      <c r="AC12" s="165">
        <f t="shared" si="0"/>
        <v>1.1380323054331865E-2</v>
      </c>
      <c r="AD12" s="165">
        <f t="shared" si="0"/>
        <v>8.0497621661178194E-3</v>
      </c>
      <c r="AE12" s="165">
        <f t="shared" si="0"/>
        <v>9.2216894135005532E-3</v>
      </c>
      <c r="AF12" s="165">
        <f t="shared" si="0"/>
        <v>6.0708263069139965E-3</v>
      </c>
      <c r="AG12" s="165">
        <f t="shared" si="0"/>
        <v>7.8883495145631068E-3</v>
      </c>
      <c r="AH12" s="165">
        <f t="shared" si="0"/>
        <v>8.60832137733142E-3</v>
      </c>
      <c r="AI12" s="166">
        <f t="shared" si="0"/>
        <v>7.0011668611435242E-3</v>
      </c>
    </row>
    <row r="13" spans="1:35" ht="12" customHeight="1" x14ac:dyDescent="0.25">
      <c r="A13" s="159" t="s">
        <v>117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0"/>
        <v>8.8388911209321009E-3</v>
      </c>
      <c r="V13" s="165">
        <f t="shared" si="0"/>
        <v>8.0091533180778034E-3</v>
      </c>
      <c r="W13" s="165">
        <f t="shared" si="0"/>
        <v>9.0805902383654935E-3</v>
      </c>
      <c r="X13" s="165">
        <f t="shared" si="0"/>
        <v>7.575757575757576E-3</v>
      </c>
      <c r="Y13" s="165">
        <f t="shared" si="0"/>
        <v>3.7049511620074098E-3</v>
      </c>
      <c r="Z13" s="165">
        <f t="shared" si="0"/>
        <v>8.9374379344587893E-3</v>
      </c>
      <c r="AA13" s="165">
        <f t="shared" si="0"/>
        <v>4.6067785455742019E-3</v>
      </c>
      <c r="AB13" s="165">
        <f t="shared" si="0"/>
        <v>9.6153846153846159E-3</v>
      </c>
      <c r="AC13" s="165">
        <f t="shared" si="0"/>
        <v>5.5066079295154188E-3</v>
      </c>
      <c r="AD13" s="165">
        <f t="shared" si="0"/>
        <v>6.9520673252835711E-3</v>
      </c>
      <c r="AE13" s="165">
        <f t="shared" si="0"/>
        <v>3.6886757654002213E-3</v>
      </c>
      <c r="AF13" s="165">
        <f t="shared" si="0"/>
        <v>2.6981450252951096E-3</v>
      </c>
      <c r="AG13" s="165">
        <f t="shared" si="0"/>
        <v>2.4271844660194173E-3</v>
      </c>
      <c r="AH13" s="165">
        <f t="shared" si="0"/>
        <v>4.0172166427546625E-3</v>
      </c>
      <c r="AI13" s="166">
        <f t="shared" si="0"/>
        <v>5.2508751458576431E-3</v>
      </c>
    </row>
    <row r="14" spans="1:35" ht="12" customHeight="1" x14ac:dyDescent="0.25">
      <c r="A14" s="159" t="s">
        <v>117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0"/>
        <v>3.2141422257934912E-3</v>
      </c>
      <c r="V14" s="165">
        <f t="shared" si="0"/>
        <v>5.7208237986270021E-3</v>
      </c>
      <c r="W14" s="165">
        <f t="shared" si="0"/>
        <v>3.4052213393870601E-3</v>
      </c>
      <c r="X14" s="165">
        <f t="shared" si="0"/>
        <v>3.968253968253968E-3</v>
      </c>
      <c r="Y14" s="165">
        <f t="shared" si="0"/>
        <v>4.7153923880094307E-3</v>
      </c>
      <c r="Z14" s="165">
        <f t="shared" si="0"/>
        <v>3.6411784177424692E-3</v>
      </c>
      <c r="AA14" s="165">
        <f t="shared" si="0"/>
        <v>4.9358341559723592E-3</v>
      </c>
      <c r="AB14" s="165">
        <f t="shared" si="0"/>
        <v>4.0680473372781065E-3</v>
      </c>
      <c r="AC14" s="165">
        <f t="shared" si="0"/>
        <v>7.3421439060205578E-3</v>
      </c>
      <c r="AD14" s="165">
        <f t="shared" si="0"/>
        <v>2.1953896816684962E-3</v>
      </c>
      <c r="AE14" s="165">
        <f t="shared" si="0"/>
        <v>5.1641460715603094E-3</v>
      </c>
      <c r="AF14" s="165">
        <f t="shared" si="0"/>
        <v>2.6981450252951096E-3</v>
      </c>
      <c r="AG14" s="165">
        <f t="shared" si="0"/>
        <v>2.1237864077669902E-3</v>
      </c>
      <c r="AH14" s="165">
        <f t="shared" si="0"/>
        <v>1.4347202295552368E-3</v>
      </c>
      <c r="AI14" s="166">
        <f t="shared" si="0"/>
        <v>2.6254375729288216E-3</v>
      </c>
    </row>
    <row r="15" spans="1:35" ht="12" customHeight="1" x14ac:dyDescent="0.25">
      <c r="A15" s="159" t="s">
        <v>117</v>
      </c>
      <c r="B15" s="160" t="s">
        <v>116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0"/>
        <v>1.6070711128967456E-2</v>
      </c>
      <c r="V15" s="165">
        <f t="shared" si="0"/>
        <v>1.3348588863463006E-2</v>
      </c>
      <c r="W15" s="165">
        <f t="shared" si="0"/>
        <v>9.8373060915626174E-3</v>
      </c>
      <c r="X15" s="165">
        <f t="shared" si="0"/>
        <v>9.3795093795093799E-3</v>
      </c>
      <c r="Y15" s="165">
        <f t="shared" si="0"/>
        <v>8.4203435500168414E-3</v>
      </c>
      <c r="Z15" s="165">
        <f t="shared" si="0"/>
        <v>1.0592519033432638E-2</v>
      </c>
      <c r="AA15" s="165">
        <f t="shared" si="0"/>
        <v>9.8716683119447184E-3</v>
      </c>
      <c r="AB15" s="165">
        <f t="shared" si="0"/>
        <v>1.1094674556213017E-2</v>
      </c>
      <c r="AC15" s="165">
        <f t="shared" si="0"/>
        <v>1.0646108663729809E-2</v>
      </c>
      <c r="AD15" s="165">
        <f t="shared" si="0"/>
        <v>1.2074643249176729E-2</v>
      </c>
      <c r="AE15" s="165">
        <f t="shared" si="0"/>
        <v>7.3773515308004425E-3</v>
      </c>
      <c r="AF15" s="165">
        <f t="shared" si="0"/>
        <v>7.4198988195615517E-3</v>
      </c>
      <c r="AG15" s="165">
        <f t="shared" si="0"/>
        <v>6.9781553398058256E-3</v>
      </c>
      <c r="AH15" s="165">
        <f t="shared" si="0"/>
        <v>5.4519368723098998E-3</v>
      </c>
      <c r="AI15" s="166">
        <f t="shared" si="0"/>
        <v>7.5845974329054842E-3</v>
      </c>
    </row>
    <row r="16" spans="1:35" ht="12" customHeight="1" x14ac:dyDescent="0.25">
      <c r="A16" s="167" t="s">
        <v>117</v>
      </c>
      <c r="B16" s="168" t="s">
        <v>114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0"/>
        <v>1</v>
      </c>
      <c r="V16" s="173">
        <f t="shared" si="0"/>
        <v>1</v>
      </c>
      <c r="W16" s="173">
        <f t="shared" si="0"/>
        <v>1</v>
      </c>
      <c r="X16" s="173">
        <f t="shared" si="0"/>
        <v>1</v>
      </c>
      <c r="Y16" s="173">
        <f t="shared" si="0"/>
        <v>1</v>
      </c>
      <c r="Z16" s="173">
        <f t="shared" si="0"/>
        <v>1</v>
      </c>
      <c r="AA16" s="173">
        <f t="shared" si="0"/>
        <v>1</v>
      </c>
      <c r="AB16" s="173">
        <f t="shared" si="0"/>
        <v>1</v>
      </c>
      <c r="AC16" s="173">
        <f t="shared" si="0"/>
        <v>1</v>
      </c>
      <c r="AD16" s="173">
        <f t="shared" si="0"/>
        <v>1</v>
      </c>
      <c r="AE16" s="173">
        <f t="shared" si="0"/>
        <v>1</v>
      </c>
      <c r="AF16" s="173">
        <f t="shared" si="0"/>
        <v>1</v>
      </c>
      <c r="AG16" s="173">
        <f t="shared" si="0"/>
        <v>1</v>
      </c>
      <c r="AH16" s="173">
        <f t="shared" si="0"/>
        <v>1</v>
      </c>
      <c r="AI16" s="174">
        <f t="shared" si="0"/>
        <v>1</v>
      </c>
    </row>
    <row r="17" spans="1:35" ht="12" customHeight="1" x14ac:dyDescent="0.25"/>
    <row r="18" spans="1:35" x14ac:dyDescent="0.25">
      <c r="C18" s="140"/>
      <c r="D18" s="141"/>
      <c r="E18" s="141"/>
      <c r="F18" s="141"/>
      <c r="G18" s="141"/>
      <c r="H18" s="141"/>
      <c r="I18" s="193" t="s">
        <v>123</v>
      </c>
      <c r="J18" s="193"/>
      <c r="K18" s="193"/>
      <c r="L18" s="193"/>
      <c r="M18" s="193"/>
      <c r="N18" s="141"/>
      <c r="O18" s="141"/>
      <c r="P18" s="141"/>
      <c r="Q18" s="141"/>
      <c r="R18" s="142"/>
      <c r="T18" s="140"/>
      <c r="U18" s="141"/>
      <c r="V18" s="141"/>
      <c r="W18" s="141"/>
      <c r="X18" s="141"/>
      <c r="Y18" s="141"/>
      <c r="Z18" s="141"/>
      <c r="AA18" s="143" t="s">
        <v>119</v>
      </c>
      <c r="AB18" s="141"/>
      <c r="AC18" s="141"/>
      <c r="AD18" s="141"/>
      <c r="AE18" s="141"/>
      <c r="AF18" s="141"/>
      <c r="AG18" s="141"/>
      <c r="AH18" s="141"/>
      <c r="AI18" s="142"/>
    </row>
    <row r="19" spans="1:35" x14ac:dyDescent="0.25">
      <c r="A19" s="144" t="s">
        <v>118</v>
      </c>
      <c r="B19" s="145" t="s">
        <v>30</v>
      </c>
      <c r="C19" s="146">
        <v>2001</v>
      </c>
      <c r="D19" s="147">
        <v>2002</v>
      </c>
      <c r="E19" s="147">
        <v>2003</v>
      </c>
      <c r="F19" s="147">
        <v>2004</v>
      </c>
      <c r="G19" s="147">
        <v>2005</v>
      </c>
      <c r="H19" s="147">
        <v>2006</v>
      </c>
      <c r="I19" s="147">
        <v>2007</v>
      </c>
      <c r="J19" s="147">
        <v>2008</v>
      </c>
      <c r="K19" s="147">
        <v>2009</v>
      </c>
      <c r="L19" s="147">
        <v>2010</v>
      </c>
      <c r="M19" s="147">
        <v>2011</v>
      </c>
      <c r="N19" s="147">
        <v>2012</v>
      </c>
      <c r="O19" s="147">
        <v>2013</v>
      </c>
      <c r="P19" s="147">
        <v>2014</v>
      </c>
      <c r="Q19" s="147">
        <v>2015</v>
      </c>
      <c r="R19" s="148">
        <v>2016</v>
      </c>
      <c r="S19" s="149"/>
      <c r="T19" s="146">
        <v>2001</v>
      </c>
      <c r="U19" s="147">
        <v>2002</v>
      </c>
      <c r="V19" s="147">
        <v>2003</v>
      </c>
      <c r="W19" s="147">
        <v>2004</v>
      </c>
      <c r="X19" s="147">
        <v>2005</v>
      </c>
      <c r="Y19" s="147">
        <v>2006</v>
      </c>
      <c r="Z19" s="147">
        <v>2007</v>
      </c>
      <c r="AA19" s="147">
        <v>2008</v>
      </c>
      <c r="AB19" s="147">
        <v>2009</v>
      </c>
      <c r="AC19" s="147">
        <v>2010</v>
      </c>
      <c r="AD19" s="147">
        <v>2011</v>
      </c>
      <c r="AE19" s="147">
        <v>2012</v>
      </c>
      <c r="AF19" s="147">
        <v>2013</v>
      </c>
      <c r="AG19" s="147">
        <v>2014</v>
      </c>
      <c r="AH19" s="147">
        <v>2015</v>
      </c>
      <c r="AI19" s="148">
        <v>2016</v>
      </c>
    </row>
    <row r="20" spans="1:35" ht="12" customHeight="1" x14ac:dyDescent="0.25">
      <c r="A20" s="150" t="s">
        <v>117</v>
      </c>
      <c r="B20" s="151">
        <v>1</v>
      </c>
      <c r="C20" s="175">
        <v>514.5</v>
      </c>
      <c r="D20" s="176">
        <v>527.9</v>
      </c>
      <c r="E20" s="176">
        <v>564.70000000000005</v>
      </c>
      <c r="F20" s="176">
        <v>476.6</v>
      </c>
      <c r="G20" s="176">
        <v>585.79999999999995</v>
      </c>
      <c r="H20" s="176">
        <v>625.9</v>
      </c>
      <c r="I20" s="176">
        <v>651.29999999999995</v>
      </c>
      <c r="J20" s="176">
        <v>713.2</v>
      </c>
      <c r="K20" s="176">
        <v>566.70000000000005</v>
      </c>
      <c r="L20" s="176">
        <v>633.29999999999995</v>
      </c>
      <c r="M20" s="176">
        <v>644.4</v>
      </c>
      <c r="N20" s="176">
        <v>535.4</v>
      </c>
      <c r="O20" s="176">
        <v>699.3</v>
      </c>
      <c r="P20" s="176">
        <v>736.5</v>
      </c>
      <c r="Q20" s="176">
        <v>736.1</v>
      </c>
      <c r="R20" s="177">
        <v>567.9</v>
      </c>
      <c r="S20" s="155"/>
      <c r="T20" s="156">
        <f t="shared" ref="T20:AI31" si="1">C20/C$16</f>
        <v>0.22091026191498497</v>
      </c>
      <c r="U20" s="157">
        <f t="shared" si="1"/>
        <v>0.21209321012454802</v>
      </c>
      <c r="V20" s="157">
        <f t="shared" si="1"/>
        <v>0.21536994660564457</v>
      </c>
      <c r="W20" s="157">
        <f t="shared" si="1"/>
        <v>0.18032538781687477</v>
      </c>
      <c r="X20" s="157">
        <f t="shared" si="1"/>
        <v>0.21132756132756131</v>
      </c>
      <c r="Y20" s="157">
        <f t="shared" si="1"/>
        <v>0.21081172111822161</v>
      </c>
      <c r="Z20" s="157">
        <f t="shared" si="1"/>
        <v>0.21559086395233365</v>
      </c>
      <c r="AA20" s="157">
        <f t="shared" si="1"/>
        <v>0.23468246133596579</v>
      </c>
      <c r="AB20" s="157">
        <f t="shared" si="1"/>
        <v>0.20957840236686393</v>
      </c>
      <c r="AC20" s="157">
        <f t="shared" si="1"/>
        <v>0.23248898678414096</v>
      </c>
      <c r="AD20" s="157">
        <f t="shared" si="1"/>
        <v>0.23578485181119649</v>
      </c>
      <c r="AE20" s="157">
        <f t="shared" si="1"/>
        <v>0.19749170047952785</v>
      </c>
      <c r="AF20" s="157">
        <f t="shared" si="1"/>
        <v>0.23585160202360875</v>
      </c>
      <c r="AG20" s="157">
        <f t="shared" si="1"/>
        <v>0.22345266990291263</v>
      </c>
      <c r="AH20" s="157">
        <f t="shared" si="1"/>
        <v>0.21121951219512194</v>
      </c>
      <c r="AI20" s="158">
        <f t="shared" si="1"/>
        <v>0.16566511085180863</v>
      </c>
    </row>
    <row r="21" spans="1:35" ht="12" customHeight="1" x14ac:dyDescent="0.25">
      <c r="A21" s="159" t="s">
        <v>117</v>
      </c>
      <c r="B21" s="160">
        <v>2</v>
      </c>
      <c r="C21" s="178">
        <v>352.3</v>
      </c>
      <c r="D21" s="179">
        <v>372.3</v>
      </c>
      <c r="E21" s="179">
        <v>414.9</v>
      </c>
      <c r="F21" s="179">
        <v>452.7</v>
      </c>
      <c r="G21" s="179">
        <v>386.9</v>
      </c>
      <c r="H21" s="179">
        <v>506.1</v>
      </c>
      <c r="I21" s="179">
        <v>479.5</v>
      </c>
      <c r="J21" s="179">
        <v>460.2</v>
      </c>
      <c r="K21" s="179">
        <v>504.9</v>
      </c>
      <c r="L21" s="179">
        <v>420</v>
      </c>
      <c r="M21" s="179">
        <v>498.2</v>
      </c>
      <c r="N21" s="179">
        <v>498.8</v>
      </c>
      <c r="O21" s="179">
        <v>449</v>
      </c>
      <c r="P21" s="179">
        <v>610.70000000000005</v>
      </c>
      <c r="Q21" s="179">
        <v>637.9</v>
      </c>
      <c r="R21" s="180">
        <v>636.5</v>
      </c>
      <c r="S21" s="155"/>
      <c r="T21" s="164">
        <f t="shared" si="1"/>
        <v>0.15126663804207816</v>
      </c>
      <c r="U21" s="165">
        <f t="shared" si="1"/>
        <v>0.14957814383286461</v>
      </c>
      <c r="V21" s="165">
        <f t="shared" si="1"/>
        <v>0.15823798627002286</v>
      </c>
      <c r="W21" s="165">
        <f t="shared" si="1"/>
        <v>0.17128263337116911</v>
      </c>
      <c r="X21" s="165">
        <f t="shared" si="1"/>
        <v>0.13957431457431457</v>
      </c>
      <c r="Y21" s="165">
        <f t="shared" si="1"/>
        <v>0.17046143482654094</v>
      </c>
      <c r="Z21" s="165">
        <f t="shared" si="1"/>
        <v>0.1587222773915922</v>
      </c>
      <c r="AA21" s="165">
        <f t="shared" si="1"/>
        <v>0.15143139190523197</v>
      </c>
      <c r="AB21" s="165">
        <f t="shared" si="1"/>
        <v>0.18672337278106507</v>
      </c>
      <c r="AC21" s="165">
        <f t="shared" si="1"/>
        <v>0.15418502202643172</v>
      </c>
      <c r="AD21" s="165">
        <f t="shared" si="1"/>
        <v>0.18229052323454079</v>
      </c>
      <c r="AE21" s="165">
        <f t="shared" si="1"/>
        <v>0.18399114717816303</v>
      </c>
      <c r="AF21" s="165">
        <f t="shared" si="1"/>
        <v>0.15143338954468802</v>
      </c>
      <c r="AG21" s="165">
        <f t="shared" si="1"/>
        <v>0.18528519417475731</v>
      </c>
      <c r="AH21" s="165">
        <f t="shared" si="1"/>
        <v>0.1830416068866571</v>
      </c>
      <c r="AI21" s="166">
        <f t="shared" si="1"/>
        <v>0.18567677946324387</v>
      </c>
    </row>
    <row r="22" spans="1:35" ht="12" customHeight="1" x14ac:dyDescent="0.25">
      <c r="A22" s="159" t="s">
        <v>117</v>
      </c>
      <c r="B22" s="160">
        <v>3</v>
      </c>
      <c r="C22" s="178">
        <v>329.7</v>
      </c>
      <c r="D22" s="179">
        <v>365.5</v>
      </c>
      <c r="E22" s="179">
        <v>409.9</v>
      </c>
      <c r="F22" s="179">
        <v>409.8</v>
      </c>
      <c r="G22" s="179">
        <v>427.1</v>
      </c>
      <c r="H22" s="179">
        <v>392.9</v>
      </c>
      <c r="I22" s="179">
        <v>475.9</v>
      </c>
      <c r="J22" s="179">
        <v>435.1</v>
      </c>
      <c r="K22" s="179">
        <v>372.7</v>
      </c>
      <c r="L22" s="179">
        <v>435.6</v>
      </c>
      <c r="M22" s="179">
        <v>393.8</v>
      </c>
      <c r="N22" s="179">
        <v>487.3</v>
      </c>
      <c r="O22" s="179">
        <v>535.70000000000005</v>
      </c>
      <c r="P22" s="179">
        <v>479.4</v>
      </c>
      <c r="Q22" s="179">
        <v>637</v>
      </c>
      <c r="R22" s="180">
        <v>626.29999999999995</v>
      </c>
      <c r="S22" s="155"/>
      <c r="T22" s="164">
        <f t="shared" si="1"/>
        <v>0.14156290253327608</v>
      </c>
      <c r="U22" s="165">
        <f t="shared" si="1"/>
        <v>0.14684612294094013</v>
      </c>
      <c r="V22" s="165">
        <f t="shared" si="1"/>
        <v>0.15633104500381387</v>
      </c>
      <c r="W22" s="165">
        <f t="shared" si="1"/>
        <v>0.15505107832009082</v>
      </c>
      <c r="X22" s="165">
        <f t="shared" si="1"/>
        <v>0.15407647907647909</v>
      </c>
      <c r="Y22" s="165">
        <f t="shared" si="1"/>
        <v>0.13233411923206467</v>
      </c>
      <c r="Z22" s="165">
        <f t="shared" si="1"/>
        <v>0.157530619000331</v>
      </c>
      <c r="AA22" s="165">
        <f t="shared" si="1"/>
        <v>0.14317209608423825</v>
      </c>
      <c r="AB22" s="165">
        <f t="shared" si="1"/>
        <v>0.13783284023668638</v>
      </c>
      <c r="AC22" s="165">
        <f t="shared" si="1"/>
        <v>0.15991189427312777</v>
      </c>
      <c r="AD22" s="165">
        <f t="shared" si="1"/>
        <v>0.14409074277350897</v>
      </c>
      <c r="AE22" s="165">
        <f t="shared" si="1"/>
        <v>0.17974917004795279</v>
      </c>
      <c r="AF22" s="165">
        <f t="shared" si="1"/>
        <v>0.18067453625632379</v>
      </c>
      <c r="AG22" s="165">
        <f t="shared" si="1"/>
        <v>0.14544902912621357</v>
      </c>
      <c r="AH22" s="165">
        <f t="shared" si="1"/>
        <v>0.18278335724533715</v>
      </c>
      <c r="AI22" s="166">
        <f t="shared" si="1"/>
        <v>0.18270128354725787</v>
      </c>
    </row>
    <row r="23" spans="1:35" ht="12" customHeight="1" x14ac:dyDescent="0.25">
      <c r="A23" s="159" t="s">
        <v>117</v>
      </c>
      <c r="B23" s="160">
        <v>4</v>
      </c>
      <c r="C23" s="178">
        <v>283</v>
      </c>
      <c r="D23" s="179">
        <v>322.10000000000002</v>
      </c>
      <c r="E23" s="179">
        <v>343.1</v>
      </c>
      <c r="F23" s="179">
        <v>373</v>
      </c>
      <c r="G23" s="179">
        <v>415.9</v>
      </c>
      <c r="H23" s="179">
        <v>411.1</v>
      </c>
      <c r="I23" s="179">
        <v>359.3</v>
      </c>
      <c r="J23" s="179">
        <v>427.5</v>
      </c>
      <c r="K23" s="179">
        <v>339.7</v>
      </c>
      <c r="L23" s="179">
        <v>344.4</v>
      </c>
      <c r="M23" s="179">
        <v>429.5</v>
      </c>
      <c r="N23" s="179">
        <v>371.5</v>
      </c>
      <c r="O23" s="179">
        <v>473.2</v>
      </c>
      <c r="P23" s="179">
        <v>486.5</v>
      </c>
      <c r="Q23" s="179">
        <v>455.7</v>
      </c>
      <c r="R23" s="180">
        <v>599.6</v>
      </c>
      <c r="S23" s="155"/>
      <c r="T23" s="164">
        <f t="shared" si="1"/>
        <v>0.12151137827393731</v>
      </c>
      <c r="U23" s="165">
        <f t="shared" si="1"/>
        <v>0.12940940136601045</v>
      </c>
      <c r="V23" s="165">
        <f t="shared" si="1"/>
        <v>0.13085430968726164</v>
      </c>
      <c r="W23" s="165">
        <f t="shared" si="1"/>
        <v>0.14112750662126372</v>
      </c>
      <c r="X23" s="165">
        <f t="shared" si="1"/>
        <v>0.15003607503607502</v>
      </c>
      <c r="Y23" s="165">
        <f t="shared" si="1"/>
        <v>0.13846412933647695</v>
      </c>
      <c r="Z23" s="165">
        <f t="shared" si="1"/>
        <v>0.11893412777226084</v>
      </c>
      <c r="AA23" s="165">
        <f t="shared" si="1"/>
        <v>0.14067127344521224</v>
      </c>
      <c r="AB23" s="165">
        <f t="shared" si="1"/>
        <v>0.12562869822485206</v>
      </c>
      <c r="AC23" s="165">
        <f t="shared" si="1"/>
        <v>0.126431718061674</v>
      </c>
      <c r="AD23" s="165">
        <f t="shared" si="1"/>
        <v>0.15715331137943653</v>
      </c>
      <c r="AE23" s="165">
        <f t="shared" si="1"/>
        <v>0.13703430468461822</v>
      </c>
      <c r="AF23" s="165">
        <f t="shared" si="1"/>
        <v>0.15959527824620573</v>
      </c>
      <c r="AG23" s="165">
        <f t="shared" si="1"/>
        <v>0.14760315533980584</v>
      </c>
      <c r="AH23" s="165">
        <f t="shared" si="1"/>
        <v>0.13076040172166428</v>
      </c>
      <c r="AI23" s="166">
        <f t="shared" si="1"/>
        <v>0.17491248541423571</v>
      </c>
    </row>
    <row r="24" spans="1:35" ht="12" customHeight="1" x14ac:dyDescent="0.25">
      <c r="A24" s="159" t="s">
        <v>117</v>
      </c>
      <c r="B24" s="160">
        <v>5</v>
      </c>
      <c r="C24" s="178">
        <v>256</v>
      </c>
      <c r="D24" s="179">
        <v>224.9</v>
      </c>
      <c r="E24" s="179">
        <v>231.1</v>
      </c>
      <c r="F24" s="179">
        <v>259.5</v>
      </c>
      <c r="G24" s="179">
        <v>293.2</v>
      </c>
      <c r="H24" s="179">
        <v>321.5</v>
      </c>
      <c r="I24" s="179">
        <v>299.89999999999998</v>
      </c>
      <c r="J24" s="179">
        <v>252.1</v>
      </c>
      <c r="K24" s="179">
        <v>261.2</v>
      </c>
      <c r="L24" s="179">
        <v>235</v>
      </c>
      <c r="M24" s="179">
        <v>232.8</v>
      </c>
      <c r="N24" s="179">
        <v>276.8</v>
      </c>
      <c r="O24" s="179">
        <v>261.7</v>
      </c>
      <c r="P24" s="179">
        <v>364.4</v>
      </c>
      <c r="Q24" s="179">
        <v>320.10000000000002</v>
      </c>
      <c r="R24" s="180">
        <v>309</v>
      </c>
      <c r="S24" s="155"/>
      <c r="T24" s="164">
        <f t="shared" si="1"/>
        <v>0.10991841992271362</v>
      </c>
      <c r="U24" s="165">
        <f t="shared" si="1"/>
        <v>9.0357573322619525E-2</v>
      </c>
      <c r="V24" s="165">
        <f t="shared" si="1"/>
        <v>8.8138825324180006E-2</v>
      </c>
      <c r="W24" s="165">
        <f t="shared" si="1"/>
        <v>9.8183881952326899E-2</v>
      </c>
      <c r="X24" s="165">
        <f t="shared" si="1"/>
        <v>0.10577200577200577</v>
      </c>
      <c r="Y24" s="165">
        <f t="shared" si="1"/>
        <v>0.10828561805321657</v>
      </c>
      <c r="Z24" s="165">
        <f t="shared" si="1"/>
        <v>9.9271764316451502E-2</v>
      </c>
      <c r="AA24" s="165">
        <f t="shared" si="1"/>
        <v>8.2954919381375447E-2</v>
      </c>
      <c r="AB24" s="165">
        <f t="shared" si="1"/>
        <v>9.6597633136094666E-2</v>
      </c>
      <c r="AC24" s="165">
        <f t="shared" si="1"/>
        <v>8.6270190895741561E-2</v>
      </c>
      <c r="AD24" s="165">
        <f t="shared" si="1"/>
        <v>8.518111964873766E-2</v>
      </c>
      <c r="AE24" s="165">
        <f t="shared" si="1"/>
        <v>0.10210254518627813</v>
      </c>
      <c r="AF24" s="165">
        <f t="shared" si="1"/>
        <v>8.8263069139966274E-2</v>
      </c>
      <c r="AG24" s="165">
        <f t="shared" si="1"/>
        <v>0.11055825242718446</v>
      </c>
      <c r="AH24" s="165">
        <f t="shared" si="1"/>
        <v>9.1850789096126262E-2</v>
      </c>
      <c r="AI24" s="166">
        <f t="shared" si="1"/>
        <v>9.0140023337222874E-2</v>
      </c>
    </row>
    <row r="25" spans="1:35" ht="12" customHeight="1" x14ac:dyDescent="0.25">
      <c r="A25" s="159" t="s">
        <v>117</v>
      </c>
      <c r="B25" s="160">
        <v>6</v>
      </c>
      <c r="C25" s="178">
        <v>127.2</v>
      </c>
      <c r="D25" s="179">
        <v>140.69999999999999</v>
      </c>
      <c r="E25" s="179">
        <v>106.5</v>
      </c>
      <c r="F25" s="179">
        <v>106.7</v>
      </c>
      <c r="G25" s="179">
        <v>135.4</v>
      </c>
      <c r="H25" s="179">
        <v>130.30000000000001</v>
      </c>
      <c r="I25" s="179">
        <v>140.4</v>
      </c>
      <c r="J25" s="179">
        <v>137.5</v>
      </c>
      <c r="K25" s="179">
        <v>96.5</v>
      </c>
      <c r="L25" s="179">
        <v>97.7</v>
      </c>
      <c r="M25" s="179">
        <v>79.8</v>
      </c>
      <c r="N25" s="179">
        <v>88.1</v>
      </c>
      <c r="O25" s="179">
        <v>103.2</v>
      </c>
      <c r="P25" s="179">
        <v>87.7</v>
      </c>
      <c r="Q25" s="179">
        <v>126.3</v>
      </c>
      <c r="R25" s="180">
        <v>114.1</v>
      </c>
      <c r="S25" s="155"/>
      <c r="T25" s="164">
        <f t="shared" si="1"/>
        <v>5.4615714899098326E-2</v>
      </c>
      <c r="U25" s="165">
        <f t="shared" si="1"/>
        <v>5.6528726396143023E-2</v>
      </c>
      <c r="V25" s="165">
        <f t="shared" si="1"/>
        <v>4.0617848970251717E-2</v>
      </c>
      <c r="W25" s="165">
        <f t="shared" si="1"/>
        <v>4.0370790768066593E-2</v>
      </c>
      <c r="X25" s="165">
        <f t="shared" si="1"/>
        <v>4.8845598845598845E-2</v>
      </c>
      <c r="Y25" s="165">
        <f t="shared" si="1"/>
        <v>4.3886830582687775E-2</v>
      </c>
      <c r="Z25" s="165">
        <f t="shared" si="1"/>
        <v>4.64746772591857E-2</v>
      </c>
      <c r="AA25" s="165">
        <f t="shared" si="1"/>
        <v>4.5245146429746627E-2</v>
      </c>
      <c r="AB25" s="165">
        <f t="shared" si="1"/>
        <v>3.5687869822485209E-2</v>
      </c>
      <c r="AC25" s="165">
        <f t="shared" si="1"/>
        <v>3.586637298091043E-2</v>
      </c>
      <c r="AD25" s="165">
        <f t="shared" si="1"/>
        <v>2.9198682766190996E-2</v>
      </c>
      <c r="AE25" s="165">
        <f t="shared" si="1"/>
        <v>3.2497233493175945E-2</v>
      </c>
      <c r="AF25" s="165">
        <f t="shared" si="1"/>
        <v>3.4806070826306913E-2</v>
      </c>
      <c r="AG25" s="165">
        <f t="shared" si="1"/>
        <v>2.6608009708737865E-2</v>
      </c>
      <c r="AH25" s="165">
        <f t="shared" si="1"/>
        <v>3.6241032998565278E-2</v>
      </c>
      <c r="AI25" s="166">
        <f t="shared" si="1"/>
        <v>3.3284714119019836E-2</v>
      </c>
    </row>
    <row r="26" spans="1:35" ht="12" customHeight="1" x14ac:dyDescent="0.25">
      <c r="A26" s="159" t="s">
        <v>117</v>
      </c>
      <c r="B26" s="160">
        <v>7</v>
      </c>
      <c r="C26" s="178">
        <v>35.200000000000003</v>
      </c>
      <c r="D26" s="179">
        <v>54</v>
      </c>
      <c r="E26" s="179">
        <v>54.5</v>
      </c>
      <c r="F26" s="179">
        <v>41</v>
      </c>
      <c r="G26" s="179">
        <v>44.7</v>
      </c>
      <c r="H26" s="179">
        <v>48.3</v>
      </c>
      <c r="I26" s="179">
        <v>57.2</v>
      </c>
      <c r="J26" s="179">
        <v>60.1</v>
      </c>
      <c r="K26" s="179">
        <v>42.5</v>
      </c>
      <c r="L26" s="179">
        <v>36.4</v>
      </c>
      <c r="M26" s="179">
        <v>30.2</v>
      </c>
      <c r="N26" s="179">
        <v>29.8</v>
      </c>
      <c r="O26" s="179">
        <v>30.6</v>
      </c>
      <c r="P26" s="179">
        <v>40.5</v>
      </c>
      <c r="Q26" s="179">
        <v>35.299999999999997</v>
      </c>
      <c r="R26" s="180">
        <v>45.5</v>
      </c>
      <c r="S26" s="155"/>
      <c r="T26" s="164">
        <f t="shared" si="1"/>
        <v>1.5113782739373123E-2</v>
      </c>
      <c r="U26" s="165">
        <f t="shared" si="1"/>
        <v>2.1695460024106068E-2</v>
      </c>
      <c r="V26" s="165">
        <f t="shared" si="1"/>
        <v>2.0785659801678107E-2</v>
      </c>
      <c r="W26" s="165">
        <f t="shared" si="1"/>
        <v>1.5512674990541053E-2</v>
      </c>
      <c r="X26" s="165">
        <f t="shared" si="1"/>
        <v>1.6125541125541126E-2</v>
      </c>
      <c r="Y26" s="165">
        <f t="shared" si="1"/>
        <v>1.6268103738632536E-2</v>
      </c>
      <c r="Z26" s="165">
        <f t="shared" si="1"/>
        <v>1.8934127772260841E-2</v>
      </c>
      <c r="AA26" s="165">
        <f t="shared" si="1"/>
        <v>1.9776242184929252E-2</v>
      </c>
      <c r="AB26" s="165">
        <f t="shared" si="1"/>
        <v>1.5717455621301776E-2</v>
      </c>
      <c r="AC26" s="165">
        <f t="shared" si="1"/>
        <v>1.3362701908957416E-2</v>
      </c>
      <c r="AD26" s="165">
        <f t="shared" si="1"/>
        <v>1.1050128064398097E-2</v>
      </c>
      <c r="AE26" s="165">
        <f t="shared" si="1"/>
        <v>1.099225378089266E-2</v>
      </c>
      <c r="AF26" s="165">
        <f t="shared" si="1"/>
        <v>1.0320404721753794E-2</v>
      </c>
      <c r="AG26" s="165">
        <f t="shared" si="1"/>
        <v>1.2287621359223301E-2</v>
      </c>
      <c r="AH26" s="165">
        <f t="shared" si="1"/>
        <v>1.012912482065997E-2</v>
      </c>
      <c r="AI26" s="166">
        <f t="shared" si="1"/>
        <v>1.3273045507584598E-2</v>
      </c>
    </row>
    <row r="27" spans="1:35" ht="12" customHeight="1" x14ac:dyDescent="0.25">
      <c r="A27" s="159" t="s">
        <v>117</v>
      </c>
      <c r="B27" s="160">
        <v>8</v>
      </c>
      <c r="C27" s="178">
        <v>20.3</v>
      </c>
      <c r="D27" s="179">
        <v>22.1</v>
      </c>
      <c r="E27" s="179">
        <v>23.5</v>
      </c>
      <c r="F27" s="179">
        <v>23.1</v>
      </c>
      <c r="G27" s="179">
        <v>14.9</v>
      </c>
      <c r="H27" s="179">
        <v>21.9</v>
      </c>
      <c r="I27" s="179">
        <v>20.100000000000001</v>
      </c>
      <c r="J27" s="179">
        <v>26.5</v>
      </c>
      <c r="K27" s="179">
        <v>22.3</v>
      </c>
      <c r="L27" s="179">
        <v>17.3</v>
      </c>
      <c r="M27" s="179">
        <v>16.2</v>
      </c>
      <c r="N27" s="179">
        <v>16.899999999999999</v>
      </c>
      <c r="O27" s="179">
        <v>9.9</v>
      </c>
      <c r="P27" s="179">
        <v>16.5</v>
      </c>
      <c r="Q27" s="179">
        <v>20.3</v>
      </c>
      <c r="R27" s="180">
        <v>14.5</v>
      </c>
      <c r="S27" s="155"/>
      <c r="T27" s="164">
        <f t="shared" si="1"/>
        <v>8.7161872048089305E-3</v>
      </c>
      <c r="U27" s="165">
        <f t="shared" si="1"/>
        <v>8.8790678987545196E-3</v>
      </c>
      <c r="V27" s="165">
        <f t="shared" si="1"/>
        <v>8.9626239511823042E-3</v>
      </c>
      <c r="W27" s="165">
        <f t="shared" si="1"/>
        <v>8.7400681044267885E-3</v>
      </c>
      <c r="X27" s="165">
        <f t="shared" si="1"/>
        <v>5.3751803751803757E-3</v>
      </c>
      <c r="Y27" s="165">
        <f t="shared" si="1"/>
        <v>7.3762209498147522E-3</v>
      </c>
      <c r="Z27" s="165">
        <f t="shared" si="1"/>
        <v>6.6534260178748765E-3</v>
      </c>
      <c r="AA27" s="165">
        <f t="shared" si="1"/>
        <v>8.7199736755511677E-3</v>
      </c>
      <c r="AB27" s="165">
        <f t="shared" si="1"/>
        <v>8.247041420118343E-3</v>
      </c>
      <c r="AC27" s="165">
        <f t="shared" si="1"/>
        <v>6.3509544787077833E-3</v>
      </c>
      <c r="AD27" s="165">
        <f t="shared" si="1"/>
        <v>5.9275521405049393E-3</v>
      </c>
      <c r="AE27" s="165">
        <f t="shared" si="1"/>
        <v>6.2338620435263732E-3</v>
      </c>
      <c r="AF27" s="165">
        <f t="shared" si="1"/>
        <v>3.3389544688026984E-3</v>
      </c>
      <c r="AG27" s="165">
        <f t="shared" si="1"/>
        <v>5.0060679611650489E-3</v>
      </c>
      <c r="AH27" s="165">
        <f t="shared" si="1"/>
        <v>5.8249641319942612E-3</v>
      </c>
      <c r="AI27" s="166">
        <f t="shared" si="1"/>
        <v>4.2298716452742122E-3</v>
      </c>
    </row>
    <row r="28" spans="1:35" ht="12" customHeight="1" x14ac:dyDescent="0.25">
      <c r="A28" s="159" t="s">
        <v>117</v>
      </c>
      <c r="B28" s="160">
        <v>9</v>
      </c>
      <c r="C28" s="178">
        <v>9.3000000000000007</v>
      </c>
      <c r="D28" s="179">
        <v>14.3</v>
      </c>
      <c r="E28" s="179">
        <v>13.1</v>
      </c>
      <c r="F28" s="179">
        <v>13.4</v>
      </c>
      <c r="G28" s="179">
        <v>11.1</v>
      </c>
      <c r="H28" s="179">
        <v>6.3</v>
      </c>
      <c r="I28" s="179">
        <v>15.3</v>
      </c>
      <c r="J28" s="179">
        <v>7.7</v>
      </c>
      <c r="K28" s="179">
        <v>14.2</v>
      </c>
      <c r="L28" s="179">
        <v>8</v>
      </c>
      <c r="M28" s="179">
        <v>12.2</v>
      </c>
      <c r="N28" s="179">
        <v>7</v>
      </c>
      <c r="O28" s="179">
        <v>5.5</v>
      </c>
      <c r="P28" s="179">
        <v>5</v>
      </c>
      <c r="Q28" s="179">
        <v>8.6999999999999993</v>
      </c>
      <c r="R28" s="180">
        <v>11.3</v>
      </c>
      <c r="S28" s="155"/>
      <c r="T28" s="164">
        <f t="shared" si="1"/>
        <v>3.9931300987548308E-3</v>
      </c>
      <c r="U28" s="165">
        <f t="shared" si="1"/>
        <v>5.7452792286058658E-3</v>
      </c>
      <c r="V28" s="165">
        <f t="shared" si="1"/>
        <v>4.9961861174675822E-3</v>
      </c>
      <c r="W28" s="165">
        <f t="shared" si="1"/>
        <v>5.069996216420734E-3</v>
      </c>
      <c r="X28" s="165">
        <f t="shared" si="1"/>
        <v>4.0043290043290042E-3</v>
      </c>
      <c r="Y28" s="165">
        <f t="shared" si="1"/>
        <v>2.1219265746042436E-3</v>
      </c>
      <c r="Z28" s="165">
        <f t="shared" si="1"/>
        <v>5.0645481628599802E-3</v>
      </c>
      <c r="AA28" s="165">
        <f t="shared" si="1"/>
        <v>2.533728200065811E-3</v>
      </c>
      <c r="AB28" s="165">
        <f t="shared" si="1"/>
        <v>5.2514792899408282E-3</v>
      </c>
      <c r="AC28" s="165">
        <f t="shared" si="1"/>
        <v>2.936857562408223E-3</v>
      </c>
      <c r="AD28" s="165">
        <f t="shared" si="1"/>
        <v>4.4639590193926082E-3</v>
      </c>
      <c r="AE28" s="165">
        <f t="shared" si="1"/>
        <v>2.5820730357801547E-3</v>
      </c>
      <c r="AF28" s="165">
        <f t="shared" si="1"/>
        <v>1.8549747048903879E-3</v>
      </c>
      <c r="AG28" s="165">
        <f t="shared" si="1"/>
        <v>1.5169902912621359E-3</v>
      </c>
      <c r="AH28" s="165">
        <f t="shared" si="1"/>
        <v>2.4964131994261118E-3</v>
      </c>
      <c r="AI28" s="166">
        <f t="shared" si="1"/>
        <v>3.2963827304550762E-3</v>
      </c>
    </row>
    <row r="29" spans="1:35" ht="12" customHeight="1" x14ac:dyDescent="0.25">
      <c r="A29" s="159" t="s">
        <v>117</v>
      </c>
      <c r="B29" s="160">
        <v>10</v>
      </c>
      <c r="C29" s="178">
        <v>9.3000000000000007</v>
      </c>
      <c r="D29" s="179">
        <v>3.7</v>
      </c>
      <c r="E29" s="179">
        <v>7.3</v>
      </c>
      <c r="F29" s="179">
        <v>4.4000000000000004</v>
      </c>
      <c r="G29" s="179">
        <v>5.4</v>
      </c>
      <c r="H29" s="179">
        <v>8.8000000000000007</v>
      </c>
      <c r="I29" s="179">
        <v>5.5</v>
      </c>
      <c r="J29" s="179">
        <v>8.1999999999999993</v>
      </c>
      <c r="K29" s="179">
        <v>4.5</v>
      </c>
      <c r="L29" s="179">
        <v>9.1</v>
      </c>
      <c r="M29" s="179">
        <v>4.4000000000000004</v>
      </c>
      <c r="N29" s="179">
        <v>8.1999999999999993</v>
      </c>
      <c r="O29" s="179">
        <v>4.7</v>
      </c>
      <c r="P29" s="179">
        <v>4.2</v>
      </c>
      <c r="Q29" s="179">
        <v>3.9</v>
      </c>
      <c r="R29" s="180">
        <v>5.4</v>
      </c>
      <c r="S29" s="155"/>
      <c r="T29" s="164">
        <f t="shared" si="1"/>
        <v>3.9931300987548308E-3</v>
      </c>
      <c r="U29" s="165">
        <f t="shared" si="1"/>
        <v>1.4865407794294899E-3</v>
      </c>
      <c r="V29" s="165">
        <f t="shared" si="1"/>
        <v>2.7841342486651412E-3</v>
      </c>
      <c r="W29" s="165">
        <f t="shared" si="1"/>
        <v>1.6647748770336739E-3</v>
      </c>
      <c r="X29" s="165">
        <f t="shared" si="1"/>
        <v>1.9480519480519483E-3</v>
      </c>
      <c r="Y29" s="165">
        <f t="shared" si="1"/>
        <v>2.9639609296059281E-3</v>
      </c>
      <c r="Z29" s="165">
        <f t="shared" si="1"/>
        <v>1.8205892088712346E-3</v>
      </c>
      <c r="AA29" s="165">
        <f t="shared" si="1"/>
        <v>2.6982560052648897E-3</v>
      </c>
      <c r="AB29" s="165">
        <f t="shared" si="1"/>
        <v>1.6642011834319527E-3</v>
      </c>
      <c r="AC29" s="165">
        <f t="shared" si="1"/>
        <v>3.3406754772393539E-3</v>
      </c>
      <c r="AD29" s="165">
        <f t="shared" si="1"/>
        <v>1.609952433223564E-3</v>
      </c>
      <c r="AE29" s="165">
        <f t="shared" si="1"/>
        <v>3.0247141276281814E-3</v>
      </c>
      <c r="AF29" s="165">
        <f t="shared" si="1"/>
        <v>1.5851602023608769E-3</v>
      </c>
      <c r="AG29" s="165">
        <f t="shared" si="1"/>
        <v>1.2742718446601942E-3</v>
      </c>
      <c r="AH29" s="165">
        <f t="shared" si="1"/>
        <v>1.1190817790530847E-3</v>
      </c>
      <c r="AI29" s="166">
        <f t="shared" si="1"/>
        <v>1.5752625437572929E-3</v>
      </c>
    </row>
    <row r="30" spans="1:35" ht="12" customHeight="1" x14ac:dyDescent="0.25">
      <c r="A30" s="159" t="s">
        <v>117</v>
      </c>
      <c r="B30" s="160" t="s">
        <v>116</v>
      </c>
      <c r="C30" s="178">
        <v>23.5</v>
      </c>
      <c r="D30" s="179">
        <v>20.7</v>
      </c>
      <c r="E30" s="179">
        <v>17.600000000000001</v>
      </c>
      <c r="F30" s="179">
        <v>12.4</v>
      </c>
      <c r="G30" s="179">
        <v>13.9</v>
      </c>
      <c r="H30" s="179">
        <v>13.6</v>
      </c>
      <c r="I30" s="179">
        <v>16.399999999999999</v>
      </c>
      <c r="J30" s="179">
        <v>14.3</v>
      </c>
      <c r="K30" s="179">
        <v>15.3</v>
      </c>
      <c r="L30" s="179">
        <v>17.899999999999999</v>
      </c>
      <c r="M30" s="179">
        <v>18.3</v>
      </c>
      <c r="N30" s="179">
        <v>9.5</v>
      </c>
      <c r="O30" s="179">
        <v>9.3000000000000007</v>
      </c>
      <c r="P30" s="179">
        <v>11.9</v>
      </c>
      <c r="Q30" s="179">
        <v>11.9</v>
      </c>
      <c r="R30" s="180">
        <v>16.5</v>
      </c>
      <c r="S30" s="155"/>
      <c r="T30" s="164">
        <f t="shared" si="1"/>
        <v>1.0090167453842851E-2</v>
      </c>
      <c r="U30" s="165">
        <f t="shared" si="1"/>
        <v>8.3165930092406592E-3</v>
      </c>
      <c r="V30" s="165">
        <f t="shared" si="1"/>
        <v>6.7124332570556835E-3</v>
      </c>
      <c r="W30" s="165">
        <f t="shared" si="1"/>
        <v>4.691638289822172E-3</v>
      </c>
      <c r="X30" s="165">
        <f t="shared" si="1"/>
        <v>5.0144300144300148E-3</v>
      </c>
      <c r="Y30" s="165">
        <f t="shared" si="1"/>
        <v>4.5806668912091609E-3</v>
      </c>
      <c r="Z30" s="165">
        <f t="shared" si="1"/>
        <v>5.4286660046342266E-3</v>
      </c>
      <c r="AA30" s="165">
        <f t="shared" si="1"/>
        <v>4.7054952286936496E-3</v>
      </c>
      <c r="AB30" s="165">
        <f t="shared" si="1"/>
        <v>5.6582840236686395E-3</v>
      </c>
      <c r="AC30" s="165">
        <f t="shared" si="1"/>
        <v>6.5712187958883988E-3</v>
      </c>
      <c r="AD30" s="165">
        <f t="shared" si="1"/>
        <v>6.6959385290889135E-3</v>
      </c>
      <c r="AE30" s="165">
        <f t="shared" si="1"/>
        <v>3.5042419771302105E-3</v>
      </c>
      <c r="AF30" s="165">
        <f t="shared" si="1"/>
        <v>3.1365935919055654E-3</v>
      </c>
      <c r="AG30" s="165">
        <f t="shared" si="1"/>
        <v>3.6104368932038835E-3</v>
      </c>
      <c r="AH30" s="165">
        <f t="shared" si="1"/>
        <v>3.4146341463414634E-3</v>
      </c>
      <c r="AI30" s="166">
        <f t="shared" si="1"/>
        <v>4.8133022170361731E-3</v>
      </c>
    </row>
    <row r="31" spans="1:35" ht="12" customHeight="1" x14ac:dyDescent="0.25">
      <c r="A31" s="167" t="s">
        <v>117</v>
      </c>
      <c r="B31" s="168" t="s">
        <v>114</v>
      </c>
      <c r="C31" s="181">
        <v>1960.4</v>
      </c>
      <c r="D31" s="182">
        <v>2068.1</v>
      </c>
      <c r="E31" s="182">
        <v>2186.3000000000002</v>
      </c>
      <c r="F31" s="182">
        <v>2172.6999999999998</v>
      </c>
      <c r="G31" s="182">
        <v>2334.3000000000002</v>
      </c>
      <c r="H31" s="182">
        <v>2486.5</v>
      </c>
      <c r="I31" s="182">
        <v>2520.8000000000002</v>
      </c>
      <c r="J31" s="182">
        <v>2542.6</v>
      </c>
      <c r="K31" s="182">
        <v>2240.6</v>
      </c>
      <c r="L31" s="182">
        <v>2254.6999999999998</v>
      </c>
      <c r="M31" s="182">
        <v>2359.9</v>
      </c>
      <c r="N31" s="182">
        <v>2329.1999999999998</v>
      </c>
      <c r="O31" s="182">
        <v>2582.1999999999998</v>
      </c>
      <c r="P31" s="182">
        <v>2843.2</v>
      </c>
      <c r="Q31" s="182">
        <v>2993.3</v>
      </c>
      <c r="R31" s="183">
        <v>2946.6</v>
      </c>
      <c r="S31" s="155"/>
      <c r="T31" s="172">
        <f t="shared" si="1"/>
        <v>0.8417346500644054</v>
      </c>
      <c r="U31" s="173">
        <f t="shared" si="1"/>
        <v>0.83089594214543994</v>
      </c>
      <c r="V31" s="173">
        <f t="shared" si="1"/>
        <v>0.83382913806254777</v>
      </c>
      <c r="W31" s="173">
        <f t="shared" si="1"/>
        <v>0.82205826712069607</v>
      </c>
      <c r="X31" s="173">
        <f t="shared" si="1"/>
        <v>0.84209956709956713</v>
      </c>
      <c r="Y31" s="173">
        <f t="shared" si="1"/>
        <v>0.83748736948467495</v>
      </c>
      <c r="Z31" s="173">
        <f t="shared" si="1"/>
        <v>0.83442568685865615</v>
      </c>
      <c r="AA31" s="173">
        <f t="shared" si="1"/>
        <v>0.83665679499835466</v>
      </c>
      <c r="AB31" s="173">
        <f t="shared" si="1"/>
        <v>0.82862426035502956</v>
      </c>
      <c r="AC31" s="173">
        <f t="shared" si="1"/>
        <v>0.82771659324522751</v>
      </c>
      <c r="AD31" s="173">
        <f t="shared" si="1"/>
        <v>0.86348335162824741</v>
      </c>
      <c r="AE31" s="173">
        <f t="shared" si="1"/>
        <v>0.85916635927701945</v>
      </c>
      <c r="AF31" s="173">
        <f t="shared" si="1"/>
        <v>0.87089376053962897</v>
      </c>
      <c r="AG31" s="173">
        <f t="shared" si="1"/>
        <v>0.86262135922330097</v>
      </c>
      <c r="AH31" s="173">
        <f t="shared" si="1"/>
        <v>0.85890961262553811</v>
      </c>
      <c r="AI31" s="174">
        <f t="shared" si="1"/>
        <v>0.85956826137689613</v>
      </c>
    </row>
    <row r="32" spans="1:35" ht="12" customHeight="1" x14ac:dyDescent="0.25">
      <c r="C32" s="184"/>
      <c r="D32" s="184"/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</row>
    <row r="33" spans="1:35" ht="12" customHeight="1" x14ac:dyDescent="0.25">
      <c r="A33" s="185"/>
      <c r="B33" s="186"/>
      <c r="C33" s="187">
        <f>C19</f>
        <v>2001</v>
      </c>
      <c r="D33" s="187">
        <f t="shared" ref="D33:R33" si="2">D19</f>
        <v>2002</v>
      </c>
      <c r="E33" s="187">
        <f t="shared" si="2"/>
        <v>2003</v>
      </c>
      <c r="F33" s="187">
        <f t="shared" si="2"/>
        <v>2004</v>
      </c>
      <c r="G33" s="187">
        <f t="shared" si="2"/>
        <v>2005</v>
      </c>
      <c r="H33" s="187">
        <f t="shared" si="2"/>
        <v>2006</v>
      </c>
      <c r="I33" s="187">
        <f t="shared" si="2"/>
        <v>2007</v>
      </c>
      <c r="J33" s="187">
        <f t="shared" si="2"/>
        <v>2008</v>
      </c>
      <c r="K33" s="187">
        <f t="shared" si="2"/>
        <v>2009</v>
      </c>
      <c r="L33" s="187">
        <f t="shared" si="2"/>
        <v>2010</v>
      </c>
      <c r="M33" s="187">
        <f t="shared" si="2"/>
        <v>2011</v>
      </c>
      <c r="N33" s="187">
        <f t="shared" si="2"/>
        <v>2012</v>
      </c>
      <c r="O33" s="187">
        <f t="shared" si="2"/>
        <v>2013</v>
      </c>
      <c r="P33" s="187">
        <f t="shared" si="2"/>
        <v>2014</v>
      </c>
      <c r="Q33" s="187">
        <f t="shared" si="2"/>
        <v>2015</v>
      </c>
      <c r="R33" s="187">
        <f t="shared" si="2"/>
        <v>2016</v>
      </c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/>
      <c r="AH33" s="165"/>
      <c r="AI33" s="165"/>
    </row>
    <row r="34" spans="1:35" ht="12" customHeight="1" x14ac:dyDescent="0.25">
      <c r="A34" s="185"/>
      <c r="B34" s="186">
        <f>B20</f>
        <v>1</v>
      </c>
      <c r="C34" s="188">
        <f>C20/C5</f>
        <v>0.89322916666666663</v>
      </c>
      <c r="D34" s="188">
        <f t="shared" ref="D34:R34" si="3">D20/D5</f>
        <v>0.88573825503355696</v>
      </c>
      <c r="E34" s="188">
        <f t="shared" si="3"/>
        <v>0.90207667731629404</v>
      </c>
      <c r="F34" s="188">
        <f t="shared" si="3"/>
        <v>0.87771639042357275</v>
      </c>
      <c r="G34" s="188">
        <f t="shared" si="3"/>
        <v>0.88355957767722471</v>
      </c>
      <c r="H34" s="188">
        <f t="shared" si="3"/>
        <v>0.90973837209302322</v>
      </c>
      <c r="I34" s="188">
        <f t="shared" si="3"/>
        <v>0.90836820083682002</v>
      </c>
      <c r="J34" s="188">
        <f t="shared" si="3"/>
        <v>0.87509202453987733</v>
      </c>
      <c r="K34" s="188">
        <f t="shared" si="3"/>
        <v>0.87724458204334377</v>
      </c>
      <c r="L34" s="188">
        <f t="shared" si="3"/>
        <v>0.8932299012693935</v>
      </c>
      <c r="M34" s="188">
        <f t="shared" si="3"/>
        <v>0.90125874125874128</v>
      </c>
      <c r="N34" s="188">
        <f t="shared" si="3"/>
        <v>0.90439189189189184</v>
      </c>
      <c r="O34" s="188">
        <f t="shared" si="3"/>
        <v>0.89653846153846151</v>
      </c>
      <c r="P34" s="188">
        <f t="shared" si="3"/>
        <v>0.89164648910411626</v>
      </c>
      <c r="Q34" s="188">
        <f t="shared" si="3"/>
        <v>0.90097919216646272</v>
      </c>
      <c r="R34" s="188">
        <f t="shared" si="3"/>
        <v>0.90429936305732483</v>
      </c>
      <c r="T34" s="165">
        <f>AVERAGE(C34:R34)</f>
        <v>0.8940692054322984</v>
      </c>
      <c r="U34" s="189">
        <f>_xlfn.STDEV.S(C34:R34)</f>
        <v>1.1339032217890293E-2</v>
      </c>
      <c r="V34" s="189">
        <f>_xlfn.CONFIDENCE.NORM(0.05,U34,COUNT(C34:R34))</f>
        <v>5.5560236916510752E-3</v>
      </c>
      <c r="W34" s="165">
        <f>T34-V34</f>
        <v>0.88851318174064731</v>
      </c>
      <c r="X34" s="165">
        <f>T34+V34</f>
        <v>0.89962522912394949</v>
      </c>
      <c r="Y34" s="165"/>
      <c r="Z34" s="165"/>
      <c r="AA34" s="165"/>
      <c r="AB34" s="165"/>
      <c r="AC34" s="165"/>
      <c r="AD34" s="165"/>
      <c r="AE34" s="165"/>
      <c r="AF34" s="165"/>
      <c r="AG34" s="165"/>
      <c r="AH34" s="165"/>
      <c r="AI34" s="165"/>
    </row>
    <row r="35" spans="1:35" ht="12" customHeight="1" x14ac:dyDescent="0.25">
      <c r="A35" s="185"/>
      <c r="B35" s="186">
        <f t="shared" ref="B35:B45" si="4">B21</f>
        <v>2</v>
      </c>
      <c r="C35" s="188">
        <f t="shared" ref="C35:R45" si="5">C21/C6</f>
        <v>0.87855361596009973</v>
      </c>
      <c r="D35" s="188">
        <f t="shared" si="5"/>
        <v>0.88222748815165875</v>
      </c>
      <c r="E35" s="188">
        <f t="shared" si="5"/>
        <v>0.87716701902748406</v>
      </c>
      <c r="F35" s="188">
        <f t="shared" si="5"/>
        <v>0.87902912621359219</v>
      </c>
      <c r="G35" s="188">
        <f t="shared" si="5"/>
        <v>0.90186480186480178</v>
      </c>
      <c r="H35" s="188">
        <f t="shared" si="5"/>
        <v>0.87560553633217997</v>
      </c>
      <c r="I35" s="188">
        <f t="shared" si="5"/>
        <v>0.89126394052044611</v>
      </c>
      <c r="J35" s="188">
        <f t="shared" si="5"/>
        <v>0.8970760233918128</v>
      </c>
      <c r="K35" s="188">
        <f t="shared" si="5"/>
        <v>0.88890845070422531</v>
      </c>
      <c r="L35" s="188">
        <f t="shared" si="5"/>
        <v>0.86956521739130432</v>
      </c>
      <c r="M35" s="188">
        <f t="shared" si="5"/>
        <v>0.89765765765765759</v>
      </c>
      <c r="N35" s="188">
        <f t="shared" si="5"/>
        <v>0.89390681003584227</v>
      </c>
      <c r="O35" s="188">
        <f t="shared" si="5"/>
        <v>0.91075050709939143</v>
      </c>
      <c r="P35" s="188">
        <f t="shared" si="5"/>
        <v>0.90206794682422464</v>
      </c>
      <c r="Q35" s="188">
        <f t="shared" si="5"/>
        <v>0.89216783216783213</v>
      </c>
      <c r="R35" s="188">
        <f t="shared" si="5"/>
        <v>0.88896648044692739</v>
      </c>
      <c r="T35" s="165">
        <f t="shared" ref="T35:T45" si="6">AVERAGE(C35:R35)</f>
        <v>0.88917365336184251</v>
      </c>
      <c r="U35" s="189">
        <f t="shared" ref="U35:U45" si="7">_xlfn.STDEV.S(C35:R35)</f>
        <v>1.137205507751291E-2</v>
      </c>
      <c r="V35" s="189">
        <f t="shared" ref="V35:V45" si="8">_xlfn.CONFIDENCE.NORM(0.05,U35,COUNT(C35:R35))</f>
        <v>5.5722045955327879E-3</v>
      </c>
      <c r="W35" s="165">
        <f t="shared" ref="W35:W45" si="9">T35-V35</f>
        <v>0.88360144876630975</v>
      </c>
      <c r="X35" s="165">
        <f t="shared" ref="X35:X45" si="10">T35+V35</f>
        <v>0.89474585795737527</v>
      </c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</row>
    <row r="36" spans="1:35" ht="12" customHeight="1" x14ac:dyDescent="0.25">
      <c r="A36" s="185"/>
      <c r="B36" s="186">
        <f t="shared" si="4"/>
        <v>3</v>
      </c>
      <c r="C36" s="188">
        <f t="shared" si="5"/>
        <v>0.85636363636363633</v>
      </c>
      <c r="D36" s="188">
        <f t="shared" si="5"/>
        <v>0.84022988505747132</v>
      </c>
      <c r="E36" s="188">
        <f t="shared" si="5"/>
        <v>0.87212765957446803</v>
      </c>
      <c r="F36" s="188">
        <f t="shared" si="5"/>
        <v>0.8484472049689441</v>
      </c>
      <c r="G36" s="188">
        <f t="shared" si="5"/>
        <v>0.87341513292433548</v>
      </c>
      <c r="H36" s="188">
        <f t="shared" si="5"/>
        <v>0.85786026200873355</v>
      </c>
      <c r="I36" s="188">
        <f t="shared" si="5"/>
        <v>0.86213768115942024</v>
      </c>
      <c r="J36" s="188">
        <f t="shared" si="5"/>
        <v>0.87369477911646587</v>
      </c>
      <c r="K36" s="188">
        <f t="shared" si="5"/>
        <v>0.83191964285714282</v>
      </c>
      <c r="L36" s="188">
        <f t="shared" si="5"/>
        <v>0.82971428571428574</v>
      </c>
      <c r="M36" s="188">
        <f t="shared" si="5"/>
        <v>0.89095022624434395</v>
      </c>
      <c r="N36" s="188">
        <f t="shared" si="5"/>
        <v>0.87329749103942655</v>
      </c>
      <c r="O36" s="188">
        <f t="shared" si="5"/>
        <v>0.9018518518518519</v>
      </c>
      <c r="P36" s="188">
        <f t="shared" si="5"/>
        <v>0.88777777777777778</v>
      </c>
      <c r="Q36" s="188">
        <f t="shared" si="5"/>
        <v>0.87862068965517237</v>
      </c>
      <c r="R36" s="188">
        <f t="shared" si="5"/>
        <v>0.88585572842998583</v>
      </c>
      <c r="T36" s="165">
        <f t="shared" si="6"/>
        <v>0.8665164959214664</v>
      </c>
      <c r="U36" s="189">
        <f t="shared" si="7"/>
        <v>2.1230096785164909E-2</v>
      </c>
      <c r="V36" s="189">
        <f t="shared" si="8"/>
        <v>1.04025562718057E-2</v>
      </c>
      <c r="W36" s="165">
        <f t="shared" si="9"/>
        <v>0.85611393964966065</v>
      </c>
      <c r="X36" s="165">
        <f t="shared" si="10"/>
        <v>0.87691905219327215</v>
      </c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</row>
    <row r="37" spans="1:35" ht="12" customHeight="1" x14ac:dyDescent="0.25">
      <c r="A37" s="185"/>
      <c r="B37" s="186">
        <f t="shared" si="4"/>
        <v>4</v>
      </c>
      <c r="C37" s="188">
        <f t="shared" si="5"/>
        <v>0.86280487804878048</v>
      </c>
      <c r="D37" s="188">
        <f t="shared" si="5"/>
        <v>0.84763157894736851</v>
      </c>
      <c r="E37" s="188">
        <f t="shared" si="5"/>
        <v>0.81496437054631832</v>
      </c>
      <c r="F37" s="188">
        <f t="shared" si="5"/>
        <v>0.83445190156599558</v>
      </c>
      <c r="G37" s="188">
        <f t="shared" si="5"/>
        <v>0.86826722338204587</v>
      </c>
      <c r="H37" s="188">
        <f t="shared" si="5"/>
        <v>0.84241803278688532</v>
      </c>
      <c r="I37" s="188">
        <f t="shared" si="5"/>
        <v>0.84145199063231857</v>
      </c>
      <c r="J37" s="188">
        <f t="shared" si="5"/>
        <v>0.85499999999999998</v>
      </c>
      <c r="K37" s="188">
        <f t="shared" si="5"/>
        <v>0.8325980392156862</v>
      </c>
      <c r="L37" s="188">
        <f t="shared" si="5"/>
        <v>0.82788461538461533</v>
      </c>
      <c r="M37" s="188">
        <f t="shared" si="5"/>
        <v>0.88193018480492813</v>
      </c>
      <c r="N37" s="188">
        <f t="shared" si="5"/>
        <v>0.86596736596736601</v>
      </c>
      <c r="O37" s="188">
        <f t="shared" si="5"/>
        <v>0.87629629629629624</v>
      </c>
      <c r="P37" s="188">
        <f t="shared" si="5"/>
        <v>0.86720142602495542</v>
      </c>
      <c r="Q37" s="188">
        <f t="shared" si="5"/>
        <v>0.859811320754717</v>
      </c>
      <c r="R37" s="188">
        <f t="shared" si="5"/>
        <v>0.8740524781341108</v>
      </c>
      <c r="T37" s="165">
        <f t="shared" si="6"/>
        <v>0.85329573140577419</v>
      </c>
      <c r="U37" s="189">
        <f t="shared" si="7"/>
        <v>1.9464239960002419E-2</v>
      </c>
      <c r="V37" s="189">
        <f t="shared" si="8"/>
        <v>9.5373023270125187E-3</v>
      </c>
      <c r="W37" s="165">
        <f t="shared" si="9"/>
        <v>0.84375842907876164</v>
      </c>
      <c r="X37" s="165">
        <f t="shared" si="10"/>
        <v>0.86283303373278675</v>
      </c>
      <c r="Y37" s="165"/>
      <c r="Z37" s="165"/>
      <c r="AA37" s="165"/>
      <c r="AB37" s="165"/>
      <c r="AC37" s="165"/>
      <c r="AD37" s="165"/>
      <c r="AE37" s="165"/>
      <c r="AF37" s="165"/>
      <c r="AG37" s="165"/>
      <c r="AH37" s="165"/>
      <c r="AI37" s="165"/>
    </row>
    <row r="38" spans="1:35" ht="12" customHeight="1" x14ac:dyDescent="0.25">
      <c r="A38" s="185"/>
      <c r="B38" s="186">
        <f t="shared" si="4"/>
        <v>5</v>
      </c>
      <c r="C38" s="188">
        <f t="shared" si="5"/>
        <v>0.83116883116883122</v>
      </c>
      <c r="D38" s="188">
        <f t="shared" si="5"/>
        <v>0.81485507246376809</v>
      </c>
      <c r="E38" s="188">
        <f t="shared" si="5"/>
        <v>0.79415807560137452</v>
      </c>
      <c r="F38" s="188">
        <f t="shared" si="5"/>
        <v>0.76775147928994081</v>
      </c>
      <c r="G38" s="188">
        <f t="shared" si="5"/>
        <v>0.80771349862258945</v>
      </c>
      <c r="H38" s="188">
        <f t="shared" si="5"/>
        <v>0.80778894472361806</v>
      </c>
      <c r="I38" s="188">
        <f t="shared" si="5"/>
        <v>0.78921052631578936</v>
      </c>
      <c r="J38" s="188">
        <f t="shared" si="5"/>
        <v>0.78291925465838508</v>
      </c>
      <c r="K38" s="188">
        <f t="shared" si="5"/>
        <v>0.80369230769230771</v>
      </c>
      <c r="L38" s="188">
        <f t="shared" si="5"/>
        <v>0.7912457912457912</v>
      </c>
      <c r="M38" s="188">
        <f t="shared" si="5"/>
        <v>0.79453924914675766</v>
      </c>
      <c r="N38" s="188">
        <f t="shared" si="5"/>
        <v>0.8046511627906977</v>
      </c>
      <c r="O38" s="188">
        <f t="shared" si="5"/>
        <v>0.82295597484276728</v>
      </c>
      <c r="P38" s="188">
        <f t="shared" si="5"/>
        <v>0.82630385487528335</v>
      </c>
      <c r="Q38" s="188">
        <f t="shared" si="5"/>
        <v>0.80025000000000002</v>
      </c>
      <c r="R38" s="188">
        <f t="shared" si="5"/>
        <v>0.80890052356020947</v>
      </c>
      <c r="T38" s="165">
        <f t="shared" si="6"/>
        <v>0.80300653418738188</v>
      </c>
      <c r="U38" s="189">
        <f t="shared" si="7"/>
        <v>1.6512299550577141E-2</v>
      </c>
      <c r="V38" s="189">
        <f t="shared" si="8"/>
        <v>8.090878105267027E-3</v>
      </c>
      <c r="W38" s="165">
        <f t="shared" si="9"/>
        <v>0.7949156560821149</v>
      </c>
      <c r="X38" s="165">
        <f t="shared" si="10"/>
        <v>0.81109741229264887</v>
      </c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</row>
    <row r="39" spans="1:35" ht="12" customHeight="1" x14ac:dyDescent="0.25">
      <c r="A39" s="185"/>
      <c r="B39" s="186">
        <f t="shared" si="4"/>
        <v>6</v>
      </c>
      <c r="C39" s="188">
        <f t="shared" si="5"/>
        <v>0.78036809815950925</v>
      </c>
      <c r="D39" s="188">
        <f t="shared" si="5"/>
        <v>0.72153846153846146</v>
      </c>
      <c r="E39" s="188">
        <f t="shared" si="5"/>
        <v>0.72448979591836737</v>
      </c>
      <c r="F39" s="188">
        <f t="shared" si="5"/>
        <v>0.70662251655629138</v>
      </c>
      <c r="G39" s="188">
        <f t="shared" si="5"/>
        <v>0.73586956521739133</v>
      </c>
      <c r="H39" s="188">
        <f t="shared" si="5"/>
        <v>0.68941798941798949</v>
      </c>
      <c r="I39" s="188">
        <f t="shared" si="5"/>
        <v>0.66540284360189572</v>
      </c>
      <c r="J39" s="188">
        <f t="shared" si="5"/>
        <v>0.72368421052631582</v>
      </c>
      <c r="K39" s="188">
        <f t="shared" si="5"/>
        <v>0.69424460431654678</v>
      </c>
      <c r="L39" s="188">
        <f t="shared" si="5"/>
        <v>0.68321678321678325</v>
      </c>
      <c r="M39" s="188">
        <f t="shared" si="5"/>
        <v>0.7</v>
      </c>
      <c r="N39" s="188">
        <f t="shared" si="5"/>
        <v>0.75299145299145298</v>
      </c>
      <c r="O39" s="188">
        <f t="shared" si="5"/>
        <v>0.74782608695652175</v>
      </c>
      <c r="P39" s="188">
        <f t="shared" si="5"/>
        <v>0.696031746031746</v>
      </c>
      <c r="Q39" s="188">
        <f t="shared" si="5"/>
        <v>0.72586206896551719</v>
      </c>
      <c r="R39" s="188">
        <f t="shared" si="5"/>
        <v>0.69151515151515153</v>
      </c>
      <c r="T39" s="165">
        <f t="shared" si="6"/>
        <v>0.71494258593312132</v>
      </c>
      <c r="U39" s="189">
        <f t="shared" si="7"/>
        <v>2.9796393535955517E-2</v>
      </c>
      <c r="V39" s="189">
        <f t="shared" si="8"/>
        <v>1.4599964549913719E-2</v>
      </c>
      <c r="W39" s="165">
        <f t="shared" si="9"/>
        <v>0.70034262138320758</v>
      </c>
      <c r="X39" s="165">
        <f t="shared" si="10"/>
        <v>0.72954255048303507</v>
      </c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</row>
    <row r="40" spans="1:35" ht="12" customHeight="1" x14ac:dyDescent="0.25">
      <c r="A40" s="185"/>
      <c r="B40" s="186">
        <f t="shared" si="4"/>
        <v>7</v>
      </c>
      <c r="C40" s="188">
        <f t="shared" si="5"/>
        <v>0.66415094339622649</v>
      </c>
      <c r="D40" s="188">
        <f t="shared" si="5"/>
        <v>0.67500000000000004</v>
      </c>
      <c r="E40" s="188">
        <f t="shared" si="5"/>
        <v>0.63372093023255816</v>
      </c>
      <c r="F40" s="188">
        <f t="shared" si="5"/>
        <v>0.62121212121212122</v>
      </c>
      <c r="G40" s="188">
        <f t="shared" si="5"/>
        <v>0.57307692307692315</v>
      </c>
      <c r="H40" s="188">
        <f t="shared" si="5"/>
        <v>0.58192771084337347</v>
      </c>
      <c r="I40" s="188">
        <f t="shared" si="5"/>
        <v>0.61505376344086027</v>
      </c>
      <c r="J40" s="188">
        <f t="shared" si="5"/>
        <v>0.63936170212765964</v>
      </c>
      <c r="K40" s="188">
        <f t="shared" si="5"/>
        <v>0.625</v>
      </c>
      <c r="L40" s="188">
        <f t="shared" si="5"/>
        <v>0.65</v>
      </c>
      <c r="M40" s="188">
        <f t="shared" si="5"/>
        <v>0.64255319148936174</v>
      </c>
      <c r="N40" s="188">
        <f t="shared" si="5"/>
        <v>0.67727272727272725</v>
      </c>
      <c r="O40" s="188">
        <f t="shared" si="5"/>
        <v>0.66521739130434787</v>
      </c>
      <c r="P40" s="188">
        <f t="shared" si="5"/>
        <v>0.66393442622950816</v>
      </c>
      <c r="Q40" s="188">
        <f t="shared" si="5"/>
        <v>0.63035714285714284</v>
      </c>
      <c r="R40" s="188">
        <f t="shared" si="5"/>
        <v>0.67910447761194026</v>
      </c>
      <c r="T40" s="165">
        <f t="shared" si="6"/>
        <v>0.63980896569342183</v>
      </c>
      <c r="U40" s="189">
        <f t="shared" si="7"/>
        <v>3.185969222967263E-2</v>
      </c>
      <c r="V40" s="189">
        <f t="shared" si="8"/>
        <v>1.5610962332172238E-2</v>
      </c>
      <c r="W40" s="165">
        <f t="shared" si="9"/>
        <v>0.62419800336124964</v>
      </c>
      <c r="X40" s="165">
        <f t="shared" si="10"/>
        <v>0.65541992802559401</v>
      </c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</row>
    <row r="41" spans="1:35" ht="12" customHeight="1" x14ac:dyDescent="0.25">
      <c r="A41" s="185"/>
      <c r="B41" s="186">
        <f t="shared" si="4"/>
        <v>8</v>
      </c>
      <c r="C41" s="188">
        <f t="shared" si="5"/>
        <v>0.67666666666666664</v>
      </c>
      <c r="D41" s="188">
        <f t="shared" si="5"/>
        <v>0.63142857142857145</v>
      </c>
      <c r="E41" s="188">
        <f t="shared" si="5"/>
        <v>0.63513513513513509</v>
      </c>
      <c r="F41" s="188">
        <f t="shared" si="5"/>
        <v>0.56341463414634152</v>
      </c>
      <c r="G41" s="188">
        <f t="shared" si="5"/>
        <v>0.51379310344827589</v>
      </c>
      <c r="H41" s="188">
        <f t="shared" si="5"/>
        <v>0.59189189189189184</v>
      </c>
      <c r="I41" s="188">
        <f t="shared" si="5"/>
        <v>0.60909090909090913</v>
      </c>
      <c r="J41" s="188">
        <f t="shared" si="5"/>
        <v>0.55208333333333337</v>
      </c>
      <c r="K41" s="188">
        <f t="shared" si="5"/>
        <v>0.63714285714285712</v>
      </c>
      <c r="L41" s="188">
        <f t="shared" si="5"/>
        <v>0.5580645161290323</v>
      </c>
      <c r="M41" s="188">
        <f t="shared" si="5"/>
        <v>0.73636363636363633</v>
      </c>
      <c r="N41" s="188">
        <f t="shared" si="5"/>
        <v>0.67599999999999993</v>
      </c>
      <c r="O41" s="188">
        <f t="shared" si="5"/>
        <v>0.55000000000000004</v>
      </c>
      <c r="P41" s="188">
        <f t="shared" si="5"/>
        <v>0.63461538461538458</v>
      </c>
      <c r="Q41" s="188">
        <f t="shared" si="5"/>
        <v>0.67666666666666664</v>
      </c>
      <c r="R41" s="188">
        <f t="shared" si="5"/>
        <v>0.60416666666666663</v>
      </c>
      <c r="T41" s="165">
        <f t="shared" si="6"/>
        <v>0.6154077482953354</v>
      </c>
      <c r="U41" s="189">
        <f t="shared" si="7"/>
        <v>5.9227653442811681E-2</v>
      </c>
      <c r="V41" s="189">
        <f t="shared" si="8"/>
        <v>2.9021016909182653E-2</v>
      </c>
      <c r="W41" s="165">
        <f t="shared" si="9"/>
        <v>0.58638673138615272</v>
      </c>
      <c r="X41" s="165">
        <f t="shared" si="10"/>
        <v>0.64442876520451808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</row>
    <row r="42" spans="1:35" ht="12" customHeight="1" x14ac:dyDescent="0.25">
      <c r="A42" s="185"/>
      <c r="B42" s="186">
        <f t="shared" si="4"/>
        <v>9</v>
      </c>
      <c r="C42" s="188">
        <f t="shared" si="5"/>
        <v>0.48947368421052634</v>
      </c>
      <c r="D42" s="188">
        <f t="shared" si="5"/>
        <v>0.65</v>
      </c>
      <c r="E42" s="188">
        <f t="shared" si="5"/>
        <v>0.62380952380952381</v>
      </c>
      <c r="F42" s="188">
        <f t="shared" si="5"/>
        <v>0.55833333333333335</v>
      </c>
      <c r="G42" s="188">
        <f t="shared" si="5"/>
        <v>0.52857142857142858</v>
      </c>
      <c r="H42" s="188">
        <f t="shared" si="5"/>
        <v>0.57272727272727275</v>
      </c>
      <c r="I42" s="188">
        <f t="shared" si="5"/>
        <v>0.56666666666666665</v>
      </c>
      <c r="J42" s="188">
        <f t="shared" si="5"/>
        <v>0.55000000000000004</v>
      </c>
      <c r="K42" s="188">
        <f t="shared" si="5"/>
        <v>0.5461538461538461</v>
      </c>
      <c r="L42" s="188">
        <f t="shared" si="5"/>
        <v>0.53333333333333333</v>
      </c>
      <c r="M42" s="188">
        <f t="shared" si="5"/>
        <v>0.64210526315789473</v>
      </c>
      <c r="N42" s="188">
        <f t="shared" si="5"/>
        <v>0.7</v>
      </c>
      <c r="O42" s="188">
        <f t="shared" si="5"/>
        <v>0.6875</v>
      </c>
      <c r="P42" s="188">
        <f t="shared" si="5"/>
        <v>0.625</v>
      </c>
      <c r="Q42" s="188">
        <f t="shared" si="5"/>
        <v>0.62142857142857133</v>
      </c>
      <c r="R42" s="188">
        <f t="shared" si="5"/>
        <v>0.62777777777777777</v>
      </c>
      <c r="T42" s="165">
        <f t="shared" si="6"/>
        <v>0.59518004382313594</v>
      </c>
      <c r="U42" s="189">
        <f t="shared" si="7"/>
        <v>6.0405881326532254E-2</v>
      </c>
      <c r="V42" s="189">
        <f t="shared" si="8"/>
        <v>2.9598337963600944E-2</v>
      </c>
      <c r="W42" s="165">
        <f t="shared" si="9"/>
        <v>0.56558170585953504</v>
      </c>
      <c r="X42" s="165">
        <f t="shared" si="10"/>
        <v>0.62477838178673684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</row>
    <row r="43" spans="1:35" ht="12" customHeight="1" x14ac:dyDescent="0.25">
      <c r="A43" s="185"/>
      <c r="B43" s="186">
        <f t="shared" si="4"/>
        <v>10</v>
      </c>
      <c r="C43" s="188">
        <f t="shared" si="5"/>
        <v>0.54705882352941182</v>
      </c>
      <c r="D43" s="188">
        <f t="shared" si="5"/>
        <v>0.46250000000000002</v>
      </c>
      <c r="E43" s="188">
        <f t="shared" si="5"/>
        <v>0.48666666666666664</v>
      </c>
      <c r="F43" s="188">
        <f t="shared" si="5"/>
        <v>0.48888888888888893</v>
      </c>
      <c r="G43" s="188">
        <f t="shared" si="5"/>
        <v>0.49090909090909096</v>
      </c>
      <c r="H43" s="188">
        <f t="shared" si="5"/>
        <v>0.62857142857142867</v>
      </c>
      <c r="I43" s="188">
        <f t="shared" si="5"/>
        <v>0.5</v>
      </c>
      <c r="J43" s="188">
        <f t="shared" si="5"/>
        <v>0.54666666666666663</v>
      </c>
      <c r="K43" s="188">
        <f t="shared" si="5"/>
        <v>0.40909090909090912</v>
      </c>
      <c r="L43" s="188">
        <f t="shared" si="5"/>
        <v>0.45499999999999996</v>
      </c>
      <c r="M43" s="188">
        <f t="shared" si="5"/>
        <v>0.73333333333333339</v>
      </c>
      <c r="N43" s="188">
        <f t="shared" si="5"/>
        <v>0.58571428571428563</v>
      </c>
      <c r="O43" s="188">
        <f t="shared" si="5"/>
        <v>0.58750000000000002</v>
      </c>
      <c r="P43" s="188">
        <f t="shared" si="5"/>
        <v>0.6</v>
      </c>
      <c r="Q43" s="188">
        <f t="shared" si="5"/>
        <v>0.78</v>
      </c>
      <c r="R43" s="188">
        <f t="shared" si="5"/>
        <v>0.60000000000000009</v>
      </c>
      <c r="T43" s="165">
        <f t="shared" si="6"/>
        <v>0.55636875583566758</v>
      </c>
      <c r="U43" s="189">
        <f t="shared" si="7"/>
        <v>0.10000372058716689</v>
      </c>
      <c r="V43" s="189">
        <f t="shared" si="8"/>
        <v>4.9000922667713449E-2</v>
      </c>
      <c r="W43" s="165">
        <f t="shared" si="9"/>
        <v>0.50736783316795409</v>
      </c>
      <c r="X43" s="165">
        <f t="shared" si="10"/>
        <v>0.60536967850338108</v>
      </c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</row>
    <row r="44" spans="1:35" ht="12" customHeight="1" x14ac:dyDescent="0.25">
      <c r="A44" s="185"/>
      <c r="B44" s="186" t="str">
        <f t="shared" si="4"/>
        <v>11+</v>
      </c>
      <c r="C44" s="188">
        <f t="shared" si="5"/>
        <v>0.47959183673469385</v>
      </c>
      <c r="D44" s="188">
        <f t="shared" si="5"/>
        <v>0.51749999999999996</v>
      </c>
      <c r="E44" s="188">
        <f t="shared" si="5"/>
        <v>0.50285714285714289</v>
      </c>
      <c r="F44" s="188">
        <f t="shared" si="5"/>
        <v>0.47692307692307695</v>
      </c>
      <c r="G44" s="188">
        <f t="shared" si="5"/>
        <v>0.5346153846153846</v>
      </c>
      <c r="H44" s="188">
        <f t="shared" si="5"/>
        <v>0.54400000000000004</v>
      </c>
      <c r="I44" s="188">
        <f t="shared" si="5"/>
        <v>0.51249999999999996</v>
      </c>
      <c r="J44" s="188">
        <f t="shared" si="5"/>
        <v>0.47666666666666668</v>
      </c>
      <c r="K44" s="188">
        <f t="shared" si="5"/>
        <v>0.51</v>
      </c>
      <c r="L44" s="188">
        <f t="shared" si="5"/>
        <v>0.61724137931034473</v>
      </c>
      <c r="M44" s="188">
        <f t="shared" si="5"/>
        <v>0.55454545454545456</v>
      </c>
      <c r="N44" s="188">
        <f t="shared" si="5"/>
        <v>0.47499999999999998</v>
      </c>
      <c r="O44" s="188">
        <f t="shared" si="5"/>
        <v>0.42272727272727278</v>
      </c>
      <c r="P44" s="188">
        <f t="shared" si="5"/>
        <v>0.5173913043478261</v>
      </c>
      <c r="Q44" s="188">
        <f t="shared" si="5"/>
        <v>0.62631578947368427</v>
      </c>
      <c r="R44" s="188">
        <f t="shared" si="5"/>
        <v>0.63461538461538458</v>
      </c>
      <c r="T44" s="165">
        <f t="shared" si="6"/>
        <v>0.5251556683010582</v>
      </c>
      <c r="U44" s="189">
        <f t="shared" si="7"/>
        <v>5.9312566196590331E-2</v>
      </c>
      <c r="V44" s="189">
        <f t="shared" si="8"/>
        <v>2.9062623393991221E-2</v>
      </c>
      <c r="W44" s="165">
        <f t="shared" si="9"/>
        <v>0.49609304490706696</v>
      </c>
      <c r="X44" s="165">
        <f t="shared" si="10"/>
        <v>0.55421829169504944</v>
      </c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</row>
    <row r="45" spans="1:35" ht="12" customHeight="1" x14ac:dyDescent="0.25">
      <c r="A45" s="185"/>
      <c r="B45" s="186" t="str">
        <f t="shared" si="4"/>
        <v>Total</v>
      </c>
      <c r="C45" s="188">
        <f t="shared" si="5"/>
        <v>0.8417346500644054</v>
      </c>
      <c r="D45" s="188">
        <f t="shared" si="5"/>
        <v>0.83089594214543994</v>
      </c>
      <c r="E45" s="188">
        <f t="shared" si="5"/>
        <v>0.83382913806254777</v>
      </c>
      <c r="F45" s="188">
        <f t="shared" si="5"/>
        <v>0.82205826712069607</v>
      </c>
      <c r="G45" s="188">
        <f t="shared" si="5"/>
        <v>0.84209956709956713</v>
      </c>
      <c r="H45" s="188">
        <f t="shared" si="5"/>
        <v>0.83748736948467495</v>
      </c>
      <c r="I45" s="188">
        <f t="shared" si="5"/>
        <v>0.83442568685865615</v>
      </c>
      <c r="J45" s="188">
        <f t="shared" si="5"/>
        <v>0.83665679499835466</v>
      </c>
      <c r="K45" s="188">
        <f t="shared" si="5"/>
        <v>0.82862426035502956</v>
      </c>
      <c r="L45" s="188">
        <f t="shared" si="5"/>
        <v>0.82771659324522751</v>
      </c>
      <c r="M45" s="188">
        <f t="shared" si="5"/>
        <v>0.86348335162824741</v>
      </c>
      <c r="N45" s="188">
        <f t="shared" si="5"/>
        <v>0.85916635927701945</v>
      </c>
      <c r="O45" s="188">
        <f t="shared" si="5"/>
        <v>0.87089376053962897</v>
      </c>
      <c r="P45" s="188">
        <f t="shared" si="5"/>
        <v>0.86262135922330097</v>
      </c>
      <c r="Q45" s="188">
        <f t="shared" si="5"/>
        <v>0.85890961262553811</v>
      </c>
      <c r="R45" s="188">
        <f t="shared" si="5"/>
        <v>0.85956826137689613</v>
      </c>
      <c r="T45" s="165">
        <f t="shared" si="6"/>
        <v>0.84438568588157681</v>
      </c>
      <c r="U45" s="189">
        <f t="shared" si="7"/>
        <v>1.5485152304382103E-2</v>
      </c>
      <c r="V45" s="189">
        <f t="shared" si="8"/>
        <v>7.5875852029265852E-3</v>
      </c>
      <c r="W45" s="165">
        <f t="shared" si="9"/>
        <v>0.83679810067865024</v>
      </c>
      <c r="X45" s="165">
        <f t="shared" si="10"/>
        <v>0.85197327108450338</v>
      </c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</row>
    <row r="46" spans="1:35" ht="12" customHeight="1" x14ac:dyDescent="0.25">
      <c r="A46" s="185"/>
      <c r="B46" s="186"/>
      <c r="C46" s="188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</row>
    <row r="47" spans="1:35" ht="12" customHeight="1" x14ac:dyDescent="0.25">
      <c r="A47" s="185"/>
      <c r="B47" s="186"/>
      <c r="C47" s="188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165"/>
      <c r="AE47" s="165"/>
      <c r="AF47" s="165"/>
      <c r="AG47" s="165"/>
      <c r="AH47" s="165"/>
      <c r="AI47" s="165"/>
    </row>
    <row r="48" spans="1:35" ht="12" customHeight="1" x14ac:dyDescent="0.25">
      <c r="A48" s="185"/>
      <c r="B48" s="186"/>
      <c r="C48" s="188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T48" s="165"/>
      <c r="U48" s="165"/>
      <c r="V48" s="165"/>
      <c r="W48" s="165"/>
      <c r="X48" s="165"/>
      <c r="Y48" s="165"/>
      <c r="Z48" s="165"/>
      <c r="AA48" s="165"/>
      <c r="AB48" s="165"/>
      <c r="AC48" s="165"/>
      <c r="AD48" s="165"/>
      <c r="AE48" s="165"/>
      <c r="AF48" s="165"/>
      <c r="AG48" s="165"/>
      <c r="AH48" s="165"/>
      <c r="AI48" s="165"/>
    </row>
    <row r="49" spans="1:35" ht="12" customHeight="1" x14ac:dyDescent="0.25">
      <c r="A49" s="185"/>
      <c r="B49" s="186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</row>
    <row r="50" spans="1:35" ht="12" customHeight="1" x14ac:dyDescent="0.25">
      <c r="A50" s="185"/>
      <c r="B50" s="186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T50" s="165"/>
      <c r="U50" s="165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</row>
    <row r="51" spans="1:35" ht="12" customHeight="1" x14ac:dyDescent="0.25">
      <c r="A51" s="185"/>
      <c r="B51" s="186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</row>
    <row r="52" spans="1:35" ht="12" customHeight="1" x14ac:dyDescent="0.25">
      <c r="A52" s="185"/>
      <c r="B52" s="186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</row>
    <row r="53" spans="1:35" ht="12" customHeight="1" x14ac:dyDescent="0.25">
      <c r="A53" s="185"/>
      <c r="B53" s="186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</row>
    <row r="54" spans="1:35" ht="12" customHeight="1" x14ac:dyDescent="0.25">
      <c r="A54" s="185"/>
      <c r="B54" s="186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</row>
    <row r="55" spans="1:35" ht="12" customHeight="1" x14ac:dyDescent="0.25">
      <c r="A55" s="185"/>
      <c r="B55" s="186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T55" s="165"/>
      <c r="U55" s="165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5"/>
      <c r="AH55" s="165"/>
      <c r="AI55" s="165"/>
    </row>
    <row r="56" spans="1:35" ht="12" customHeight="1" x14ac:dyDescent="0.25">
      <c r="A56" s="185"/>
      <c r="B56" s="186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</row>
    <row r="57" spans="1:35" ht="12" customHeight="1" x14ac:dyDescent="0.25">
      <c r="A57" s="185"/>
      <c r="B57" s="186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</row>
    <row r="58" spans="1:35" ht="12" customHeight="1" x14ac:dyDescent="0.25">
      <c r="A58" s="185"/>
      <c r="B58" s="186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T58" s="165"/>
      <c r="U58" s="165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5"/>
      <c r="AH58" s="165"/>
      <c r="AI58" s="165"/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5" spans="1:1" x14ac:dyDescent="0.25">
      <c r="A65" s="190" t="s">
        <v>113</v>
      </c>
    </row>
    <row r="66" spans="1:1" x14ac:dyDescent="0.25">
      <c r="A66" s="190" t="s">
        <v>112</v>
      </c>
    </row>
    <row r="82" spans="3:18" x14ac:dyDescent="0.25">
      <c r="C82" s="191"/>
      <c r="D82" s="191"/>
      <c r="E82" s="191"/>
      <c r="F82" s="191"/>
      <c r="G82" s="191"/>
      <c r="H82" s="191"/>
      <c r="I82" s="191"/>
      <c r="J82" s="191"/>
      <c r="K82" s="191"/>
      <c r="L82" s="191"/>
      <c r="M82" s="191"/>
      <c r="N82" s="191"/>
      <c r="O82" s="191"/>
      <c r="P82" s="191"/>
      <c r="Q82" s="191"/>
      <c r="R82" s="191"/>
    </row>
    <row r="83" spans="3:18" x14ac:dyDescent="0.25">
      <c r="G83" s="191"/>
      <c r="H83" s="191"/>
      <c r="I83" s="191"/>
      <c r="J83" s="191"/>
      <c r="P83" s="191"/>
      <c r="Q83" s="191"/>
    </row>
    <row r="94" spans="3:18" x14ac:dyDescent="0.25">
      <c r="C94" s="191"/>
      <c r="D94" s="191"/>
      <c r="E94" s="191"/>
      <c r="F94" s="191"/>
      <c r="G94" s="191"/>
      <c r="H94" s="191"/>
      <c r="I94" s="191"/>
      <c r="J94" s="191"/>
      <c r="K94" s="191"/>
      <c r="L94" s="191"/>
      <c r="M94" s="191"/>
      <c r="N94" s="191"/>
      <c r="O94" s="191"/>
      <c r="P94" s="191"/>
      <c r="Q94" s="191"/>
      <c r="R94" s="191"/>
    </row>
    <row r="95" spans="3:18" x14ac:dyDescent="0.25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1"/>
      <c r="Q95" s="191"/>
      <c r="R95" s="191"/>
    </row>
  </sheetData>
  <mergeCells count="2">
    <mergeCell ref="I3:L3"/>
    <mergeCell ref="I18:M18"/>
  </mergeCells>
  <pageMargins left="0.45" right="0.45" top="0.5" bottom="0.5" header="0.3" footer="0.3"/>
  <pageSetup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2"/>
  <sheetViews>
    <sheetView topLeftCell="A58" workbookViewId="0">
      <selection activeCell="C62" sqref="C62"/>
    </sheetView>
  </sheetViews>
  <sheetFormatPr defaultRowHeight="15" x14ac:dyDescent="0.25"/>
  <cols>
    <col min="1" max="1" width="5.5" style="139" customWidth="1"/>
    <col min="2" max="2" width="6.1640625" style="138" bestFit="1" customWidth="1"/>
    <col min="3" max="18" width="8.33203125" style="139" bestFit="1" customWidth="1"/>
    <col min="19" max="19" width="1.5" style="139" customWidth="1"/>
    <col min="20" max="35" width="6.1640625" style="139" customWidth="1"/>
    <col min="36" max="16384" width="9.33203125" style="139"/>
  </cols>
  <sheetData>
    <row r="1" spans="1:35" ht="18.75" x14ac:dyDescent="0.3">
      <c r="A1" s="137" t="s">
        <v>122</v>
      </c>
    </row>
    <row r="3" spans="1:35" x14ac:dyDescent="0.25">
      <c r="C3" s="140"/>
      <c r="D3" s="141"/>
      <c r="E3" s="141"/>
      <c r="F3" s="141"/>
      <c r="G3" s="141"/>
      <c r="H3" s="141"/>
      <c r="I3" s="193" t="s">
        <v>120</v>
      </c>
      <c r="J3" s="193"/>
      <c r="K3" s="193"/>
      <c r="L3" s="193"/>
      <c r="M3" s="141"/>
      <c r="N3" s="141"/>
      <c r="O3" s="141"/>
      <c r="P3" s="141"/>
      <c r="Q3" s="141"/>
      <c r="R3" s="142"/>
      <c r="T3" s="140"/>
      <c r="U3" s="141"/>
      <c r="V3" s="141"/>
      <c r="W3" s="141"/>
      <c r="X3" s="141"/>
      <c r="Y3" s="141"/>
      <c r="Z3" s="141"/>
      <c r="AA3" s="143" t="s">
        <v>119</v>
      </c>
      <c r="AB3" s="141"/>
      <c r="AC3" s="141"/>
      <c r="AD3" s="141"/>
      <c r="AE3" s="141"/>
      <c r="AF3" s="141"/>
      <c r="AG3" s="141"/>
      <c r="AH3" s="141"/>
      <c r="AI3" s="142"/>
    </row>
    <row r="4" spans="1:35" x14ac:dyDescent="0.25">
      <c r="A4" s="144" t="s">
        <v>118</v>
      </c>
      <c r="B4" s="145" t="s">
        <v>30</v>
      </c>
      <c r="C4" s="146">
        <v>2001</v>
      </c>
      <c r="D4" s="147">
        <v>2002</v>
      </c>
      <c r="E4" s="147">
        <v>2003</v>
      </c>
      <c r="F4" s="147">
        <v>2004</v>
      </c>
      <c r="G4" s="147">
        <v>2005</v>
      </c>
      <c r="H4" s="147">
        <v>2006</v>
      </c>
      <c r="I4" s="147">
        <v>2007</v>
      </c>
      <c r="J4" s="147">
        <v>2008</v>
      </c>
      <c r="K4" s="147">
        <v>2009</v>
      </c>
      <c r="L4" s="147">
        <v>2010</v>
      </c>
      <c r="M4" s="147">
        <v>2011</v>
      </c>
      <c r="N4" s="147">
        <v>2012</v>
      </c>
      <c r="O4" s="147">
        <v>2013</v>
      </c>
      <c r="P4" s="147">
        <v>2014</v>
      </c>
      <c r="Q4" s="147">
        <v>2015</v>
      </c>
      <c r="R4" s="148">
        <v>2016</v>
      </c>
      <c r="S4" s="149"/>
      <c r="T4" s="146">
        <v>2001</v>
      </c>
      <c r="U4" s="147">
        <v>2002</v>
      </c>
      <c r="V4" s="147">
        <v>2003</v>
      </c>
      <c r="W4" s="147">
        <v>2004</v>
      </c>
      <c r="X4" s="147">
        <v>2005</v>
      </c>
      <c r="Y4" s="147">
        <v>2006</v>
      </c>
      <c r="Z4" s="147">
        <v>2007</v>
      </c>
      <c r="AA4" s="147">
        <v>2008</v>
      </c>
      <c r="AB4" s="147">
        <v>2009</v>
      </c>
      <c r="AC4" s="147">
        <v>2010</v>
      </c>
      <c r="AD4" s="147">
        <v>2011</v>
      </c>
      <c r="AE4" s="147">
        <v>2012</v>
      </c>
      <c r="AF4" s="147">
        <v>2013</v>
      </c>
      <c r="AG4" s="147">
        <v>2014</v>
      </c>
      <c r="AH4" s="147">
        <v>2015</v>
      </c>
      <c r="AI4" s="148">
        <v>2016</v>
      </c>
    </row>
    <row r="5" spans="1:35" ht="12" customHeight="1" x14ac:dyDescent="0.25">
      <c r="A5" s="150" t="s">
        <v>117</v>
      </c>
      <c r="B5" s="151">
        <v>1</v>
      </c>
      <c r="C5" s="152">
        <v>576</v>
      </c>
      <c r="D5" s="153">
        <v>596</v>
      </c>
      <c r="E5" s="153">
        <v>626</v>
      </c>
      <c r="F5" s="153">
        <v>543</v>
      </c>
      <c r="G5" s="153">
        <v>663</v>
      </c>
      <c r="H5" s="153">
        <v>688</v>
      </c>
      <c r="I5" s="153">
        <v>717</v>
      </c>
      <c r="J5" s="153">
        <v>815</v>
      </c>
      <c r="K5" s="153">
        <v>646</v>
      </c>
      <c r="L5" s="153">
        <v>709</v>
      </c>
      <c r="M5" s="153">
        <v>715</v>
      </c>
      <c r="N5" s="153">
        <v>592</v>
      </c>
      <c r="O5" s="153">
        <v>780</v>
      </c>
      <c r="P5" s="153">
        <v>826</v>
      </c>
      <c r="Q5" s="153">
        <v>817</v>
      </c>
      <c r="R5" s="154">
        <v>628</v>
      </c>
      <c r="S5" s="155"/>
      <c r="T5" s="156">
        <f t="shared" ref="T5:T16" si="0">C5/C$16</f>
        <v>0.24731644482610562</v>
      </c>
      <c r="U5" s="157">
        <f t="shared" ref="U5:U16" si="1">D5/D$16</f>
        <v>0.2394535958216151</v>
      </c>
      <c r="V5" s="157">
        <f t="shared" ref="V5:V16" si="2">E5/E$16</f>
        <v>0.2387490465293669</v>
      </c>
      <c r="W5" s="157">
        <f t="shared" ref="W5:W16" si="3">F5/F$16</f>
        <v>0.20544835414301929</v>
      </c>
      <c r="X5" s="157">
        <f t="shared" ref="X5:X16" si="4">G5/G$16</f>
        <v>0.23917748917748918</v>
      </c>
      <c r="Y5" s="157">
        <f t="shared" ref="Y5:Y16" si="5">H5/H$16</f>
        <v>0.23172785449646346</v>
      </c>
      <c r="Z5" s="157">
        <f t="shared" ref="Z5:Z16" si="6">I5/I$16</f>
        <v>0.23733862959285004</v>
      </c>
      <c r="AA5" s="157">
        <f t="shared" ref="AA5:AA16" si="7">J5/J$16</f>
        <v>0.26818032247449819</v>
      </c>
      <c r="AB5" s="157">
        <f t="shared" ref="AB5:AB16" si="8">K5/K$16</f>
        <v>0.23890532544378698</v>
      </c>
      <c r="AC5" s="157">
        <f t="shared" ref="AC5:AC16" si="9">L5/L$16</f>
        <v>0.26027900146842881</v>
      </c>
      <c r="AD5" s="157">
        <f t="shared" ref="AD5:AD16" si="10">M5/M$16</f>
        <v>0.26161727039882915</v>
      </c>
      <c r="AE5" s="157">
        <f t="shared" ref="AE5:AE16" si="11">N5/N$16</f>
        <v>0.21836960531169311</v>
      </c>
      <c r="AF5" s="157">
        <f t="shared" ref="AF5:AF16" si="12">O5/O$16</f>
        <v>0.26306913996627318</v>
      </c>
      <c r="AG5" s="157">
        <f t="shared" ref="AG5:AG16" si="13">P5/P$16</f>
        <v>0.25060679611650488</v>
      </c>
      <c r="AH5" s="157">
        <f t="shared" ref="AH5:AH16" si="14">Q5/Q$16</f>
        <v>0.23443328550932568</v>
      </c>
      <c r="AI5" s="158">
        <f t="shared" ref="AI5:AI16" si="15">R5/R$16</f>
        <v>0.18319719953325556</v>
      </c>
    </row>
    <row r="6" spans="1:35" ht="12" customHeight="1" x14ac:dyDescent="0.25">
      <c r="A6" s="159" t="s">
        <v>117</v>
      </c>
      <c r="B6" s="160">
        <v>2</v>
      </c>
      <c r="C6" s="161">
        <v>401</v>
      </c>
      <c r="D6" s="162">
        <v>422</v>
      </c>
      <c r="E6" s="162">
        <v>473</v>
      </c>
      <c r="F6" s="162">
        <v>515</v>
      </c>
      <c r="G6" s="162">
        <v>429</v>
      </c>
      <c r="H6" s="162">
        <v>578</v>
      </c>
      <c r="I6" s="162">
        <v>538</v>
      </c>
      <c r="J6" s="162">
        <v>513</v>
      </c>
      <c r="K6" s="162">
        <v>568</v>
      </c>
      <c r="L6" s="162">
        <v>483</v>
      </c>
      <c r="M6" s="162">
        <v>555</v>
      </c>
      <c r="N6" s="162">
        <v>558</v>
      </c>
      <c r="O6" s="162">
        <v>493</v>
      </c>
      <c r="P6" s="162">
        <v>677</v>
      </c>
      <c r="Q6" s="162">
        <v>715</v>
      </c>
      <c r="R6" s="163">
        <v>716</v>
      </c>
      <c r="S6" s="155"/>
      <c r="T6" s="164">
        <f t="shared" si="0"/>
        <v>0.17217689995706312</v>
      </c>
      <c r="U6" s="165">
        <f t="shared" si="1"/>
        <v>0.16954600241060666</v>
      </c>
      <c r="V6" s="165">
        <f t="shared" si="2"/>
        <v>0.18039664378337147</v>
      </c>
      <c r="W6" s="165">
        <f t="shared" si="3"/>
        <v>0.19485433219825957</v>
      </c>
      <c r="X6" s="165">
        <f t="shared" si="4"/>
        <v>0.15476190476190477</v>
      </c>
      <c r="Y6" s="165">
        <f t="shared" si="5"/>
        <v>0.19467834287638935</v>
      </c>
      <c r="Z6" s="165">
        <f t="shared" si="6"/>
        <v>0.17808672624958624</v>
      </c>
      <c r="AA6" s="165">
        <f t="shared" si="7"/>
        <v>0.1688055281342547</v>
      </c>
      <c r="AB6" s="165">
        <f t="shared" si="8"/>
        <v>0.21005917159763313</v>
      </c>
      <c r="AC6" s="165">
        <f t="shared" si="9"/>
        <v>0.17731277533039647</v>
      </c>
      <c r="AD6" s="165">
        <f t="shared" si="10"/>
        <v>0.2030735455543359</v>
      </c>
      <c r="AE6" s="165">
        <f t="shared" si="11"/>
        <v>0.20582810770933235</v>
      </c>
      <c r="AF6" s="165">
        <f t="shared" si="12"/>
        <v>0.16627318718381112</v>
      </c>
      <c r="AG6" s="165">
        <f t="shared" si="13"/>
        <v>0.20540048543689321</v>
      </c>
      <c r="AH6" s="165">
        <f t="shared" si="14"/>
        <v>0.20516499282639886</v>
      </c>
      <c r="AI6" s="166">
        <f t="shared" si="15"/>
        <v>0.2088681446907818</v>
      </c>
    </row>
    <row r="7" spans="1:35" ht="12" customHeight="1" x14ac:dyDescent="0.25">
      <c r="A7" s="159" t="s">
        <v>117</v>
      </c>
      <c r="B7" s="160">
        <v>3</v>
      </c>
      <c r="C7" s="161">
        <v>385</v>
      </c>
      <c r="D7" s="162">
        <v>435</v>
      </c>
      <c r="E7" s="162">
        <v>470</v>
      </c>
      <c r="F7" s="162">
        <v>483</v>
      </c>
      <c r="G7" s="162">
        <v>489</v>
      </c>
      <c r="H7" s="162">
        <v>458</v>
      </c>
      <c r="I7" s="162">
        <v>552</v>
      </c>
      <c r="J7" s="162">
        <v>498</v>
      </c>
      <c r="K7" s="162">
        <v>448</v>
      </c>
      <c r="L7" s="162">
        <v>525</v>
      </c>
      <c r="M7" s="162">
        <v>442</v>
      </c>
      <c r="N7" s="162">
        <v>558</v>
      </c>
      <c r="O7" s="162">
        <v>594</v>
      </c>
      <c r="P7" s="162">
        <v>540</v>
      </c>
      <c r="Q7" s="162">
        <v>725</v>
      </c>
      <c r="R7" s="163">
        <v>707</v>
      </c>
      <c r="S7" s="155"/>
      <c r="T7" s="164">
        <f t="shared" si="0"/>
        <v>0.16530699871189353</v>
      </c>
      <c r="U7" s="165">
        <f t="shared" si="1"/>
        <v>0.1747689835275211</v>
      </c>
      <c r="V7" s="165">
        <f t="shared" si="2"/>
        <v>0.17925247902364608</v>
      </c>
      <c r="W7" s="165">
        <f t="shared" si="3"/>
        <v>0.18274687854710556</v>
      </c>
      <c r="X7" s="165">
        <f t="shared" si="4"/>
        <v>0.1764069264069264</v>
      </c>
      <c r="Y7" s="165">
        <f t="shared" si="5"/>
        <v>0.15426069383630853</v>
      </c>
      <c r="Z7" s="165">
        <f t="shared" si="6"/>
        <v>0.18272095332671301</v>
      </c>
      <c r="AA7" s="165">
        <f t="shared" si="7"/>
        <v>0.16386969397828233</v>
      </c>
      <c r="AB7" s="165">
        <f t="shared" si="8"/>
        <v>0.16568047337278108</v>
      </c>
      <c r="AC7" s="165">
        <f t="shared" si="9"/>
        <v>0.19273127753303965</v>
      </c>
      <c r="AD7" s="165">
        <f t="shared" si="10"/>
        <v>0.16172703988291254</v>
      </c>
      <c r="AE7" s="165">
        <f t="shared" si="11"/>
        <v>0.20582810770933235</v>
      </c>
      <c r="AF7" s="165">
        <f t="shared" si="12"/>
        <v>0.20033726812816188</v>
      </c>
      <c r="AG7" s="165">
        <f t="shared" si="13"/>
        <v>0.16383495145631069</v>
      </c>
      <c r="AH7" s="165">
        <f t="shared" si="14"/>
        <v>0.20803443328550933</v>
      </c>
      <c r="AI7" s="166">
        <f t="shared" si="15"/>
        <v>0.20624270711785297</v>
      </c>
    </row>
    <row r="8" spans="1:35" ht="12" customHeight="1" x14ac:dyDescent="0.25">
      <c r="A8" s="159" t="s">
        <v>117</v>
      </c>
      <c r="B8" s="160">
        <v>4</v>
      </c>
      <c r="C8" s="161">
        <v>328</v>
      </c>
      <c r="D8" s="162">
        <v>380</v>
      </c>
      <c r="E8" s="162">
        <v>421</v>
      </c>
      <c r="F8" s="162">
        <v>447</v>
      </c>
      <c r="G8" s="162">
        <v>479</v>
      </c>
      <c r="H8" s="162">
        <v>488</v>
      </c>
      <c r="I8" s="162">
        <v>427</v>
      </c>
      <c r="J8" s="162">
        <v>500</v>
      </c>
      <c r="K8" s="162">
        <v>408</v>
      </c>
      <c r="L8" s="162">
        <v>416</v>
      </c>
      <c r="M8" s="162">
        <v>487</v>
      </c>
      <c r="N8" s="162">
        <v>429</v>
      </c>
      <c r="O8" s="162">
        <v>540</v>
      </c>
      <c r="P8" s="162">
        <v>561</v>
      </c>
      <c r="Q8" s="162">
        <v>530</v>
      </c>
      <c r="R8" s="163">
        <v>686</v>
      </c>
      <c r="S8" s="155"/>
      <c r="T8" s="164">
        <f t="shared" si="0"/>
        <v>0.14083297552597682</v>
      </c>
      <c r="U8" s="165">
        <f t="shared" si="1"/>
        <v>0.15267175572519084</v>
      </c>
      <c r="V8" s="165">
        <f t="shared" si="2"/>
        <v>0.16056445461479787</v>
      </c>
      <c r="W8" s="165">
        <f t="shared" si="3"/>
        <v>0.16912599318955732</v>
      </c>
      <c r="X8" s="165">
        <f t="shared" si="4"/>
        <v>0.17279942279942279</v>
      </c>
      <c r="Y8" s="165">
        <f t="shared" si="5"/>
        <v>0.16436510609632873</v>
      </c>
      <c r="Z8" s="165">
        <f t="shared" si="6"/>
        <v>0.14134392585236677</v>
      </c>
      <c r="AA8" s="165">
        <f t="shared" si="7"/>
        <v>0.16452780519907864</v>
      </c>
      <c r="AB8" s="165">
        <f t="shared" si="8"/>
        <v>0.15088757396449703</v>
      </c>
      <c r="AC8" s="165">
        <f t="shared" si="9"/>
        <v>0.1527165932452276</v>
      </c>
      <c r="AD8" s="165">
        <f t="shared" si="10"/>
        <v>0.17819246249542628</v>
      </c>
      <c r="AE8" s="165">
        <f t="shared" si="11"/>
        <v>0.1582441903356695</v>
      </c>
      <c r="AF8" s="165">
        <f t="shared" si="12"/>
        <v>0.1821247892074199</v>
      </c>
      <c r="AG8" s="165">
        <f t="shared" si="13"/>
        <v>0.17020631067961164</v>
      </c>
      <c r="AH8" s="165">
        <f t="shared" si="14"/>
        <v>0.15208034433285508</v>
      </c>
      <c r="AI8" s="166">
        <f t="shared" si="15"/>
        <v>0.2001166861143524</v>
      </c>
    </row>
    <row r="9" spans="1:35" ht="12" customHeight="1" x14ac:dyDescent="0.25">
      <c r="A9" s="159" t="s">
        <v>117</v>
      </c>
      <c r="B9" s="160">
        <v>5</v>
      </c>
      <c r="C9" s="161">
        <v>308</v>
      </c>
      <c r="D9" s="162">
        <v>276</v>
      </c>
      <c r="E9" s="162">
        <v>291</v>
      </c>
      <c r="F9" s="162">
        <v>338</v>
      </c>
      <c r="G9" s="162">
        <v>363</v>
      </c>
      <c r="H9" s="162">
        <v>398</v>
      </c>
      <c r="I9" s="162">
        <v>380</v>
      </c>
      <c r="J9" s="162">
        <v>322</v>
      </c>
      <c r="K9" s="162">
        <v>325</v>
      </c>
      <c r="L9" s="162">
        <v>297</v>
      </c>
      <c r="M9" s="162">
        <v>293</v>
      </c>
      <c r="N9" s="162">
        <v>344</v>
      </c>
      <c r="O9" s="162">
        <v>318</v>
      </c>
      <c r="P9" s="162">
        <v>441</v>
      </c>
      <c r="Q9" s="162">
        <v>400</v>
      </c>
      <c r="R9" s="163">
        <v>382</v>
      </c>
      <c r="S9" s="155"/>
      <c r="T9" s="164">
        <f t="shared" si="0"/>
        <v>0.13224559896951482</v>
      </c>
      <c r="U9" s="165">
        <f t="shared" si="1"/>
        <v>0.11088790678987545</v>
      </c>
      <c r="V9" s="165">
        <f t="shared" si="2"/>
        <v>0.11098398169336385</v>
      </c>
      <c r="W9" s="165">
        <f t="shared" si="3"/>
        <v>0.12788497919031402</v>
      </c>
      <c r="X9" s="165">
        <f t="shared" si="4"/>
        <v>0.13095238095238096</v>
      </c>
      <c r="Y9" s="165">
        <f t="shared" si="5"/>
        <v>0.13405186931626811</v>
      </c>
      <c r="Z9" s="165">
        <f t="shared" si="6"/>
        <v>0.12578616352201258</v>
      </c>
      <c r="AA9" s="165">
        <f t="shared" si="7"/>
        <v>0.10595590654820665</v>
      </c>
      <c r="AB9" s="165">
        <f t="shared" si="8"/>
        <v>0.1201923076923077</v>
      </c>
      <c r="AC9" s="165">
        <f t="shared" si="9"/>
        <v>0.10903083700440529</v>
      </c>
      <c r="AD9" s="165">
        <f t="shared" si="10"/>
        <v>0.10720819612147824</v>
      </c>
      <c r="AE9" s="165">
        <f t="shared" si="11"/>
        <v>0.12689044632976762</v>
      </c>
      <c r="AF9" s="165">
        <f t="shared" si="12"/>
        <v>0.10725126475548061</v>
      </c>
      <c r="AG9" s="165">
        <f t="shared" si="13"/>
        <v>0.1337985436893204</v>
      </c>
      <c r="AH9" s="165">
        <f t="shared" si="14"/>
        <v>0.11477761836441894</v>
      </c>
      <c r="AI9" s="166">
        <f t="shared" si="15"/>
        <v>0.11143523920653442</v>
      </c>
    </row>
    <row r="10" spans="1:35" ht="12" customHeight="1" x14ac:dyDescent="0.25">
      <c r="A10" s="159" t="s">
        <v>117</v>
      </c>
      <c r="B10" s="160">
        <v>6</v>
      </c>
      <c r="C10" s="161">
        <v>163</v>
      </c>
      <c r="D10" s="162">
        <v>195</v>
      </c>
      <c r="E10" s="162">
        <v>147</v>
      </c>
      <c r="F10" s="162">
        <v>151</v>
      </c>
      <c r="G10" s="162">
        <v>184</v>
      </c>
      <c r="H10" s="162">
        <v>189</v>
      </c>
      <c r="I10" s="162">
        <v>211</v>
      </c>
      <c r="J10" s="162">
        <v>190</v>
      </c>
      <c r="K10" s="162">
        <v>139</v>
      </c>
      <c r="L10" s="162">
        <v>143</v>
      </c>
      <c r="M10" s="162">
        <v>114</v>
      </c>
      <c r="N10" s="162">
        <v>117</v>
      </c>
      <c r="O10" s="162">
        <v>138</v>
      </c>
      <c r="P10" s="162">
        <v>126</v>
      </c>
      <c r="Q10" s="162">
        <v>174</v>
      </c>
      <c r="R10" s="163">
        <v>165</v>
      </c>
      <c r="S10" s="155"/>
      <c r="T10" s="164">
        <f t="shared" si="0"/>
        <v>6.9987118935165307E-2</v>
      </c>
      <c r="U10" s="165">
        <f t="shared" si="1"/>
        <v>7.8344716753716348E-2</v>
      </c>
      <c r="V10" s="165">
        <f t="shared" si="2"/>
        <v>5.6064073226544622E-2</v>
      </c>
      <c r="W10" s="165">
        <f t="shared" si="3"/>
        <v>5.7132046916382899E-2</v>
      </c>
      <c r="X10" s="165">
        <f t="shared" si="4"/>
        <v>6.6378066378066383E-2</v>
      </c>
      <c r="Y10" s="165">
        <f t="shared" si="5"/>
        <v>6.3657797238127312E-2</v>
      </c>
      <c r="Z10" s="165">
        <f t="shared" si="6"/>
        <v>6.9844422376696455E-2</v>
      </c>
      <c r="AA10" s="165">
        <f t="shared" si="7"/>
        <v>6.252056597564988E-2</v>
      </c>
      <c r="AB10" s="165">
        <f t="shared" si="8"/>
        <v>5.1405325443786981E-2</v>
      </c>
      <c r="AC10" s="165">
        <f t="shared" si="9"/>
        <v>5.2496328928046988E-2</v>
      </c>
      <c r="AD10" s="165">
        <f t="shared" si="10"/>
        <v>4.1712403951701428E-2</v>
      </c>
      <c r="AE10" s="165">
        <f t="shared" si="11"/>
        <v>4.3157506455182591E-2</v>
      </c>
      <c r="AF10" s="165">
        <f t="shared" si="12"/>
        <v>4.6543001686340638E-2</v>
      </c>
      <c r="AG10" s="165">
        <f t="shared" si="13"/>
        <v>3.8228155339805822E-2</v>
      </c>
      <c r="AH10" s="165">
        <f t="shared" si="14"/>
        <v>4.9928263988522237E-2</v>
      </c>
      <c r="AI10" s="166">
        <f t="shared" si="15"/>
        <v>4.8133022170361729E-2</v>
      </c>
    </row>
    <row r="11" spans="1:35" ht="12" customHeight="1" x14ac:dyDescent="0.25">
      <c r="A11" s="159" t="s">
        <v>117</v>
      </c>
      <c r="B11" s="160">
        <v>7</v>
      </c>
      <c r="C11" s="161">
        <v>53</v>
      </c>
      <c r="D11" s="162">
        <v>80</v>
      </c>
      <c r="E11" s="162">
        <v>86</v>
      </c>
      <c r="F11" s="162">
        <v>66</v>
      </c>
      <c r="G11" s="162">
        <v>78</v>
      </c>
      <c r="H11" s="162">
        <v>83</v>
      </c>
      <c r="I11" s="162">
        <v>93</v>
      </c>
      <c r="J11" s="162">
        <v>94</v>
      </c>
      <c r="K11" s="162">
        <v>68</v>
      </c>
      <c r="L11" s="162">
        <v>56</v>
      </c>
      <c r="M11" s="162">
        <v>47</v>
      </c>
      <c r="N11" s="162">
        <v>44</v>
      </c>
      <c r="O11" s="162">
        <v>46</v>
      </c>
      <c r="P11" s="162">
        <v>61</v>
      </c>
      <c r="Q11" s="162">
        <v>56</v>
      </c>
      <c r="R11" s="163">
        <v>67</v>
      </c>
      <c r="S11" s="155"/>
      <c r="T11" s="164">
        <f t="shared" si="0"/>
        <v>2.2756547874624302E-2</v>
      </c>
      <c r="U11" s="165">
        <f t="shared" si="1"/>
        <v>3.2141422257934912E-2</v>
      </c>
      <c r="V11" s="165">
        <f t="shared" si="2"/>
        <v>3.2799389778794812E-2</v>
      </c>
      <c r="W11" s="165">
        <f t="shared" si="3"/>
        <v>2.4971623155505107E-2</v>
      </c>
      <c r="X11" s="165">
        <f t="shared" si="4"/>
        <v>2.813852813852814E-2</v>
      </c>
      <c r="Y11" s="165">
        <f t="shared" si="5"/>
        <v>2.795554058605591E-2</v>
      </c>
      <c r="Z11" s="165">
        <f t="shared" si="6"/>
        <v>3.0784508440913606E-2</v>
      </c>
      <c r="AA11" s="165">
        <f t="shared" si="7"/>
        <v>3.0931227377426786E-2</v>
      </c>
      <c r="AB11" s="165">
        <f t="shared" si="8"/>
        <v>2.514792899408284E-2</v>
      </c>
      <c r="AC11" s="165">
        <f t="shared" si="9"/>
        <v>2.0558002936857563E-2</v>
      </c>
      <c r="AD11" s="165">
        <f t="shared" si="10"/>
        <v>1.7197219173069888E-2</v>
      </c>
      <c r="AE11" s="165">
        <f t="shared" si="11"/>
        <v>1.6230173367760975E-2</v>
      </c>
      <c r="AF11" s="165">
        <f t="shared" si="12"/>
        <v>1.551433389544688E-2</v>
      </c>
      <c r="AG11" s="165">
        <f t="shared" si="13"/>
        <v>1.8507281553398057E-2</v>
      </c>
      <c r="AH11" s="165">
        <f t="shared" si="14"/>
        <v>1.606886657101865E-2</v>
      </c>
      <c r="AI11" s="166">
        <f t="shared" si="15"/>
        <v>1.9544924154025672E-2</v>
      </c>
    </row>
    <row r="12" spans="1:35" ht="12" customHeight="1" x14ac:dyDescent="0.25">
      <c r="A12" s="159" t="s">
        <v>117</v>
      </c>
      <c r="B12" s="160">
        <v>8</v>
      </c>
      <c r="C12" s="161">
        <v>30</v>
      </c>
      <c r="D12" s="162">
        <v>35</v>
      </c>
      <c r="E12" s="162">
        <v>37</v>
      </c>
      <c r="F12" s="162">
        <v>41</v>
      </c>
      <c r="G12" s="162">
        <v>29</v>
      </c>
      <c r="H12" s="162">
        <v>37</v>
      </c>
      <c r="I12" s="162">
        <v>33</v>
      </c>
      <c r="J12" s="162">
        <v>48</v>
      </c>
      <c r="K12" s="162">
        <v>35</v>
      </c>
      <c r="L12" s="162">
        <v>31</v>
      </c>
      <c r="M12" s="162">
        <v>22</v>
      </c>
      <c r="N12" s="162">
        <v>25</v>
      </c>
      <c r="O12" s="162">
        <v>18</v>
      </c>
      <c r="P12" s="162">
        <v>26</v>
      </c>
      <c r="Q12" s="162">
        <v>30</v>
      </c>
      <c r="R12" s="163">
        <v>24</v>
      </c>
      <c r="S12" s="155"/>
      <c r="T12" s="164">
        <f t="shared" si="0"/>
        <v>1.2881064834693002E-2</v>
      </c>
      <c r="U12" s="165">
        <f t="shared" si="1"/>
        <v>1.4061872237846525E-2</v>
      </c>
      <c r="V12" s="165">
        <f t="shared" si="2"/>
        <v>1.4111365369946605E-2</v>
      </c>
      <c r="W12" s="165">
        <f t="shared" si="3"/>
        <v>1.5512674990541053E-2</v>
      </c>
      <c r="X12" s="165">
        <f t="shared" si="4"/>
        <v>1.0461760461760462E-2</v>
      </c>
      <c r="Y12" s="165">
        <f t="shared" si="5"/>
        <v>1.2462108454024925E-2</v>
      </c>
      <c r="Z12" s="165">
        <f t="shared" si="6"/>
        <v>1.0923535253227408E-2</v>
      </c>
      <c r="AA12" s="165">
        <f t="shared" si="7"/>
        <v>1.5794669299111549E-2</v>
      </c>
      <c r="AB12" s="165">
        <f t="shared" si="8"/>
        <v>1.2943786982248521E-2</v>
      </c>
      <c r="AC12" s="165">
        <f t="shared" si="9"/>
        <v>1.1380323054331865E-2</v>
      </c>
      <c r="AD12" s="165">
        <f t="shared" si="10"/>
        <v>8.0497621661178194E-3</v>
      </c>
      <c r="AE12" s="165">
        <f t="shared" si="11"/>
        <v>9.2216894135005532E-3</v>
      </c>
      <c r="AF12" s="165">
        <f t="shared" si="12"/>
        <v>6.0708263069139965E-3</v>
      </c>
      <c r="AG12" s="165">
        <f t="shared" si="13"/>
        <v>7.8883495145631068E-3</v>
      </c>
      <c r="AH12" s="165">
        <f t="shared" si="14"/>
        <v>8.60832137733142E-3</v>
      </c>
      <c r="AI12" s="166">
        <f t="shared" si="15"/>
        <v>7.0011668611435242E-3</v>
      </c>
    </row>
    <row r="13" spans="1:35" ht="12" customHeight="1" x14ac:dyDescent="0.25">
      <c r="A13" s="159" t="s">
        <v>117</v>
      </c>
      <c r="B13" s="160">
        <v>9</v>
      </c>
      <c r="C13" s="161">
        <v>19</v>
      </c>
      <c r="D13" s="162">
        <v>22</v>
      </c>
      <c r="E13" s="162">
        <v>21</v>
      </c>
      <c r="F13" s="162">
        <v>24</v>
      </c>
      <c r="G13" s="162">
        <v>21</v>
      </c>
      <c r="H13" s="162">
        <v>11</v>
      </c>
      <c r="I13" s="162">
        <v>27</v>
      </c>
      <c r="J13" s="162">
        <v>14</v>
      </c>
      <c r="K13" s="162">
        <v>26</v>
      </c>
      <c r="L13" s="162">
        <v>15</v>
      </c>
      <c r="M13" s="162">
        <v>19</v>
      </c>
      <c r="N13" s="162">
        <v>10</v>
      </c>
      <c r="O13" s="162">
        <v>8</v>
      </c>
      <c r="P13" s="162">
        <v>8</v>
      </c>
      <c r="Q13" s="162">
        <v>14</v>
      </c>
      <c r="R13" s="163">
        <v>18</v>
      </c>
      <c r="S13" s="155"/>
      <c r="T13" s="164">
        <f t="shared" si="0"/>
        <v>8.1580077286389011E-3</v>
      </c>
      <c r="U13" s="165">
        <f t="shared" si="1"/>
        <v>8.8388911209321009E-3</v>
      </c>
      <c r="V13" s="165">
        <f t="shared" si="2"/>
        <v>8.0091533180778034E-3</v>
      </c>
      <c r="W13" s="165">
        <f t="shared" si="3"/>
        <v>9.0805902383654935E-3</v>
      </c>
      <c r="X13" s="165">
        <f t="shared" si="4"/>
        <v>7.575757575757576E-3</v>
      </c>
      <c r="Y13" s="165">
        <f t="shared" si="5"/>
        <v>3.7049511620074098E-3</v>
      </c>
      <c r="Z13" s="165">
        <f t="shared" si="6"/>
        <v>8.9374379344587893E-3</v>
      </c>
      <c r="AA13" s="165">
        <f t="shared" si="7"/>
        <v>4.6067785455742019E-3</v>
      </c>
      <c r="AB13" s="165">
        <f t="shared" si="8"/>
        <v>9.6153846153846159E-3</v>
      </c>
      <c r="AC13" s="165">
        <f t="shared" si="9"/>
        <v>5.5066079295154188E-3</v>
      </c>
      <c r="AD13" s="165">
        <f t="shared" si="10"/>
        <v>6.9520673252835711E-3</v>
      </c>
      <c r="AE13" s="165">
        <f t="shared" si="11"/>
        <v>3.6886757654002213E-3</v>
      </c>
      <c r="AF13" s="165">
        <f t="shared" si="12"/>
        <v>2.6981450252951096E-3</v>
      </c>
      <c r="AG13" s="165">
        <f t="shared" si="13"/>
        <v>2.4271844660194173E-3</v>
      </c>
      <c r="AH13" s="165">
        <f t="shared" si="14"/>
        <v>4.0172166427546625E-3</v>
      </c>
      <c r="AI13" s="166">
        <f t="shared" si="15"/>
        <v>5.2508751458576431E-3</v>
      </c>
    </row>
    <row r="14" spans="1:35" ht="12" customHeight="1" x14ac:dyDescent="0.25">
      <c r="A14" s="159" t="s">
        <v>117</v>
      </c>
      <c r="B14" s="160">
        <v>10</v>
      </c>
      <c r="C14" s="161">
        <v>17</v>
      </c>
      <c r="D14" s="162">
        <v>8</v>
      </c>
      <c r="E14" s="162">
        <v>15</v>
      </c>
      <c r="F14" s="162">
        <v>9</v>
      </c>
      <c r="G14" s="162">
        <v>11</v>
      </c>
      <c r="H14" s="162">
        <v>14</v>
      </c>
      <c r="I14" s="162">
        <v>11</v>
      </c>
      <c r="J14" s="162">
        <v>15</v>
      </c>
      <c r="K14" s="162">
        <v>11</v>
      </c>
      <c r="L14" s="162">
        <v>20</v>
      </c>
      <c r="M14" s="162">
        <v>6</v>
      </c>
      <c r="N14" s="162">
        <v>14</v>
      </c>
      <c r="O14" s="162">
        <v>8</v>
      </c>
      <c r="P14" s="162">
        <v>7</v>
      </c>
      <c r="Q14" s="162">
        <v>5</v>
      </c>
      <c r="R14" s="163">
        <v>9</v>
      </c>
      <c r="S14" s="155"/>
      <c r="T14" s="164">
        <f t="shared" si="0"/>
        <v>7.2992700729927005E-3</v>
      </c>
      <c r="U14" s="165">
        <f t="shared" si="1"/>
        <v>3.2141422257934912E-3</v>
      </c>
      <c r="V14" s="165">
        <f t="shared" si="2"/>
        <v>5.7208237986270021E-3</v>
      </c>
      <c r="W14" s="165">
        <f t="shared" si="3"/>
        <v>3.4052213393870601E-3</v>
      </c>
      <c r="X14" s="165">
        <f t="shared" si="4"/>
        <v>3.968253968253968E-3</v>
      </c>
      <c r="Y14" s="165">
        <f t="shared" si="5"/>
        <v>4.7153923880094307E-3</v>
      </c>
      <c r="Z14" s="165">
        <f t="shared" si="6"/>
        <v>3.6411784177424692E-3</v>
      </c>
      <c r="AA14" s="165">
        <f t="shared" si="7"/>
        <v>4.9358341559723592E-3</v>
      </c>
      <c r="AB14" s="165">
        <f t="shared" si="8"/>
        <v>4.0680473372781065E-3</v>
      </c>
      <c r="AC14" s="165">
        <f t="shared" si="9"/>
        <v>7.3421439060205578E-3</v>
      </c>
      <c r="AD14" s="165">
        <f t="shared" si="10"/>
        <v>2.1953896816684962E-3</v>
      </c>
      <c r="AE14" s="165">
        <f t="shared" si="11"/>
        <v>5.1641460715603094E-3</v>
      </c>
      <c r="AF14" s="165">
        <f t="shared" si="12"/>
        <v>2.6981450252951096E-3</v>
      </c>
      <c r="AG14" s="165">
        <f t="shared" si="13"/>
        <v>2.1237864077669902E-3</v>
      </c>
      <c r="AH14" s="165">
        <f t="shared" si="14"/>
        <v>1.4347202295552368E-3</v>
      </c>
      <c r="AI14" s="166">
        <f t="shared" si="15"/>
        <v>2.6254375729288216E-3</v>
      </c>
    </row>
    <row r="15" spans="1:35" ht="12" customHeight="1" x14ac:dyDescent="0.25">
      <c r="A15" s="159" t="s">
        <v>117</v>
      </c>
      <c r="B15" s="160" t="s">
        <v>116</v>
      </c>
      <c r="C15" s="161">
        <v>49</v>
      </c>
      <c r="D15" s="162">
        <v>40</v>
      </c>
      <c r="E15" s="162">
        <v>35</v>
      </c>
      <c r="F15" s="162">
        <v>26</v>
      </c>
      <c r="G15" s="162">
        <v>26</v>
      </c>
      <c r="H15" s="162">
        <v>25</v>
      </c>
      <c r="I15" s="162">
        <v>32</v>
      </c>
      <c r="J15" s="162">
        <v>30</v>
      </c>
      <c r="K15" s="162">
        <v>30</v>
      </c>
      <c r="L15" s="162">
        <v>29</v>
      </c>
      <c r="M15" s="162">
        <v>33</v>
      </c>
      <c r="N15" s="162">
        <v>20</v>
      </c>
      <c r="O15" s="162">
        <v>22</v>
      </c>
      <c r="P15" s="162">
        <v>23</v>
      </c>
      <c r="Q15" s="162">
        <v>19</v>
      </c>
      <c r="R15" s="163">
        <v>26</v>
      </c>
      <c r="S15" s="155"/>
      <c r="T15" s="164">
        <f t="shared" si="0"/>
        <v>2.1039072563331901E-2</v>
      </c>
      <c r="U15" s="165">
        <f t="shared" si="1"/>
        <v>1.6070711128967456E-2</v>
      </c>
      <c r="V15" s="165">
        <f t="shared" si="2"/>
        <v>1.3348588863463006E-2</v>
      </c>
      <c r="W15" s="165">
        <f t="shared" si="3"/>
        <v>9.8373060915626174E-3</v>
      </c>
      <c r="X15" s="165">
        <f t="shared" si="4"/>
        <v>9.3795093795093799E-3</v>
      </c>
      <c r="Y15" s="165">
        <f t="shared" si="5"/>
        <v>8.4203435500168414E-3</v>
      </c>
      <c r="Z15" s="165">
        <f t="shared" si="6"/>
        <v>1.0592519033432638E-2</v>
      </c>
      <c r="AA15" s="165">
        <f t="shared" si="7"/>
        <v>9.8716683119447184E-3</v>
      </c>
      <c r="AB15" s="165">
        <f t="shared" si="8"/>
        <v>1.1094674556213017E-2</v>
      </c>
      <c r="AC15" s="165">
        <f t="shared" si="9"/>
        <v>1.0646108663729809E-2</v>
      </c>
      <c r="AD15" s="165">
        <f t="shared" si="10"/>
        <v>1.2074643249176729E-2</v>
      </c>
      <c r="AE15" s="165">
        <f t="shared" si="11"/>
        <v>7.3773515308004425E-3</v>
      </c>
      <c r="AF15" s="165">
        <f t="shared" si="12"/>
        <v>7.4198988195615517E-3</v>
      </c>
      <c r="AG15" s="165">
        <f t="shared" si="13"/>
        <v>6.9781553398058256E-3</v>
      </c>
      <c r="AH15" s="165">
        <f t="shared" si="14"/>
        <v>5.4519368723098998E-3</v>
      </c>
      <c r="AI15" s="166">
        <f t="shared" si="15"/>
        <v>7.5845974329054842E-3</v>
      </c>
    </row>
    <row r="16" spans="1:35" ht="12" customHeight="1" x14ac:dyDescent="0.25">
      <c r="A16" s="167" t="s">
        <v>117</v>
      </c>
      <c r="B16" s="168" t="s">
        <v>114</v>
      </c>
      <c r="C16" s="169">
        <v>2329</v>
      </c>
      <c r="D16" s="170">
        <v>2489</v>
      </c>
      <c r="E16" s="170">
        <v>2622</v>
      </c>
      <c r="F16" s="170">
        <v>2643</v>
      </c>
      <c r="G16" s="170">
        <v>2772</v>
      </c>
      <c r="H16" s="170">
        <v>2969</v>
      </c>
      <c r="I16" s="170">
        <v>3021</v>
      </c>
      <c r="J16" s="170">
        <v>3039</v>
      </c>
      <c r="K16" s="170">
        <v>2704</v>
      </c>
      <c r="L16" s="170">
        <v>2724</v>
      </c>
      <c r="M16" s="170">
        <v>2733</v>
      </c>
      <c r="N16" s="170">
        <v>2711</v>
      </c>
      <c r="O16" s="170">
        <v>2965</v>
      </c>
      <c r="P16" s="170">
        <v>3296</v>
      </c>
      <c r="Q16" s="170">
        <v>3485</v>
      </c>
      <c r="R16" s="171">
        <v>3428</v>
      </c>
      <c r="S16" s="155"/>
      <c r="T16" s="172">
        <f t="shared" si="0"/>
        <v>1</v>
      </c>
      <c r="U16" s="173">
        <f t="shared" si="1"/>
        <v>1</v>
      </c>
      <c r="V16" s="173">
        <f t="shared" si="2"/>
        <v>1</v>
      </c>
      <c r="W16" s="173">
        <f t="shared" si="3"/>
        <v>1</v>
      </c>
      <c r="X16" s="173">
        <f t="shared" si="4"/>
        <v>1</v>
      </c>
      <c r="Y16" s="173">
        <f t="shared" si="5"/>
        <v>1</v>
      </c>
      <c r="Z16" s="173">
        <f t="shared" si="6"/>
        <v>1</v>
      </c>
      <c r="AA16" s="173">
        <f t="shared" si="7"/>
        <v>1</v>
      </c>
      <c r="AB16" s="173">
        <f t="shared" si="8"/>
        <v>1</v>
      </c>
      <c r="AC16" s="173">
        <f t="shared" si="9"/>
        <v>1</v>
      </c>
      <c r="AD16" s="173">
        <f t="shared" si="10"/>
        <v>1</v>
      </c>
      <c r="AE16" s="173">
        <f t="shared" si="11"/>
        <v>1</v>
      </c>
      <c r="AF16" s="173">
        <f t="shared" si="12"/>
        <v>1</v>
      </c>
      <c r="AG16" s="173">
        <f t="shared" si="13"/>
        <v>1</v>
      </c>
      <c r="AH16" s="173">
        <f t="shared" si="14"/>
        <v>1</v>
      </c>
      <c r="AI16" s="174">
        <f t="shared" si="15"/>
        <v>1</v>
      </c>
    </row>
    <row r="17" spans="1:35" ht="12" customHeight="1" x14ac:dyDescent="0.25">
      <c r="C17" s="184"/>
      <c r="D17" s="184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</row>
    <row r="18" spans="1:35" ht="12" customHeight="1" x14ac:dyDescent="0.25">
      <c r="A18" s="150" t="s">
        <v>115</v>
      </c>
      <c r="B18" s="151">
        <v>1</v>
      </c>
      <c r="C18" s="152">
        <v>1307</v>
      </c>
      <c r="D18" s="153">
        <v>1200</v>
      </c>
      <c r="E18" s="153">
        <v>1160</v>
      </c>
      <c r="F18" s="153">
        <v>1100</v>
      </c>
      <c r="G18" s="153">
        <v>1538</v>
      </c>
      <c r="H18" s="153">
        <v>1434</v>
      </c>
      <c r="I18" s="153">
        <v>1452</v>
      </c>
      <c r="J18" s="153">
        <v>1389</v>
      </c>
      <c r="K18" s="153">
        <v>1315</v>
      </c>
      <c r="L18" s="153">
        <v>1148</v>
      </c>
      <c r="M18" s="153">
        <v>1271</v>
      </c>
      <c r="N18" s="153">
        <v>1086</v>
      </c>
      <c r="O18" s="153">
        <v>1217</v>
      </c>
      <c r="P18" s="153">
        <v>1340</v>
      </c>
      <c r="Q18" s="153">
        <v>1424</v>
      </c>
      <c r="R18" s="154">
        <v>1228</v>
      </c>
      <c r="T18" s="156">
        <f t="shared" ref="T18:T29" si="16">C18/C$29</f>
        <v>0.39038231780167265</v>
      </c>
      <c r="U18" s="157">
        <f t="shared" ref="U18:U29" si="17">D18/D$29</f>
        <v>0.35576638007708272</v>
      </c>
      <c r="V18" s="157">
        <f t="shared" ref="V18:V29" si="18">E18/E$29</f>
        <v>0.35747303543913711</v>
      </c>
      <c r="W18" s="157">
        <f t="shared" ref="W18:W29" si="19">F18/F$29</f>
        <v>0.36776997659645605</v>
      </c>
      <c r="X18" s="157">
        <f t="shared" ref="X18:X29" si="20">G18/G$29</f>
        <v>0.4547604967474867</v>
      </c>
      <c r="Y18" s="157">
        <f t="shared" ref="Y18:Y29" si="21">H18/H$29</f>
        <v>0.39569536423841062</v>
      </c>
      <c r="Z18" s="157">
        <f t="shared" ref="Z18:Z29" si="22">I18/I$29</f>
        <v>0.39477977161500816</v>
      </c>
      <c r="AA18" s="157">
        <f t="shared" ref="AA18:AA29" si="23">J18/J$29</f>
        <v>0.38327814569536423</v>
      </c>
      <c r="AB18" s="157">
        <f t="shared" ref="AB18:AB29" si="24">K18/K$29</f>
        <v>0.38699234844025898</v>
      </c>
      <c r="AC18" s="157">
        <f t="shared" ref="AC18:AC29" si="25">L18/L$29</f>
        <v>0.35897435897435898</v>
      </c>
      <c r="AD18" s="157">
        <f t="shared" ref="AD18:AD29" si="26">M18/M$29</f>
        <v>0.40310815096733271</v>
      </c>
      <c r="AE18" s="157">
        <f t="shared" ref="AE18:AE29" si="27">N18/N$29</f>
        <v>0.3640630238015421</v>
      </c>
      <c r="AF18" s="157">
        <f t="shared" ref="AF18:AF29" si="28">O18/O$29</f>
        <v>0.40770519262981575</v>
      </c>
      <c r="AG18" s="157">
        <f t="shared" ref="AG18:AG29" si="29">P18/P$29</f>
        <v>0.42499207104345066</v>
      </c>
      <c r="AH18" s="157">
        <f t="shared" ref="AH18:AH29" si="30">Q18/Q$29</f>
        <v>0.41072973752523795</v>
      </c>
      <c r="AI18" s="158">
        <f t="shared" ref="AI18:AI29" si="31">R18/R$29</f>
        <v>0.35697674418604652</v>
      </c>
    </row>
    <row r="19" spans="1:35" ht="12" customHeight="1" x14ac:dyDescent="0.25">
      <c r="A19" s="159" t="s">
        <v>115</v>
      </c>
      <c r="B19" s="160">
        <v>2</v>
      </c>
      <c r="C19" s="161">
        <v>933</v>
      </c>
      <c r="D19" s="162">
        <v>1026</v>
      </c>
      <c r="E19" s="162">
        <v>959</v>
      </c>
      <c r="F19" s="162">
        <v>913</v>
      </c>
      <c r="G19" s="162">
        <v>883</v>
      </c>
      <c r="H19" s="162">
        <v>1255</v>
      </c>
      <c r="I19" s="162">
        <v>1163</v>
      </c>
      <c r="J19" s="162">
        <v>1174</v>
      </c>
      <c r="K19" s="162">
        <v>1075</v>
      </c>
      <c r="L19" s="162">
        <v>1052</v>
      </c>
      <c r="M19" s="162">
        <v>919</v>
      </c>
      <c r="N19" s="162">
        <v>1011</v>
      </c>
      <c r="O19" s="162">
        <v>870</v>
      </c>
      <c r="P19" s="162">
        <v>987</v>
      </c>
      <c r="Q19" s="162">
        <v>1101</v>
      </c>
      <c r="R19" s="163">
        <v>1185</v>
      </c>
      <c r="T19" s="164">
        <f t="shared" si="16"/>
        <v>0.27867383512544802</v>
      </c>
      <c r="U19" s="165">
        <f t="shared" si="17"/>
        <v>0.30418025496590573</v>
      </c>
      <c r="V19" s="165">
        <f t="shared" si="18"/>
        <v>0.29553158705701077</v>
      </c>
      <c r="W19" s="165">
        <f t="shared" si="19"/>
        <v>0.30524908057505851</v>
      </c>
      <c r="X19" s="165">
        <f t="shared" si="20"/>
        <v>0.26108811354228267</v>
      </c>
      <c r="Y19" s="165">
        <f t="shared" si="21"/>
        <v>0.34630242825607066</v>
      </c>
      <c r="Z19" s="165">
        <f t="shared" si="22"/>
        <v>0.31620445894507887</v>
      </c>
      <c r="AA19" s="165">
        <f t="shared" si="23"/>
        <v>0.32395143487858719</v>
      </c>
      <c r="AB19" s="165">
        <f t="shared" si="24"/>
        <v>0.31636256621542086</v>
      </c>
      <c r="AC19" s="165">
        <f t="shared" si="25"/>
        <v>0.32895559724828016</v>
      </c>
      <c r="AD19" s="165">
        <f t="shared" si="26"/>
        <v>0.29146844275293371</v>
      </c>
      <c r="AE19" s="165">
        <f t="shared" si="27"/>
        <v>0.33892054978209857</v>
      </c>
      <c r="AF19" s="165">
        <f t="shared" si="28"/>
        <v>0.29145728643216079</v>
      </c>
      <c r="AG19" s="165">
        <f t="shared" si="29"/>
        <v>0.31303520456707895</v>
      </c>
      <c r="AH19" s="165">
        <f t="shared" si="30"/>
        <v>0.31756561869051053</v>
      </c>
      <c r="AI19" s="166">
        <f t="shared" si="31"/>
        <v>0.34447674418604651</v>
      </c>
    </row>
    <row r="20" spans="1:35" ht="12" customHeight="1" x14ac:dyDescent="0.25">
      <c r="A20" s="159" t="s">
        <v>115</v>
      </c>
      <c r="B20" s="160">
        <v>3</v>
      </c>
      <c r="C20" s="161">
        <v>597</v>
      </c>
      <c r="D20" s="162">
        <v>639</v>
      </c>
      <c r="E20" s="162">
        <v>624</v>
      </c>
      <c r="F20" s="162">
        <v>519</v>
      </c>
      <c r="G20" s="162">
        <v>514</v>
      </c>
      <c r="H20" s="162">
        <v>511</v>
      </c>
      <c r="I20" s="162">
        <v>696</v>
      </c>
      <c r="J20" s="162">
        <v>641</v>
      </c>
      <c r="K20" s="162">
        <v>599</v>
      </c>
      <c r="L20" s="162">
        <v>615</v>
      </c>
      <c r="M20" s="162">
        <v>580</v>
      </c>
      <c r="N20" s="162">
        <v>540</v>
      </c>
      <c r="O20" s="162">
        <v>593</v>
      </c>
      <c r="P20" s="162">
        <v>532</v>
      </c>
      <c r="Q20" s="162">
        <v>648</v>
      </c>
      <c r="R20" s="163">
        <v>693</v>
      </c>
      <c r="T20" s="164">
        <f t="shared" si="16"/>
        <v>0.17831541218637992</v>
      </c>
      <c r="U20" s="165">
        <f t="shared" si="17"/>
        <v>0.18944559739104655</v>
      </c>
      <c r="V20" s="165">
        <f t="shared" si="18"/>
        <v>0.19229583975346687</v>
      </c>
      <c r="W20" s="165">
        <f t="shared" si="19"/>
        <v>0.17352056168505517</v>
      </c>
      <c r="X20" s="165">
        <f t="shared" si="20"/>
        <v>0.15198107628622118</v>
      </c>
      <c r="Y20" s="165">
        <f t="shared" si="21"/>
        <v>0.14100441501103753</v>
      </c>
      <c r="Z20" s="165">
        <f t="shared" si="22"/>
        <v>0.18923327895595432</v>
      </c>
      <c r="AA20" s="165">
        <f t="shared" si="23"/>
        <v>0.17687637969094921</v>
      </c>
      <c r="AB20" s="165">
        <f t="shared" si="24"/>
        <v>0.17628016480282518</v>
      </c>
      <c r="AC20" s="165">
        <f t="shared" si="25"/>
        <v>0.19230769230769232</v>
      </c>
      <c r="AD20" s="165">
        <f t="shared" si="26"/>
        <v>0.18395179194418015</v>
      </c>
      <c r="AE20" s="165">
        <f t="shared" si="27"/>
        <v>0.18102581293999329</v>
      </c>
      <c r="AF20" s="165">
        <f t="shared" si="28"/>
        <v>0.19865996649916248</v>
      </c>
      <c r="AG20" s="165">
        <f t="shared" si="29"/>
        <v>0.16872819536948938</v>
      </c>
      <c r="AH20" s="165">
        <f t="shared" si="30"/>
        <v>0.18690510527833862</v>
      </c>
      <c r="AI20" s="166">
        <f t="shared" si="31"/>
        <v>0.20145348837209304</v>
      </c>
    </row>
    <row r="21" spans="1:35" ht="12" customHeight="1" x14ac:dyDescent="0.25">
      <c r="A21" s="159" t="s">
        <v>115</v>
      </c>
      <c r="B21" s="160">
        <v>4</v>
      </c>
      <c r="C21" s="161">
        <v>199</v>
      </c>
      <c r="D21" s="162">
        <v>254</v>
      </c>
      <c r="E21" s="162">
        <v>247</v>
      </c>
      <c r="F21" s="162">
        <v>240</v>
      </c>
      <c r="G21" s="162">
        <v>206</v>
      </c>
      <c r="H21" s="162">
        <v>188</v>
      </c>
      <c r="I21" s="162">
        <v>169</v>
      </c>
      <c r="J21" s="162">
        <v>241</v>
      </c>
      <c r="K21" s="162">
        <v>221</v>
      </c>
      <c r="L21" s="162">
        <v>213</v>
      </c>
      <c r="M21" s="162">
        <v>216</v>
      </c>
      <c r="N21" s="162">
        <v>169</v>
      </c>
      <c r="O21" s="162">
        <v>162</v>
      </c>
      <c r="P21" s="162">
        <v>176</v>
      </c>
      <c r="Q21" s="162">
        <v>180</v>
      </c>
      <c r="R21" s="163">
        <v>219</v>
      </c>
      <c r="T21" s="164">
        <f t="shared" si="16"/>
        <v>5.9438470728793311E-2</v>
      </c>
      <c r="U21" s="165">
        <f t="shared" si="17"/>
        <v>7.5303883782982514E-2</v>
      </c>
      <c r="V21" s="165">
        <f t="shared" si="18"/>
        <v>7.6117103235747302E-2</v>
      </c>
      <c r="W21" s="165">
        <f t="shared" si="19"/>
        <v>8.0240722166499495E-2</v>
      </c>
      <c r="X21" s="165">
        <f t="shared" si="20"/>
        <v>6.0910703725606148E-2</v>
      </c>
      <c r="Y21" s="165">
        <f t="shared" si="21"/>
        <v>5.1876379690949229E-2</v>
      </c>
      <c r="Z21" s="165">
        <f t="shared" si="22"/>
        <v>4.5948885263730289E-2</v>
      </c>
      <c r="AA21" s="165">
        <f t="shared" si="23"/>
        <v>6.6501103752759388E-2</v>
      </c>
      <c r="AB21" s="165">
        <f t="shared" si="24"/>
        <v>6.5038257798705118E-2</v>
      </c>
      <c r="AC21" s="165">
        <f t="shared" si="25"/>
        <v>6.6604127579737341E-2</v>
      </c>
      <c r="AD21" s="165">
        <f t="shared" si="26"/>
        <v>6.8506184586108465E-2</v>
      </c>
      <c r="AE21" s="165">
        <f t="shared" si="27"/>
        <v>5.6654374790479384E-2</v>
      </c>
      <c r="AF21" s="165">
        <f t="shared" si="28"/>
        <v>5.4271356783919596E-2</v>
      </c>
      <c r="AG21" s="165">
        <f t="shared" si="29"/>
        <v>5.5819854107199494E-2</v>
      </c>
      <c r="AH21" s="165">
        <f t="shared" si="30"/>
        <v>5.1918084799538508E-2</v>
      </c>
      <c r="AI21" s="166">
        <f t="shared" si="31"/>
        <v>6.3662790697674415E-2</v>
      </c>
    </row>
    <row r="22" spans="1:35" ht="12" customHeight="1" x14ac:dyDescent="0.25">
      <c r="A22" s="159" t="s">
        <v>115</v>
      </c>
      <c r="B22" s="160">
        <v>5</v>
      </c>
      <c r="C22" s="161">
        <v>127</v>
      </c>
      <c r="D22" s="162">
        <v>73</v>
      </c>
      <c r="E22" s="162">
        <v>120</v>
      </c>
      <c r="F22" s="162">
        <v>88</v>
      </c>
      <c r="G22" s="162">
        <v>104</v>
      </c>
      <c r="H22" s="162">
        <v>104</v>
      </c>
      <c r="I22" s="162">
        <v>71</v>
      </c>
      <c r="J22" s="162">
        <v>69</v>
      </c>
      <c r="K22" s="162">
        <v>88</v>
      </c>
      <c r="L22" s="162">
        <v>78</v>
      </c>
      <c r="M22" s="162">
        <v>77</v>
      </c>
      <c r="N22" s="162">
        <v>83</v>
      </c>
      <c r="O22" s="162">
        <v>50</v>
      </c>
      <c r="P22" s="162">
        <v>51</v>
      </c>
      <c r="Q22" s="162">
        <v>56</v>
      </c>
      <c r="R22" s="163">
        <v>48</v>
      </c>
      <c r="T22" s="164">
        <f t="shared" si="16"/>
        <v>3.7933094384707287E-2</v>
      </c>
      <c r="U22" s="165">
        <f t="shared" si="17"/>
        <v>2.1642454788022531E-2</v>
      </c>
      <c r="V22" s="165">
        <f t="shared" si="18"/>
        <v>3.6979969183359017E-2</v>
      </c>
      <c r="W22" s="165">
        <f t="shared" si="19"/>
        <v>2.9421598127716483E-2</v>
      </c>
      <c r="X22" s="165">
        <f t="shared" si="20"/>
        <v>3.075103489059728E-2</v>
      </c>
      <c r="Y22" s="165">
        <f t="shared" si="21"/>
        <v>2.8697571743929361E-2</v>
      </c>
      <c r="Z22" s="165">
        <f t="shared" si="22"/>
        <v>1.9303969548667754E-2</v>
      </c>
      <c r="AA22" s="165">
        <f t="shared" si="23"/>
        <v>1.9039735099337748E-2</v>
      </c>
      <c r="AB22" s="165">
        <f t="shared" si="24"/>
        <v>2.5897586815773983E-2</v>
      </c>
      <c r="AC22" s="165">
        <f t="shared" si="25"/>
        <v>2.4390243902439025E-2</v>
      </c>
      <c r="AD22" s="165">
        <f t="shared" si="26"/>
        <v>2.4421186171899777E-2</v>
      </c>
      <c r="AE22" s="165">
        <f t="shared" si="27"/>
        <v>2.7824337914850821E-2</v>
      </c>
      <c r="AF22" s="165">
        <f t="shared" si="28"/>
        <v>1.675041876046901E-2</v>
      </c>
      <c r="AG22" s="165">
        <f t="shared" si="29"/>
        <v>1.6175071360608945E-2</v>
      </c>
      <c r="AH22" s="165">
        <f t="shared" si="30"/>
        <v>1.6152293048745311E-2</v>
      </c>
      <c r="AI22" s="166">
        <f t="shared" si="31"/>
        <v>1.3953488372093023E-2</v>
      </c>
    </row>
    <row r="23" spans="1:35" ht="12" customHeight="1" x14ac:dyDescent="0.25">
      <c r="A23" s="159" t="s">
        <v>115</v>
      </c>
      <c r="B23" s="160">
        <v>6</v>
      </c>
      <c r="C23" s="161">
        <v>87</v>
      </c>
      <c r="D23" s="162">
        <v>57</v>
      </c>
      <c r="E23" s="162">
        <v>35</v>
      </c>
      <c r="F23" s="162">
        <v>39</v>
      </c>
      <c r="G23" s="162">
        <v>44</v>
      </c>
      <c r="H23" s="162">
        <v>47</v>
      </c>
      <c r="I23" s="162">
        <v>49</v>
      </c>
      <c r="J23" s="162">
        <v>40</v>
      </c>
      <c r="K23" s="162">
        <v>21</v>
      </c>
      <c r="L23" s="162">
        <v>44</v>
      </c>
      <c r="M23" s="162">
        <v>29</v>
      </c>
      <c r="N23" s="162">
        <v>40</v>
      </c>
      <c r="O23" s="162">
        <v>37</v>
      </c>
      <c r="P23" s="162">
        <v>23</v>
      </c>
      <c r="Q23" s="162">
        <v>17</v>
      </c>
      <c r="R23" s="163">
        <v>26</v>
      </c>
      <c r="T23" s="164">
        <f t="shared" si="16"/>
        <v>2.5985663082437275E-2</v>
      </c>
      <c r="U23" s="165">
        <f t="shared" si="17"/>
        <v>1.6898903053661429E-2</v>
      </c>
      <c r="V23" s="165">
        <f t="shared" si="18"/>
        <v>1.078582434514638E-2</v>
      </c>
      <c r="W23" s="165">
        <f t="shared" si="19"/>
        <v>1.3039117352056168E-2</v>
      </c>
      <c r="X23" s="165">
        <f t="shared" si="20"/>
        <v>1.3010053222945003E-2</v>
      </c>
      <c r="Y23" s="165">
        <f t="shared" si="21"/>
        <v>1.2969094922737307E-2</v>
      </c>
      <c r="Z23" s="165">
        <f t="shared" si="22"/>
        <v>1.3322457857531268E-2</v>
      </c>
      <c r="AA23" s="165">
        <f t="shared" si="23"/>
        <v>1.1037527593818985E-2</v>
      </c>
      <c r="AB23" s="165">
        <f t="shared" si="24"/>
        <v>6.1801059446733369E-3</v>
      </c>
      <c r="AC23" s="165">
        <f t="shared" si="25"/>
        <v>1.3758599124452783E-2</v>
      </c>
      <c r="AD23" s="165">
        <f t="shared" si="26"/>
        <v>9.197589597209007E-3</v>
      </c>
      <c r="AE23" s="165">
        <f t="shared" si="27"/>
        <v>1.340931947703654E-2</v>
      </c>
      <c r="AF23" s="165">
        <f t="shared" si="28"/>
        <v>1.2395309882747068E-2</v>
      </c>
      <c r="AG23" s="165">
        <f t="shared" si="29"/>
        <v>7.2946400253726612E-3</v>
      </c>
      <c r="AH23" s="165">
        <f t="shared" si="30"/>
        <v>4.9033746755119704E-3</v>
      </c>
      <c r="AI23" s="166">
        <f t="shared" si="31"/>
        <v>7.5581395348837208E-3</v>
      </c>
    </row>
    <row r="24" spans="1:35" ht="12" customHeight="1" x14ac:dyDescent="0.25">
      <c r="A24" s="159" t="s">
        <v>115</v>
      </c>
      <c r="B24" s="160">
        <v>7</v>
      </c>
      <c r="C24" s="161">
        <v>33</v>
      </c>
      <c r="D24" s="162">
        <v>43</v>
      </c>
      <c r="E24" s="162">
        <v>24</v>
      </c>
      <c r="F24" s="162">
        <v>23</v>
      </c>
      <c r="G24" s="162">
        <v>25</v>
      </c>
      <c r="H24" s="162">
        <v>29</v>
      </c>
      <c r="I24" s="162">
        <v>21</v>
      </c>
      <c r="J24" s="162">
        <v>21</v>
      </c>
      <c r="K24" s="162">
        <v>33</v>
      </c>
      <c r="L24" s="162">
        <v>10</v>
      </c>
      <c r="M24" s="162">
        <v>19</v>
      </c>
      <c r="N24" s="162">
        <v>13</v>
      </c>
      <c r="O24" s="162">
        <v>17</v>
      </c>
      <c r="P24" s="162">
        <v>9</v>
      </c>
      <c r="Q24" s="162">
        <v>8</v>
      </c>
      <c r="R24" s="163">
        <v>12</v>
      </c>
      <c r="T24" s="164">
        <f t="shared" si="16"/>
        <v>9.8566308243727592E-3</v>
      </c>
      <c r="U24" s="165">
        <f t="shared" si="17"/>
        <v>1.2748295286095465E-2</v>
      </c>
      <c r="V24" s="165">
        <f t="shared" si="18"/>
        <v>7.395993836671803E-3</v>
      </c>
      <c r="W24" s="165">
        <f t="shared" si="19"/>
        <v>7.6897358742895354E-3</v>
      </c>
      <c r="X24" s="165">
        <f t="shared" si="20"/>
        <v>7.392075694855115E-3</v>
      </c>
      <c r="Y24" s="165">
        <f t="shared" si="21"/>
        <v>8.002207505518763E-3</v>
      </c>
      <c r="Z24" s="165">
        <f t="shared" si="22"/>
        <v>5.7096247960848291E-3</v>
      </c>
      <c r="AA24" s="165">
        <f t="shared" si="23"/>
        <v>5.794701986754967E-3</v>
      </c>
      <c r="AB24" s="165">
        <f t="shared" si="24"/>
        <v>9.7115950559152446E-3</v>
      </c>
      <c r="AC24" s="165">
        <f t="shared" si="25"/>
        <v>3.1269543464665416E-3</v>
      </c>
      <c r="AD24" s="165">
        <f t="shared" si="26"/>
        <v>6.0260069774817635E-3</v>
      </c>
      <c r="AE24" s="165">
        <f t="shared" si="27"/>
        <v>4.3580288300368759E-3</v>
      </c>
      <c r="AF24" s="165">
        <f t="shared" si="28"/>
        <v>5.6951423785594644E-3</v>
      </c>
      <c r="AG24" s="165">
        <f t="shared" si="29"/>
        <v>2.8544243577545195E-3</v>
      </c>
      <c r="AH24" s="165">
        <f t="shared" si="30"/>
        <v>2.3074704355350445E-3</v>
      </c>
      <c r="AI24" s="166">
        <f t="shared" si="31"/>
        <v>3.4883720930232558E-3</v>
      </c>
    </row>
    <row r="25" spans="1:35" ht="12" customHeight="1" x14ac:dyDescent="0.25">
      <c r="A25" s="159" t="s">
        <v>115</v>
      </c>
      <c r="B25" s="160">
        <v>8</v>
      </c>
      <c r="C25" s="161">
        <v>13</v>
      </c>
      <c r="D25" s="162">
        <v>22</v>
      </c>
      <c r="E25" s="162">
        <v>22</v>
      </c>
      <c r="F25" s="162">
        <v>12</v>
      </c>
      <c r="G25" s="162">
        <v>18</v>
      </c>
      <c r="H25" s="162">
        <v>15</v>
      </c>
      <c r="I25" s="162">
        <v>11</v>
      </c>
      <c r="J25" s="162">
        <v>12</v>
      </c>
      <c r="K25" s="162">
        <v>8</v>
      </c>
      <c r="L25" s="162">
        <v>11</v>
      </c>
      <c r="M25" s="162">
        <v>9</v>
      </c>
      <c r="N25" s="162">
        <v>13</v>
      </c>
      <c r="O25" s="162">
        <v>9</v>
      </c>
      <c r="P25" s="162">
        <v>6</v>
      </c>
      <c r="Q25" s="162">
        <v>7</v>
      </c>
      <c r="R25" s="163">
        <v>6</v>
      </c>
      <c r="T25" s="164">
        <f t="shared" si="16"/>
        <v>3.8829151732377538E-3</v>
      </c>
      <c r="U25" s="165">
        <f t="shared" si="17"/>
        <v>6.5223836347465163E-3</v>
      </c>
      <c r="V25" s="165">
        <f t="shared" si="18"/>
        <v>6.7796610169491523E-3</v>
      </c>
      <c r="W25" s="165">
        <f t="shared" si="19"/>
        <v>4.0120361083249749E-3</v>
      </c>
      <c r="X25" s="165">
        <f t="shared" si="20"/>
        <v>5.3222945002956833E-3</v>
      </c>
      <c r="Y25" s="165">
        <f t="shared" si="21"/>
        <v>4.1390728476821195E-3</v>
      </c>
      <c r="Z25" s="165">
        <f t="shared" si="22"/>
        <v>2.9907558455682438E-3</v>
      </c>
      <c r="AA25" s="165">
        <f t="shared" si="23"/>
        <v>3.3112582781456954E-3</v>
      </c>
      <c r="AB25" s="165">
        <f t="shared" si="24"/>
        <v>2.3543260741612712E-3</v>
      </c>
      <c r="AC25" s="165">
        <f t="shared" si="25"/>
        <v>3.4396497811131957E-3</v>
      </c>
      <c r="AD25" s="165">
        <f t="shared" si="26"/>
        <v>2.8544243577545195E-3</v>
      </c>
      <c r="AE25" s="165">
        <f t="shared" si="27"/>
        <v>4.3580288300368759E-3</v>
      </c>
      <c r="AF25" s="165">
        <f t="shared" si="28"/>
        <v>3.015075376884422E-3</v>
      </c>
      <c r="AG25" s="165">
        <f t="shared" si="29"/>
        <v>1.9029495718363464E-3</v>
      </c>
      <c r="AH25" s="165">
        <f t="shared" si="30"/>
        <v>2.0190366310931639E-3</v>
      </c>
      <c r="AI25" s="166">
        <f t="shared" si="31"/>
        <v>1.7441860465116279E-3</v>
      </c>
    </row>
    <row r="26" spans="1:35" ht="12" customHeight="1" x14ac:dyDescent="0.25">
      <c r="A26" s="159" t="s">
        <v>115</v>
      </c>
      <c r="B26" s="160">
        <v>9</v>
      </c>
      <c r="C26" s="161">
        <v>7</v>
      </c>
      <c r="D26" s="162">
        <v>9</v>
      </c>
      <c r="E26" s="162">
        <v>11</v>
      </c>
      <c r="F26" s="162">
        <v>15</v>
      </c>
      <c r="G26" s="162">
        <v>6</v>
      </c>
      <c r="H26" s="162">
        <v>6</v>
      </c>
      <c r="I26" s="162">
        <v>9</v>
      </c>
      <c r="J26" s="162">
        <v>7</v>
      </c>
      <c r="K26" s="162">
        <v>11</v>
      </c>
      <c r="L26" s="162">
        <v>7</v>
      </c>
      <c r="M26" s="162">
        <v>8</v>
      </c>
      <c r="N26" s="162">
        <v>3</v>
      </c>
      <c r="O26" s="162">
        <v>9</v>
      </c>
      <c r="P26" s="162">
        <v>7</v>
      </c>
      <c r="Q26" s="162">
        <v>5</v>
      </c>
      <c r="R26" s="163">
        <v>5</v>
      </c>
      <c r="T26" s="164">
        <f t="shared" si="16"/>
        <v>2.090800477897252E-3</v>
      </c>
      <c r="U26" s="165">
        <f t="shared" si="17"/>
        <v>2.6682478505781204E-3</v>
      </c>
      <c r="V26" s="165">
        <f t="shared" si="18"/>
        <v>3.3898305084745762E-3</v>
      </c>
      <c r="W26" s="165">
        <f t="shared" si="19"/>
        <v>5.0150451354062184E-3</v>
      </c>
      <c r="X26" s="165">
        <f t="shared" si="20"/>
        <v>1.7740981667652277E-3</v>
      </c>
      <c r="Y26" s="165">
        <f t="shared" si="21"/>
        <v>1.6556291390728477E-3</v>
      </c>
      <c r="Z26" s="165">
        <f t="shared" si="22"/>
        <v>2.4469820554649264E-3</v>
      </c>
      <c r="AA26" s="165">
        <f t="shared" si="23"/>
        <v>1.9315673289183224E-3</v>
      </c>
      <c r="AB26" s="165">
        <f t="shared" si="24"/>
        <v>3.2371983519717479E-3</v>
      </c>
      <c r="AC26" s="165">
        <f t="shared" si="25"/>
        <v>2.1888680425265791E-3</v>
      </c>
      <c r="AD26" s="165">
        <f t="shared" si="26"/>
        <v>2.5372660957817951E-3</v>
      </c>
      <c r="AE26" s="165">
        <f t="shared" si="27"/>
        <v>1.0056989607777405E-3</v>
      </c>
      <c r="AF26" s="165">
        <f t="shared" si="28"/>
        <v>3.015075376884422E-3</v>
      </c>
      <c r="AG26" s="165">
        <f t="shared" si="29"/>
        <v>2.2201078338090706E-3</v>
      </c>
      <c r="AH26" s="165">
        <f t="shared" si="30"/>
        <v>1.442169022209403E-3</v>
      </c>
      <c r="AI26" s="166">
        <f t="shared" si="31"/>
        <v>1.4534883720930232E-3</v>
      </c>
    </row>
    <row r="27" spans="1:35" ht="12" customHeight="1" x14ac:dyDescent="0.25">
      <c r="A27" s="159" t="s">
        <v>115</v>
      </c>
      <c r="B27" s="160">
        <v>10</v>
      </c>
      <c r="C27" s="161">
        <v>15</v>
      </c>
      <c r="D27" s="162">
        <v>9</v>
      </c>
      <c r="E27" s="162">
        <v>8</v>
      </c>
      <c r="F27" s="162">
        <v>9</v>
      </c>
      <c r="G27" s="162">
        <v>12</v>
      </c>
      <c r="H27" s="162">
        <v>8</v>
      </c>
      <c r="I27" s="162">
        <v>4</v>
      </c>
      <c r="J27" s="162">
        <v>8</v>
      </c>
      <c r="K27" s="162">
        <v>5</v>
      </c>
      <c r="L27" s="162">
        <v>6</v>
      </c>
      <c r="M27" s="162">
        <v>5</v>
      </c>
      <c r="N27" s="162">
        <v>1</v>
      </c>
      <c r="O27" s="162">
        <v>4</v>
      </c>
      <c r="P27" s="162">
        <v>4</v>
      </c>
      <c r="Q27" s="162">
        <v>6</v>
      </c>
      <c r="R27" s="163">
        <v>5</v>
      </c>
      <c r="T27" s="164">
        <f t="shared" si="16"/>
        <v>4.4802867383512543E-3</v>
      </c>
      <c r="U27" s="165">
        <f t="shared" si="17"/>
        <v>2.6682478505781204E-3</v>
      </c>
      <c r="V27" s="165">
        <f t="shared" si="18"/>
        <v>2.465331278890601E-3</v>
      </c>
      <c r="W27" s="165">
        <f t="shared" si="19"/>
        <v>3.009027081243731E-3</v>
      </c>
      <c r="X27" s="165">
        <f t="shared" si="20"/>
        <v>3.5481963335304554E-3</v>
      </c>
      <c r="Y27" s="165">
        <f t="shared" si="21"/>
        <v>2.2075055187637969E-3</v>
      </c>
      <c r="Z27" s="165">
        <f t="shared" si="22"/>
        <v>1.0875475802066339E-3</v>
      </c>
      <c r="AA27" s="165">
        <f t="shared" si="23"/>
        <v>2.2075055187637969E-3</v>
      </c>
      <c r="AB27" s="165">
        <f t="shared" si="24"/>
        <v>1.4714537963507945E-3</v>
      </c>
      <c r="AC27" s="165">
        <f t="shared" si="25"/>
        <v>1.876172607879925E-3</v>
      </c>
      <c r="AD27" s="165">
        <f t="shared" si="26"/>
        <v>1.585791309863622E-3</v>
      </c>
      <c r="AE27" s="165">
        <f t="shared" si="27"/>
        <v>3.3523298692591353E-4</v>
      </c>
      <c r="AF27" s="165">
        <f t="shared" si="28"/>
        <v>1.340033500837521E-3</v>
      </c>
      <c r="AG27" s="165">
        <f t="shared" si="29"/>
        <v>1.2686330478908975E-3</v>
      </c>
      <c r="AH27" s="165">
        <f t="shared" si="30"/>
        <v>1.7306028266512836E-3</v>
      </c>
      <c r="AI27" s="166">
        <f t="shared" si="31"/>
        <v>1.4534883720930232E-3</v>
      </c>
    </row>
    <row r="28" spans="1:35" ht="12" customHeight="1" x14ac:dyDescent="0.25">
      <c r="A28" s="159" t="s">
        <v>115</v>
      </c>
      <c r="B28" s="160" t="s">
        <v>116</v>
      </c>
      <c r="C28" s="161">
        <v>30</v>
      </c>
      <c r="D28" s="162">
        <v>41</v>
      </c>
      <c r="E28" s="162">
        <v>35</v>
      </c>
      <c r="F28" s="162">
        <v>33</v>
      </c>
      <c r="G28" s="162">
        <v>32</v>
      </c>
      <c r="H28" s="162">
        <v>27</v>
      </c>
      <c r="I28" s="162">
        <v>33</v>
      </c>
      <c r="J28" s="162">
        <v>22</v>
      </c>
      <c r="K28" s="162">
        <v>22</v>
      </c>
      <c r="L28" s="162">
        <v>14</v>
      </c>
      <c r="M28" s="162">
        <v>20</v>
      </c>
      <c r="N28" s="162">
        <v>24</v>
      </c>
      <c r="O28" s="162">
        <v>17</v>
      </c>
      <c r="P28" s="162">
        <v>18</v>
      </c>
      <c r="Q28" s="162">
        <v>15</v>
      </c>
      <c r="R28" s="163">
        <v>13</v>
      </c>
      <c r="T28" s="164">
        <f t="shared" si="16"/>
        <v>8.9605734767025085E-3</v>
      </c>
      <c r="U28" s="165">
        <f t="shared" si="17"/>
        <v>1.2155351319300326E-2</v>
      </c>
      <c r="V28" s="165">
        <f t="shared" si="18"/>
        <v>1.078582434514638E-2</v>
      </c>
      <c r="W28" s="165">
        <f t="shared" si="19"/>
        <v>1.1033099297893681E-2</v>
      </c>
      <c r="X28" s="165">
        <f t="shared" si="20"/>
        <v>9.4618568894145483E-3</v>
      </c>
      <c r="Y28" s="165">
        <f t="shared" si="21"/>
        <v>7.4503311258278145E-3</v>
      </c>
      <c r="Z28" s="165">
        <f t="shared" si="22"/>
        <v>8.9722675367047301E-3</v>
      </c>
      <c r="AA28" s="165">
        <f t="shared" si="23"/>
        <v>6.0706401766004413E-3</v>
      </c>
      <c r="AB28" s="165">
        <f t="shared" si="24"/>
        <v>6.4743967039434958E-3</v>
      </c>
      <c r="AC28" s="165">
        <f t="shared" si="25"/>
        <v>4.3777360850531582E-3</v>
      </c>
      <c r="AD28" s="165">
        <f t="shared" si="26"/>
        <v>6.3431652394544879E-3</v>
      </c>
      <c r="AE28" s="165">
        <f t="shared" si="27"/>
        <v>8.0455916862219243E-3</v>
      </c>
      <c r="AF28" s="165">
        <f t="shared" si="28"/>
        <v>5.6951423785594644E-3</v>
      </c>
      <c r="AG28" s="165">
        <f t="shared" si="29"/>
        <v>5.708848715509039E-3</v>
      </c>
      <c r="AH28" s="165">
        <f t="shared" si="30"/>
        <v>4.3265070666282084E-3</v>
      </c>
      <c r="AI28" s="166">
        <f t="shared" si="31"/>
        <v>3.7790697674418604E-3</v>
      </c>
    </row>
    <row r="29" spans="1:35" ht="12" customHeight="1" x14ac:dyDescent="0.25">
      <c r="A29" s="167" t="s">
        <v>115</v>
      </c>
      <c r="B29" s="168" t="s">
        <v>114</v>
      </c>
      <c r="C29" s="169">
        <v>3348</v>
      </c>
      <c r="D29" s="170">
        <v>3373</v>
      </c>
      <c r="E29" s="170">
        <v>3245</v>
      </c>
      <c r="F29" s="170">
        <v>2991</v>
      </c>
      <c r="G29" s="170">
        <v>3382</v>
      </c>
      <c r="H29" s="170">
        <v>3624</v>
      </c>
      <c r="I29" s="170">
        <v>3678</v>
      </c>
      <c r="J29" s="170">
        <v>3624</v>
      </c>
      <c r="K29" s="170">
        <v>3398</v>
      </c>
      <c r="L29" s="170">
        <v>3198</v>
      </c>
      <c r="M29" s="170">
        <v>3153</v>
      </c>
      <c r="N29" s="170">
        <v>2983</v>
      </c>
      <c r="O29" s="170">
        <v>2985</v>
      </c>
      <c r="P29" s="170">
        <v>3153</v>
      </c>
      <c r="Q29" s="170">
        <v>3467</v>
      </c>
      <c r="R29" s="171">
        <v>3440</v>
      </c>
      <c r="T29" s="172">
        <f t="shared" si="16"/>
        <v>1</v>
      </c>
      <c r="U29" s="173">
        <f t="shared" si="17"/>
        <v>1</v>
      </c>
      <c r="V29" s="173">
        <f t="shared" si="18"/>
        <v>1</v>
      </c>
      <c r="W29" s="173">
        <f t="shared" si="19"/>
        <v>1</v>
      </c>
      <c r="X29" s="173">
        <f t="shared" si="20"/>
        <v>1</v>
      </c>
      <c r="Y29" s="173">
        <f t="shared" si="21"/>
        <v>1</v>
      </c>
      <c r="Z29" s="173">
        <f t="shared" si="22"/>
        <v>1</v>
      </c>
      <c r="AA29" s="173">
        <f t="shared" si="23"/>
        <v>1</v>
      </c>
      <c r="AB29" s="173">
        <f t="shared" si="24"/>
        <v>1</v>
      </c>
      <c r="AC29" s="173">
        <f t="shared" si="25"/>
        <v>1</v>
      </c>
      <c r="AD29" s="173">
        <f t="shared" si="26"/>
        <v>1</v>
      </c>
      <c r="AE29" s="173">
        <f t="shared" si="27"/>
        <v>1</v>
      </c>
      <c r="AF29" s="173">
        <f t="shared" si="28"/>
        <v>1</v>
      </c>
      <c r="AG29" s="173">
        <f t="shared" si="29"/>
        <v>1</v>
      </c>
      <c r="AH29" s="173">
        <f t="shared" si="30"/>
        <v>1</v>
      </c>
      <c r="AI29" s="174">
        <f t="shared" si="31"/>
        <v>1</v>
      </c>
    </row>
    <row r="30" spans="1:35" ht="12" customHeight="1" x14ac:dyDescent="0.25"/>
    <row r="31" spans="1:35" ht="12" customHeight="1" x14ac:dyDescent="0.25"/>
    <row r="32" spans="1:35" x14ac:dyDescent="0.25">
      <c r="C32" s="140"/>
      <c r="D32" s="141"/>
      <c r="E32" s="141"/>
      <c r="F32" s="141"/>
      <c r="G32" s="141"/>
      <c r="H32" s="141"/>
      <c r="I32" s="193" t="s">
        <v>123</v>
      </c>
      <c r="J32" s="193"/>
      <c r="K32" s="193"/>
      <c r="L32" s="193"/>
      <c r="M32" s="193"/>
      <c r="N32" s="141"/>
      <c r="O32" s="141"/>
      <c r="P32" s="141"/>
      <c r="Q32" s="141"/>
      <c r="R32" s="142"/>
      <c r="T32" s="140"/>
      <c r="U32" s="141"/>
      <c r="V32" s="141"/>
      <c r="W32" s="141"/>
      <c r="X32" s="141"/>
      <c r="Y32" s="141"/>
      <c r="Z32" s="141"/>
      <c r="AA32" s="143" t="s">
        <v>119</v>
      </c>
      <c r="AB32" s="141"/>
      <c r="AC32" s="141"/>
      <c r="AD32" s="141"/>
      <c r="AE32" s="141"/>
      <c r="AF32" s="141"/>
      <c r="AG32" s="141"/>
      <c r="AH32" s="141"/>
      <c r="AI32" s="142"/>
    </row>
    <row r="33" spans="1:35" x14ac:dyDescent="0.25">
      <c r="A33" s="144" t="s">
        <v>118</v>
      </c>
      <c r="B33" s="145" t="s">
        <v>30</v>
      </c>
      <c r="C33" s="146">
        <v>2001</v>
      </c>
      <c r="D33" s="147">
        <v>2002</v>
      </c>
      <c r="E33" s="147">
        <v>2003</v>
      </c>
      <c r="F33" s="147">
        <v>2004</v>
      </c>
      <c r="G33" s="147">
        <v>2005</v>
      </c>
      <c r="H33" s="147">
        <v>2006</v>
      </c>
      <c r="I33" s="147">
        <v>2007</v>
      </c>
      <c r="J33" s="147">
        <v>2008</v>
      </c>
      <c r="K33" s="147">
        <v>2009</v>
      </c>
      <c r="L33" s="147">
        <v>2010</v>
      </c>
      <c r="M33" s="147">
        <v>2011</v>
      </c>
      <c r="N33" s="147">
        <v>2012</v>
      </c>
      <c r="O33" s="147">
        <v>2013</v>
      </c>
      <c r="P33" s="147">
        <v>2014</v>
      </c>
      <c r="Q33" s="147">
        <v>2015</v>
      </c>
      <c r="R33" s="148">
        <v>2016</v>
      </c>
      <c r="S33" s="149"/>
      <c r="T33" s="146">
        <v>2001</v>
      </c>
      <c r="U33" s="147">
        <v>2002</v>
      </c>
      <c r="V33" s="147">
        <v>2003</v>
      </c>
      <c r="W33" s="147">
        <v>2004</v>
      </c>
      <c r="X33" s="147">
        <v>2005</v>
      </c>
      <c r="Y33" s="147">
        <v>2006</v>
      </c>
      <c r="Z33" s="147">
        <v>2007</v>
      </c>
      <c r="AA33" s="147">
        <v>2008</v>
      </c>
      <c r="AB33" s="147">
        <v>2009</v>
      </c>
      <c r="AC33" s="147">
        <v>2010</v>
      </c>
      <c r="AD33" s="147">
        <v>2011</v>
      </c>
      <c r="AE33" s="147">
        <v>2012</v>
      </c>
      <c r="AF33" s="147">
        <v>2013</v>
      </c>
      <c r="AG33" s="147">
        <v>2014</v>
      </c>
      <c r="AH33" s="147">
        <v>2015</v>
      </c>
      <c r="AI33" s="148">
        <v>2016</v>
      </c>
    </row>
    <row r="34" spans="1:35" ht="12" customHeight="1" x14ac:dyDescent="0.25">
      <c r="A34" s="150" t="s">
        <v>117</v>
      </c>
      <c r="B34" s="151">
        <v>1</v>
      </c>
      <c r="C34" s="175">
        <v>514.5</v>
      </c>
      <c r="D34" s="176">
        <v>527.9</v>
      </c>
      <c r="E34" s="176">
        <v>564.70000000000005</v>
      </c>
      <c r="F34" s="176">
        <v>476.6</v>
      </c>
      <c r="G34" s="176">
        <v>585.79999999999995</v>
      </c>
      <c r="H34" s="176">
        <v>625.9</v>
      </c>
      <c r="I34" s="176">
        <v>651.29999999999995</v>
      </c>
      <c r="J34" s="176">
        <v>713.2</v>
      </c>
      <c r="K34" s="176">
        <v>566.70000000000005</v>
      </c>
      <c r="L34" s="176">
        <v>633.29999999999995</v>
      </c>
      <c r="M34" s="176">
        <v>644.4</v>
      </c>
      <c r="N34" s="176">
        <v>535.4</v>
      </c>
      <c r="O34" s="176">
        <v>699.3</v>
      </c>
      <c r="P34" s="176">
        <v>736.5</v>
      </c>
      <c r="Q34" s="176">
        <v>736.1</v>
      </c>
      <c r="R34" s="177">
        <v>567.9</v>
      </c>
      <c r="S34" s="155"/>
      <c r="T34" s="156">
        <f t="shared" ref="T34:T45" si="32">C34/C$16</f>
        <v>0.22091026191498497</v>
      </c>
      <c r="U34" s="157">
        <f t="shared" ref="U34:U45" si="33">D34/D$16</f>
        <v>0.21209321012454802</v>
      </c>
      <c r="V34" s="157">
        <f t="shared" ref="V34:V45" si="34">E34/E$16</f>
        <v>0.21536994660564457</v>
      </c>
      <c r="W34" s="157">
        <f t="shared" ref="W34:W45" si="35">F34/F$16</f>
        <v>0.18032538781687477</v>
      </c>
      <c r="X34" s="157">
        <f t="shared" ref="X34:X45" si="36">G34/G$16</f>
        <v>0.21132756132756131</v>
      </c>
      <c r="Y34" s="157">
        <f t="shared" ref="Y34:Y45" si="37">H34/H$16</f>
        <v>0.21081172111822161</v>
      </c>
      <c r="Z34" s="157">
        <f t="shared" ref="Z34:Z45" si="38">I34/I$16</f>
        <v>0.21559086395233365</v>
      </c>
      <c r="AA34" s="157">
        <f t="shared" ref="AA34:AA45" si="39">J34/J$16</f>
        <v>0.23468246133596579</v>
      </c>
      <c r="AB34" s="157">
        <f t="shared" ref="AB34:AB45" si="40">K34/K$16</f>
        <v>0.20957840236686393</v>
      </c>
      <c r="AC34" s="157">
        <f t="shared" ref="AC34:AC45" si="41">L34/L$16</f>
        <v>0.23248898678414096</v>
      </c>
      <c r="AD34" s="157">
        <f t="shared" ref="AD34:AD45" si="42">M34/M$16</f>
        <v>0.23578485181119649</v>
      </c>
      <c r="AE34" s="157">
        <f t="shared" ref="AE34:AE45" si="43">N34/N$16</f>
        <v>0.19749170047952785</v>
      </c>
      <c r="AF34" s="157">
        <f t="shared" ref="AF34:AF45" si="44">O34/O$16</f>
        <v>0.23585160202360875</v>
      </c>
      <c r="AG34" s="157">
        <f t="shared" ref="AG34:AG45" si="45">P34/P$16</f>
        <v>0.22345266990291263</v>
      </c>
      <c r="AH34" s="157">
        <f t="shared" ref="AH34:AH45" si="46">Q34/Q$16</f>
        <v>0.21121951219512194</v>
      </c>
      <c r="AI34" s="158">
        <f t="shared" ref="AI34:AI45" si="47">R34/R$16</f>
        <v>0.16566511085180863</v>
      </c>
    </row>
    <row r="35" spans="1:35" ht="12" customHeight="1" x14ac:dyDescent="0.25">
      <c r="A35" s="159" t="s">
        <v>117</v>
      </c>
      <c r="B35" s="160">
        <v>2</v>
      </c>
      <c r="C35" s="178">
        <v>352.3</v>
      </c>
      <c r="D35" s="179">
        <v>372.3</v>
      </c>
      <c r="E35" s="179">
        <v>414.9</v>
      </c>
      <c r="F35" s="179">
        <v>452.7</v>
      </c>
      <c r="G35" s="179">
        <v>386.9</v>
      </c>
      <c r="H35" s="179">
        <v>506.1</v>
      </c>
      <c r="I35" s="179">
        <v>479.5</v>
      </c>
      <c r="J35" s="179">
        <v>460.2</v>
      </c>
      <c r="K35" s="179">
        <v>504.9</v>
      </c>
      <c r="L35" s="179">
        <v>420</v>
      </c>
      <c r="M35" s="179">
        <v>498.2</v>
      </c>
      <c r="N35" s="179">
        <v>498.8</v>
      </c>
      <c r="O35" s="179">
        <v>449</v>
      </c>
      <c r="P35" s="179">
        <v>610.70000000000005</v>
      </c>
      <c r="Q35" s="179">
        <v>637.9</v>
      </c>
      <c r="R35" s="180">
        <v>636.5</v>
      </c>
      <c r="S35" s="155"/>
      <c r="T35" s="164">
        <f t="shared" si="32"/>
        <v>0.15126663804207816</v>
      </c>
      <c r="U35" s="165">
        <f t="shared" si="33"/>
        <v>0.14957814383286461</v>
      </c>
      <c r="V35" s="165">
        <f t="shared" si="34"/>
        <v>0.15823798627002286</v>
      </c>
      <c r="W35" s="165">
        <f t="shared" si="35"/>
        <v>0.17128263337116911</v>
      </c>
      <c r="X35" s="165">
        <f t="shared" si="36"/>
        <v>0.13957431457431457</v>
      </c>
      <c r="Y35" s="165">
        <f t="shared" si="37"/>
        <v>0.17046143482654094</v>
      </c>
      <c r="Z35" s="165">
        <f t="shared" si="38"/>
        <v>0.1587222773915922</v>
      </c>
      <c r="AA35" s="165">
        <f t="shared" si="39"/>
        <v>0.15143139190523197</v>
      </c>
      <c r="AB35" s="165">
        <f t="shared" si="40"/>
        <v>0.18672337278106507</v>
      </c>
      <c r="AC35" s="165">
        <f t="shared" si="41"/>
        <v>0.15418502202643172</v>
      </c>
      <c r="AD35" s="165">
        <f t="shared" si="42"/>
        <v>0.18229052323454079</v>
      </c>
      <c r="AE35" s="165">
        <f t="shared" si="43"/>
        <v>0.18399114717816303</v>
      </c>
      <c r="AF35" s="165">
        <f t="shared" si="44"/>
        <v>0.15143338954468802</v>
      </c>
      <c r="AG35" s="165">
        <f t="shared" si="45"/>
        <v>0.18528519417475731</v>
      </c>
      <c r="AH35" s="165">
        <f t="shared" si="46"/>
        <v>0.1830416068866571</v>
      </c>
      <c r="AI35" s="166">
        <f t="shared" si="47"/>
        <v>0.18567677946324387</v>
      </c>
    </row>
    <row r="36" spans="1:35" ht="12" customHeight="1" x14ac:dyDescent="0.25">
      <c r="A36" s="159" t="s">
        <v>117</v>
      </c>
      <c r="B36" s="160">
        <v>3</v>
      </c>
      <c r="C36" s="178">
        <v>329.7</v>
      </c>
      <c r="D36" s="179">
        <v>365.5</v>
      </c>
      <c r="E36" s="179">
        <v>409.9</v>
      </c>
      <c r="F36" s="179">
        <v>409.8</v>
      </c>
      <c r="G36" s="179">
        <v>427.1</v>
      </c>
      <c r="H36" s="179">
        <v>392.9</v>
      </c>
      <c r="I36" s="179">
        <v>475.9</v>
      </c>
      <c r="J36" s="179">
        <v>435.1</v>
      </c>
      <c r="K36" s="179">
        <v>372.7</v>
      </c>
      <c r="L36" s="179">
        <v>435.6</v>
      </c>
      <c r="M36" s="179">
        <v>393.8</v>
      </c>
      <c r="N36" s="179">
        <v>487.3</v>
      </c>
      <c r="O36" s="179">
        <v>535.70000000000005</v>
      </c>
      <c r="P36" s="179">
        <v>479.4</v>
      </c>
      <c r="Q36" s="179">
        <v>637</v>
      </c>
      <c r="R36" s="180">
        <v>626.29999999999995</v>
      </c>
      <c r="S36" s="155"/>
      <c r="T36" s="164">
        <f t="shared" si="32"/>
        <v>0.14156290253327608</v>
      </c>
      <c r="U36" s="165">
        <f t="shared" si="33"/>
        <v>0.14684612294094013</v>
      </c>
      <c r="V36" s="165">
        <f t="shared" si="34"/>
        <v>0.15633104500381387</v>
      </c>
      <c r="W36" s="165">
        <f t="shared" si="35"/>
        <v>0.15505107832009082</v>
      </c>
      <c r="X36" s="165">
        <f t="shared" si="36"/>
        <v>0.15407647907647909</v>
      </c>
      <c r="Y36" s="165">
        <f t="shared" si="37"/>
        <v>0.13233411923206467</v>
      </c>
      <c r="Z36" s="165">
        <f t="shared" si="38"/>
        <v>0.157530619000331</v>
      </c>
      <c r="AA36" s="165">
        <f t="shared" si="39"/>
        <v>0.14317209608423825</v>
      </c>
      <c r="AB36" s="165">
        <f t="shared" si="40"/>
        <v>0.13783284023668638</v>
      </c>
      <c r="AC36" s="165">
        <f t="shared" si="41"/>
        <v>0.15991189427312777</v>
      </c>
      <c r="AD36" s="165">
        <f t="shared" si="42"/>
        <v>0.14409074277350897</v>
      </c>
      <c r="AE36" s="165">
        <f t="shared" si="43"/>
        <v>0.17974917004795279</v>
      </c>
      <c r="AF36" s="165">
        <f t="shared" si="44"/>
        <v>0.18067453625632379</v>
      </c>
      <c r="AG36" s="165">
        <f t="shared" si="45"/>
        <v>0.14544902912621357</v>
      </c>
      <c r="AH36" s="165">
        <f t="shared" si="46"/>
        <v>0.18278335724533715</v>
      </c>
      <c r="AI36" s="166">
        <f t="shared" si="47"/>
        <v>0.18270128354725787</v>
      </c>
    </row>
    <row r="37" spans="1:35" ht="12" customHeight="1" x14ac:dyDescent="0.25">
      <c r="A37" s="159" t="s">
        <v>117</v>
      </c>
      <c r="B37" s="160">
        <v>4</v>
      </c>
      <c r="C37" s="178">
        <v>283</v>
      </c>
      <c r="D37" s="179">
        <v>322.10000000000002</v>
      </c>
      <c r="E37" s="179">
        <v>343.1</v>
      </c>
      <c r="F37" s="179">
        <v>373</v>
      </c>
      <c r="G37" s="179">
        <v>415.9</v>
      </c>
      <c r="H37" s="179">
        <v>411.1</v>
      </c>
      <c r="I37" s="179">
        <v>359.3</v>
      </c>
      <c r="J37" s="179">
        <v>427.5</v>
      </c>
      <c r="K37" s="179">
        <v>339.7</v>
      </c>
      <c r="L37" s="179">
        <v>344.4</v>
      </c>
      <c r="M37" s="179">
        <v>429.5</v>
      </c>
      <c r="N37" s="179">
        <v>371.5</v>
      </c>
      <c r="O37" s="179">
        <v>473.2</v>
      </c>
      <c r="P37" s="179">
        <v>486.5</v>
      </c>
      <c r="Q37" s="179">
        <v>455.7</v>
      </c>
      <c r="R37" s="180">
        <v>599.6</v>
      </c>
      <c r="S37" s="155"/>
      <c r="T37" s="164">
        <f t="shared" si="32"/>
        <v>0.12151137827393731</v>
      </c>
      <c r="U37" s="165">
        <f t="shared" si="33"/>
        <v>0.12940940136601045</v>
      </c>
      <c r="V37" s="165">
        <f t="shared" si="34"/>
        <v>0.13085430968726164</v>
      </c>
      <c r="W37" s="165">
        <f t="shared" si="35"/>
        <v>0.14112750662126372</v>
      </c>
      <c r="X37" s="165">
        <f t="shared" si="36"/>
        <v>0.15003607503607502</v>
      </c>
      <c r="Y37" s="165">
        <f t="shared" si="37"/>
        <v>0.13846412933647695</v>
      </c>
      <c r="Z37" s="165">
        <f t="shared" si="38"/>
        <v>0.11893412777226084</v>
      </c>
      <c r="AA37" s="165">
        <f t="shared" si="39"/>
        <v>0.14067127344521224</v>
      </c>
      <c r="AB37" s="165">
        <f t="shared" si="40"/>
        <v>0.12562869822485206</v>
      </c>
      <c r="AC37" s="165">
        <f t="shared" si="41"/>
        <v>0.126431718061674</v>
      </c>
      <c r="AD37" s="165">
        <f t="shared" si="42"/>
        <v>0.15715331137943653</v>
      </c>
      <c r="AE37" s="165">
        <f t="shared" si="43"/>
        <v>0.13703430468461822</v>
      </c>
      <c r="AF37" s="165">
        <f t="shared" si="44"/>
        <v>0.15959527824620573</v>
      </c>
      <c r="AG37" s="165">
        <f t="shared" si="45"/>
        <v>0.14760315533980584</v>
      </c>
      <c r="AH37" s="165">
        <f t="shared" si="46"/>
        <v>0.13076040172166428</v>
      </c>
      <c r="AI37" s="166">
        <f t="shared" si="47"/>
        <v>0.17491248541423571</v>
      </c>
    </row>
    <row r="38" spans="1:35" ht="12" customHeight="1" x14ac:dyDescent="0.25">
      <c r="A38" s="159" t="s">
        <v>117</v>
      </c>
      <c r="B38" s="160">
        <v>5</v>
      </c>
      <c r="C38" s="178">
        <v>256</v>
      </c>
      <c r="D38" s="179">
        <v>224.9</v>
      </c>
      <c r="E38" s="179">
        <v>231.1</v>
      </c>
      <c r="F38" s="179">
        <v>259.5</v>
      </c>
      <c r="G38" s="179">
        <v>293.2</v>
      </c>
      <c r="H38" s="179">
        <v>321.5</v>
      </c>
      <c r="I38" s="179">
        <v>299.89999999999998</v>
      </c>
      <c r="J38" s="179">
        <v>252.1</v>
      </c>
      <c r="K38" s="179">
        <v>261.2</v>
      </c>
      <c r="L38" s="179">
        <v>235</v>
      </c>
      <c r="M38" s="179">
        <v>232.8</v>
      </c>
      <c r="N38" s="179">
        <v>276.8</v>
      </c>
      <c r="O38" s="179">
        <v>261.7</v>
      </c>
      <c r="P38" s="179">
        <v>364.4</v>
      </c>
      <c r="Q38" s="179">
        <v>320.10000000000002</v>
      </c>
      <c r="R38" s="180">
        <v>309</v>
      </c>
      <c r="S38" s="155"/>
      <c r="T38" s="164">
        <f t="shared" si="32"/>
        <v>0.10991841992271362</v>
      </c>
      <c r="U38" s="165">
        <f t="shared" si="33"/>
        <v>9.0357573322619525E-2</v>
      </c>
      <c r="V38" s="165">
        <f t="shared" si="34"/>
        <v>8.8138825324180006E-2</v>
      </c>
      <c r="W38" s="165">
        <f t="shared" si="35"/>
        <v>9.8183881952326899E-2</v>
      </c>
      <c r="X38" s="165">
        <f t="shared" si="36"/>
        <v>0.10577200577200577</v>
      </c>
      <c r="Y38" s="165">
        <f t="shared" si="37"/>
        <v>0.10828561805321657</v>
      </c>
      <c r="Z38" s="165">
        <f t="shared" si="38"/>
        <v>9.9271764316451502E-2</v>
      </c>
      <c r="AA38" s="165">
        <f t="shared" si="39"/>
        <v>8.2954919381375447E-2</v>
      </c>
      <c r="AB38" s="165">
        <f t="shared" si="40"/>
        <v>9.6597633136094666E-2</v>
      </c>
      <c r="AC38" s="165">
        <f t="shared" si="41"/>
        <v>8.6270190895741561E-2</v>
      </c>
      <c r="AD38" s="165">
        <f t="shared" si="42"/>
        <v>8.518111964873766E-2</v>
      </c>
      <c r="AE38" s="165">
        <f t="shared" si="43"/>
        <v>0.10210254518627813</v>
      </c>
      <c r="AF38" s="165">
        <f t="shared" si="44"/>
        <v>8.8263069139966274E-2</v>
      </c>
      <c r="AG38" s="165">
        <f t="shared" si="45"/>
        <v>0.11055825242718446</v>
      </c>
      <c r="AH38" s="165">
        <f t="shared" si="46"/>
        <v>9.1850789096126262E-2</v>
      </c>
      <c r="AI38" s="166">
        <f t="shared" si="47"/>
        <v>9.0140023337222874E-2</v>
      </c>
    </row>
    <row r="39" spans="1:35" ht="12" customHeight="1" x14ac:dyDescent="0.25">
      <c r="A39" s="159" t="s">
        <v>117</v>
      </c>
      <c r="B39" s="160">
        <v>6</v>
      </c>
      <c r="C39" s="178">
        <v>127.2</v>
      </c>
      <c r="D39" s="179">
        <v>140.69999999999999</v>
      </c>
      <c r="E39" s="179">
        <v>106.5</v>
      </c>
      <c r="F39" s="179">
        <v>106.7</v>
      </c>
      <c r="G39" s="179">
        <v>135.4</v>
      </c>
      <c r="H39" s="179">
        <v>130.30000000000001</v>
      </c>
      <c r="I39" s="179">
        <v>140.4</v>
      </c>
      <c r="J39" s="179">
        <v>137.5</v>
      </c>
      <c r="K39" s="179">
        <v>96.5</v>
      </c>
      <c r="L39" s="179">
        <v>97.7</v>
      </c>
      <c r="M39" s="179">
        <v>79.8</v>
      </c>
      <c r="N39" s="179">
        <v>88.1</v>
      </c>
      <c r="O39" s="179">
        <v>103.2</v>
      </c>
      <c r="P39" s="179">
        <v>87.7</v>
      </c>
      <c r="Q39" s="179">
        <v>126.3</v>
      </c>
      <c r="R39" s="180">
        <v>114.1</v>
      </c>
      <c r="S39" s="155"/>
      <c r="T39" s="164">
        <f t="shared" si="32"/>
        <v>5.4615714899098326E-2</v>
      </c>
      <c r="U39" s="165">
        <f t="shared" si="33"/>
        <v>5.6528726396143023E-2</v>
      </c>
      <c r="V39" s="165">
        <f t="shared" si="34"/>
        <v>4.0617848970251717E-2</v>
      </c>
      <c r="W39" s="165">
        <f t="shared" si="35"/>
        <v>4.0370790768066593E-2</v>
      </c>
      <c r="X39" s="165">
        <f t="shared" si="36"/>
        <v>4.8845598845598845E-2</v>
      </c>
      <c r="Y39" s="165">
        <f t="shared" si="37"/>
        <v>4.3886830582687775E-2</v>
      </c>
      <c r="Z39" s="165">
        <f t="shared" si="38"/>
        <v>4.64746772591857E-2</v>
      </c>
      <c r="AA39" s="165">
        <f t="shared" si="39"/>
        <v>4.5245146429746627E-2</v>
      </c>
      <c r="AB39" s="165">
        <f t="shared" si="40"/>
        <v>3.5687869822485209E-2</v>
      </c>
      <c r="AC39" s="165">
        <f t="shared" si="41"/>
        <v>3.586637298091043E-2</v>
      </c>
      <c r="AD39" s="165">
        <f t="shared" si="42"/>
        <v>2.9198682766190996E-2</v>
      </c>
      <c r="AE39" s="165">
        <f t="shared" si="43"/>
        <v>3.2497233493175945E-2</v>
      </c>
      <c r="AF39" s="165">
        <f t="shared" si="44"/>
        <v>3.4806070826306913E-2</v>
      </c>
      <c r="AG39" s="165">
        <f t="shared" si="45"/>
        <v>2.6608009708737865E-2</v>
      </c>
      <c r="AH39" s="165">
        <f t="shared" si="46"/>
        <v>3.6241032998565278E-2</v>
      </c>
      <c r="AI39" s="166">
        <f t="shared" si="47"/>
        <v>3.3284714119019836E-2</v>
      </c>
    </row>
    <row r="40" spans="1:35" ht="12" customHeight="1" x14ac:dyDescent="0.25">
      <c r="A40" s="159" t="s">
        <v>117</v>
      </c>
      <c r="B40" s="160">
        <v>7</v>
      </c>
      <c r="C40" s="178">
        <v>35.200000000000003</v>
      </c>
      <c r="D40" s="179">
        <v>54</v>
      </c>
      <c r="E40" s="179">
        <v>54.5</v>
      </c>
      <c r="F40" s="179">
        <v>41</v>
      </c>
      <c r="G40" s="179">
        <v>44.7</v>
      </c>
      <c r="H40" s="179">
        <v>48.3</v>
      </c>
      <c r="I40" s="179">
        <v>57.2</v>
      </c>
      <c r="J40" s="179">
        <v>60.1</v>
      </c>
      <c r="K40" s="179">
        <v>42.5</v>
      </c>
      <c r="L40" s="179">
        <v>36.4</v>
      </c>
      <c r="M40" s="179">
        <v>30.2</v>
      </c>
      <c r="N40" s="179">
        <v>29.8</v>
      </c>
      <c r="O40" s="179">
        <v>30.6</v>
      </c>
      <c r="P40" s="179">
        <v>40.5</v>
      </c>
      <c r="Q40" s="179">
        <v>35.299999999999997</v>
      </c>
      <c r="R40" s="180">
        <v>45.5</v>
      </c>
      <c r="S40" s="155"/>
      <c r="T40" s="164">
        <f t="shared" si="32"/>
        <v>1.5113782739373123E-2</v>
      </c>
      <c r="U40" s="165">
        <f t="shared" si="33"/>
        <v>2.1695460024106068E-2</v>
      </c>
      <c r="V40" s="165">
        <f t="shared" si="34"/>
        <v>2.0785659801678107E-2</v>
      </c>
      <c r="W40" s="165">
        <f t="shared" si="35"/>
        <v>1.5512674990541053E-2</v>
      </c>
      <c r="X40" s="165">
        <f t="shared" si="36"/>
        <v>1.6125541125541126E-2</v>
      </c>
      <c r="Y40" s="165">
        <f t="shared" si="37"/>
        <v>1.6268103738632536E-2</v>
      </c>
      <c r="Z40" s="165">
        <f t="shared" si="38"/>
        <v>1.8934127772260841E-2</v>
      </c>
      <c r="AA40" s="165">
        <f t="shared" si="39"/>
        <v>1.9776242184929252E-2</v>
      </c>
      <c r="AB40" s="165">
        <f t="shared" si="40"/>
        <v>1.5717455621301776E-2</v>
      </c>
      <c r="AC40" s="165">
        <f t="shared" si="41"/>
        <v>1.3362701908957416E-2</v>
      </c>
      <c r="AD40" s="165">
        <f t="shared" si="42"/>
        <v>1.1050128064398097E-2</v>
      </c>
      <c r="AE40" s="165">
        <f t="shared" si="43"/>
        <v>1.099225378089266E-2</v>
      </c>
      <c r="AF40" s="165">
        <f t="shared" si="44"/>
        <v>1.0320404721753794E-2</v>
      </c>
      <c r="AG40" s="165">
        <f t="shared" si="45"/>
        <v>1.2287621359223301E-2</v>
      </c>
      <c r="AH40" s="165">
        <f t="shared" si="46"/>
        <v>1.012912482065997E-2</v>
      </c>
      <c r="AI40" s="166">
        <f t="shared" si="47"/>
        <v>1.3273045507584598E-2</v>
      </c>
    </row>
    <row r="41" spans="1:35" ht="12" customHeight="1" x14ac:dyDescent="0.25">
      <c r="A41" s="159" t="s">
        <v>117</v>
      </c>
      <c r="B41" s="160">
        <v>8</v>
      </c>
      <c r="C41" s="178">
        <v>20.3</v>
      </c>
      <c r="D41" s="179">
        <v>22.1</v>
      </c>
      <c r="E41" s="179">
        <v>23.5</v>
      </c>
      <c r="F41" s="179">
        <v>23.1</v>
      </c>
      <c r="G41" s="179">
        <v>14.9</v>
      </c>
      <c r="H41" s="179">
        <v>21.9</v>
      </c>
      <c r="I41" s="179">
        <v>20.100000000000001</v>
      </c>
      <c r="J41" s="179">
        <v>26.5</v>
      </c>
      <c r="K41" s="179">
        <v>22.3</v>
      </c>
      <c r="L41" s="179">
        <v>17.3</v>
      </c>
      <c r="M41" s="179">
        <v>16.2</v>
      </c>
      <c r="N41" s="179">
        <v>16.899999999999999</v>
      </c>
      <c r="O41" s="179">
        <v>9.9</v>
      </c>
      <c r="P41" s="179">
        <v>16.5</v>
      </c>
      <c r="Q41" s="179">
        <v>20.3</v>
      </c>
      <c r="R41" s="180">
        <v>14.5</v>
      </c>
      <c r="S41" s="155"/>
      <c r="T41" s="164">
        <f t="shared" si="32"/>
        <v>8.7161872048089305E-3</v>
      </c>
      <c r="U41" s="165">
        <f t="shared" si="33"/>
        <v>8.8790678987545196E-3</v>
      </c>
      <c r="V41" s="165">
        <f t="shared" si="34"/>
        <v>8.9626239511823042E-3</v>
      </c>
      <c r="W41" s="165">
        <f t="shared" si="35"/>
        <v>8.7400681044267885E-3</v>
      </c>
      <c r="X41" s="165">
        <f t="shared" si="36"/>
        <v>5.3751803751803757E-3</v>
      </c>
      <c r="Y41" s="165">
        <f t="shared" si="37"/>
        <v>7.3762209498147522E-3</v>
      </c>
      <c r="Z41" s="165">
        <f t="shared" si="38"/>
        <v>6.6534260178748765E-3</v>
      </c>
      <c r="AA41" s="165">
        <f t="shared" si="39"/>
        <v>8.7199736755511677E-3</v>
      </c>
      <c r="AB41" s="165">
        <f t="shared" si="40"/>
        <v>8.247041420118343E-3</v>
      </c>
      <c r="AC41" s="165">
        <f t="shared" si="41"/>
        <v>6.3509544787077833E-3</v>
      </c>
      <c r="AD41" s="165">
        <f t="shared" si="42"/>
        <v>5.9275521405049393E-3</v>
      </c>
      <c r="AE41" s="165">
        <f t="shared" si="43"/>
        <v>6.2338620435263732E-3</v>
      </c>
      <c r="AF41" s="165">
        <f t="shared" si="44"/>
        <v>3.3389544688026984E-3</v>
      </c>
      <c r="AG41" s="165">
        <f t="shared" si="45"/>
        <v>5.0060679611650489E-3</v>
      </c>
      <c r="AH41" s="165">
        <f t="shared" si="46"/>
        <v>5.8249641319942612E-3</v>
      </c>
      <c r="AI41" s="166">
        <f t="shared" si="47"/>
        <v>4.2298716452742122E-3</v>
      </c>
    </row>
    <row r="42" spans="1:35" ht="12" customHeight="1" x14ac:dyDescent="0.25">
      <c r="A42" s="159" t="s">
        <v>117</v>
      </c>
      <c r="B42" s="160">
        <v>9</v>
      </c>
      <c r="C42" s="178">
        <v>9.3000000000000007</v>
      </c>
      <c r="D42" s="179">
        <v>14.3</v>
      </c>
      <c r="E42" s="179">
        <v>13.1</v>
      </c>
      <c r="F42" s="179">
        <v>13.4</v>
      </c>
      <c r="G42" s="179">
        <v>11.1</v>
      </c>
      <c r="H42" s="179">
        <v>6.3</v>
      </c>
      <c r="I42" s="179">
        <v>15.3</v>
      </c>
      <c r="J42" s="179">
        <v>7.7</v>
      </c>
      <c r="K42" s="179">
        <v>14.2</v>
      </c>
      <c r="L42" s="179">
        <v>8</v>
      </c>
      <c r="M42" s="179">
        <v>12.2</v>
      </c>
      <c r="N42" s="179">
        <v>7</v>
      </c>
      <c r="O42" s="179">
        <v>5.5</v>
      </c>
      <c r="P42" s="179">
        <v>5</v>
      </c>
      <c r="Q42" s="179">
        <v>8.6999999999999993</v>
      </c>
      <c r="R42" s="180">
        <v>11.3</v>
      </c>
      <c r="S42" s="155"/>
      <c r="T42" s="164">
        <f t="shared" si="32"/>
        <v>3.9931300987548308E-3</v>
      </c>
      <c r="U42" s="165">
        <f t="shared" si="33"/>
        <v>5.7452792286058658E-3</v>
      </c>
      <c r="V42" s="165">
        <f t="shared" si="34"/>
        <v>4.9961861174675822E-3</v>
      </c>
      <c r="W42" s="165">
        <f t="shared" si="35"/>
        <v>5.069996216420734E-3</v>
      </c>
      <c r="X42" s="165">
        <f t="shared" si="36"/>
        <v>4.0043290043290042E-3</v>
      </c>
      <c r="Y42" s="165">
        <f t="shared" si="37"/>
        <v>2.1219265746042436E-3</v>
      </c>
      <c r="Z42" s="165">
        <f t="shared" si="38"/>
        <v>5.0645481628599802E-3</v>
      </c>
      <c r="AA42" s="165">
        <f t="shared" si="39"/>
        <v>2.533728200065811E-3</v>
      </c>
      <c r="AB42" s="165">
        <f t="shared" si="40"/>
        <v>5.2514792899408282E-3</v>
      </c>
      <c r="AC42" s="165">
        <f t="shared" si="41"/>
        <v>2.936857562408223E-3</v>
      </c>
      <c r="AD42" s="165">
        <f t="shared" si="42"/>
        <v>4.4639590193926082E-3</v>
      </c>
      <c r="AE42" s="165">
        <f t="shared" si="43"/>
        <v>2.5820730357801547E-3</v>
      </c>
      <c r="AF42" s="165">
        <f t="shared" si="44"/>
        <v>1.8549747048903879E-3</v>
      </c>
      <c r="AG42" s="165">
        <f t="shared" si="45"/>
        <v>1.5169902912621359E-3</v>
      </c>
      <c r="AH42" s="165">
        <f t="shared" si="46"/>
        <v>2.4964131994261118E-3</v>
      </c>
      <c r="AI42" s="166">
        <f t="shared" si="47"/>
        <v>3.2963827304550762E-3</v>
      </c>
    </row>
    <row r="43" spans="1:35" ht="12" customHeight="1" x14ac:dyDescent="0.25">
      <c r="A43" s="159" t="s">
        <v>117</v>
      </c>
      <c r="B43" s="160">
        <v>10</v>
      </c>
      <c r="C43" s="178">
        <v>9.3000000000000007</v>
      </c>
      <c r="D43" s="179">
        <v>3.7</v>
      </c>
      <c r="E43" s="179">
        <v>7.3</v>
      </c>
      <c r="F43" s="179">
        <v>4.4000000000000004</v>
      </c>
      <c r="G43" s="179">
        <v>5.4</v>
      </c>
      <c r="H43" s="179">
        <v>8.8000000000000007</v>
      </c>
      <c r="I43" s="179">
        <v>5.5</v>
      </c>
      <c r="J43" s="179">
        <v>8.1999999999999993</v>
      </c>
      <c r="K43" s="179">
        <v>4.5</v>
      </c>
      <c r="L43" s="179">
        <v>9.1</v>
      </c>
      <c r="M43" s="179">
        <v>4.4000000000000004</v>
      </c>
      <c r="N43" s="179">
        <v>8.1999999999999993</v>
      </c>
      <c r="O43" s="179">
        <v>4.7</v>
      </c>
      <c r="P43" s="179">
        <v>4.2</v>
      </c>
      <c r="Q43" s="179">
        <v>3.9</v>
      </c>
      <c r="R43" s="180">
        <v>5.4</v>
      </c>
      <c r="S43" s="155"/>
      <c r="T43" s="164">
        <f t="shared" si="32"/>
        <v>3.9931300987548308E-3</v>
      </c>
      <c r="U43" s="165">
        <f t="shared" si="33"/>
        <v>1.4865407794294899E-3</v>
      </c>
      <c r="V43" s="165">
        <f t="shared" si="34"/>
        <v>2.7841342486651412E-3</v>
      </c>
      <c r="W43" s="165">
        <f t="shared" si="35"/>
        <v>1.6647748770336739E-3</v>
      </c>
      <c r="X43" s="165">
        <f t="shared" si="36"/>
        <v>1.9480519480519483E-3</v>
      </c>
      <c r="Y43" s="165">
        <f t="shared" si="37"/>
        <v>2.9639609296059281E-3</v>
      </c>
      <c r="Z43" s="165">
        <f t="shared" si="38"/>
        <v>1.8205892088712346E-3</v>
      </c>
      <c r="AA43" s="165">
        <f t="shared" si="39"/>
        <v>2.6982560052648897E-3</v>
      </c>
      <c r="AB43" s="165">
        <f t="shared" si="40"/>
        <v>1.6642011834319527E-3</v>
      </c>
      <c r="AC43" s="165">
        <f t="shared" si="41"/>
        <v>3.3406754772393539E-3</v>
      </c>
      <c r="AD43" s="165">
        <f t="shared" si="42"/>
        <v>1.609952433223564E-3</v>
      </c>
      <c r="AE43" s="165">
        <f t="shared" si="43"/>
        <v>3.0247141276281814E-3</v>
      </c>
      <c r="AF43" s="165">
        <f t="shared" si="44"/>
        <v>1.5851602023608769E-3</v>
      </c>
      <c r="AG43" s="165">
        <f t="shared" si="45"/>
        <v>1.2742718446601942E-3</v>
      </c>
      <c r="AH43" s="165">
        <f t="shared" si="46"/>
        <v>1.1190817790530847E-3</v>
      </c>
      <c r="AI43" s="166">
        <f t="shared" si="47"/>
        <v>1.5752625437572929E-3</v>
      </c>
    </row>
    <row r="44" spans="1:35" ht="12" customHeight="1" x14ac:dyDescent="0.25">
      <c r="A44" s="159" t="s">
        <v>117</v>
      </c>
      <c r="B44" s="160" t="s">
        <v>116</v>
      </c>
      <c r="C44" s="178">
        <v>23.5</v>
      </c>
      <c r="D44" s="179">
        <v>20.7</v>
      </c>
      <c r="E44" s="179">
        <v>17.600000000000001</v>
      </c>
      <c r="F44" s="179">
        <v>12.4</v>
      </c>
      <c r="G44" s="179">
        <v>13.9</v>
      </c>
      <c r="H44" s="179">
        <v>13.6</v>
      </c>
      <c r="I44" s="179">
        <v>16.399999999999999</v>
      </c>
      <c r="J44" s="179">
        <v>14.3</v>
      </c>
      <c r="K44" s="179">
        <v>15.3</v>
      </c>
      <c r="L44" s="179">
        <v>17.899999999999999</v>
      </c>
      <c r="M44" s="179">
        <v>18.3</v>
      </c>
      <c r="N44" s="179">
        <v>9.5</v>
      </c>
      <c r="O44" s="179">
        <v>9.3000000000000007</v>
      </c>
      <c r="P44" s="179">
        <v>11.9</v>
      </c>
      <c r="Q44" s="179">
        <v>11.9</v>
      </c>
      <c r="R44" s="180">
        <v>16.5</v>
      </c>
      <c r="S44" s="155"/>
      <c r="T44" s="164">
        <f t="shared" si="32"/>
        <v>1.0090167453842851E-2</v>
      </c>
      <c r="U44" s="165">
        <f t="shared" si="33"/>
        <v>8.3165930092406592E-3</v>
      </c>
      <c r="V44" s="165">
        <f t="shared" si="34"/>
        <v>6.7124332570556835E-3</v>
      </c>
      <c r="W44" s="165">
        <f t="shared" si="35"/>
        <v>4.691638289822172E-3</v>
      </c>
      <c r="X44" s="165">
        <f t="shared" si="36"/>
        <v>5.0144300144300148E-3</v>
      </c>
      <c r="Y44" s="165">
        <f t="shared" si="37"/>
        <v>4.5806668912091609E-3</v>
      </c>
      <c r="Z44" s="165">
        <f t="shared" si="38"/>
        <v>5.4286660046342266E-3</v>
      </c>
      <c r="AA44" s="165">
        <f t="shared" si="39"/>
        <v>4.7054952286936496E-3</v>
      </c>
      <c r="AB44" s="165">
        <f t="shared" si="40"/>
        <v>5.6582840236686395E-3</v>
      </c>
      <c r="AC44" s="165">
        <f t="shared" si="41"/>
        <v>6.5712187958883988E-3</v>
      </c>
      <c r="AD44" s="165">
        <f t="shared" si="42"/>
        <v>6.6959385290889135E-3</v>
      </c>
      <c r="AE44" s="165">
        <f t="shared" si="43"/>
        <v>3.5042419771302105E-3</v>
      </c>
      <c r="AF44" s="165">
        <f t="shared" si="44"/>
        <v>3.1365935919055654E-3</v>
      </c>
      <c r="AG44" s="165">
        <f t="shared" si="45"/>
        <v>3.6104368932038835E-3</v>
      </c>
      <c r="AH44" s="165">
        <f t="shared" si="46"/>
        <v>3.4146341463414634E-3</v>
      </c>
      <c r="AI44" s="166">
        <f t="shared" si="47"/>
        <v>4.8133022170361731E-3</v>
      </c>
    </row>
    <row r="45" spans="1:35" ht="12" customHeight="1" x14ac:dyDescent="0.25">
      <c r="A45" s="167" t="s">
        <v>117</v>
      </c>
      <c r="B45" s="168" t="s">
        <v>114</v>
      </c>
      <c r="C45" s="181">
        <v>1960.4</v>
      </c>
      <c r="D45" s="182">
        <v>2068.1</v>
      </c>
      <c r="E45" s="182">
        <v>2186.3000000000002</v>
      </c>
      <c r="F45" s="182">
        <v>2172.6999999999998</v>
      </c>
      <c r="G45" s="182">
        <v>2334.3000000000002</v>
      </c>
      <c r="H45" s="182">
        <v>2486.5</v>
      </c>
      <c r="I45" s="182">
        <v>2520.8000000000002</v>
      </c>
      <c r="J45" s="182">
        <v>2542.6</v>
      </c>
      <c r="K45" s="182">
        <v>2240.6</v>
      </c>
      <c r="L45" s="182">
        <v>2254.6999999999998</v>
      </c>
      <c r="M45" s="182">
        <v>2359.9</v>
      </c>
      <c r="N45" s="182">
        <v>2329.1999999999998</v>
      </c>
      <c r="O45" s="182">
        <v>2582.1999999999998</v>
      </c>
      <c r="P45" s="182">
        <v>2843.2</v>
      </c>
      <c r="Q45" s="182">
        <v>2993.3</v>
      </c>
      <c r="R45" s="183">
        <v>2946.6</v>
      </c>
      <c r="S45" s="155"/>
      <c r="T45" s="172">
        <f t="shared" si="32"/>
        <v>0.8417346500644054</v>
      </c>
      <c r="U45" s="173">
        <f t="shared" si="33"/>
        <v>0.83089594214543994</v>
      </c>
      <c r="V45" s="173">
        <f t="shared" si="34"/>
        <v>0.83382913806254777</v>
      </c>
      <c r="W45" s="173">
        <f t="shared" si="35"/>
        <v>0.82205826712069607</v>
      </c>
      <c r="X45" s="173">
        <f t="shared" si="36"/>
        <v>0.84209956709956713</v>
      </c>
      <c r="Y45" s="173">
        <f t="shared" si="37"/>
        <v>0.83748736948467495</v>
      </c>
      <c r="Z45" s="173">
        <f t="shared" si="38"/>
        <v>0.83442568685865615</v>
      </c>
      <c r="AA45" s="173">
        <f t="shared" si="39"/>
        <v>0.83665679499835466</v>
      </c>
      <c r="AB45" s="173">
        <f t="shared" si="40"/>
        <v>0.82862426035502956</v>
      </c>
      <c r="AC45" s="173">
        <f t="shared" si="41"/>
        <v>0.82771659324522751</v>
      </c>
      <c r="AD45" s="173">
        <f t="shared" si="42"/>
        <v>0.86348335162824741</v>
      </c>
      <c r="AE45" s="173">
        <f t="shared" si="43"/>
        <v>0.85916635927701945</v>
      </c>
      <c r="AF45" s="173">
        <f t="shared" si="44"/>
        <v>0.87089376053962897</v>
      </c>
      <c r="AG45" s="173">
        <f t="shared" si="45"/>
        <v>0.86262135922330097</v>
      </c>
      <c r="AH45" s="173">
        <f t="shared" si="46"/>
        <v>0.85890961262553811</v>
      </c>
      <c r="AI45" s="174">
        <f t="shared" si="47"/>
        <v>0.85956826137689613</v>
      </c>
    </row>
    <row r="46" spans="1:35" ht="12" customHeight="1" x14ac:dyDescent="0.25">
      <c r="C46" s="184"/>
      <c r="D46" s="18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</row>
    <row r="47" spans="1:35" ht="12" customHeight="1" x14ac:dyDescent="0.25">
      <c r="A47" s="150" t="s">
        <v>115</v>
      </c>
      <c r="B47" s="151">
        <v>1</v>
      </c>
      <c r="C47" s="175">
        <v>953.8</v>
      </c>
      <c r="D47" s="176">
        <v>879.2</v>
      </c>
      <c r="E47" s="176">
        <v>837.9</v>
      </c>
      <c r="F47" s="176">
        <v>803.9</v>
      </c>
      <c r="G47" s="176">
        <v>1162.5</v>
      </c>
      <c r="H47" s="176">
        <v>1050.3</v>
      </c>
      <c r="I47" s="176">
        <v>1083</v>
      </c>
      <c r="J47" s="176">
        <v>1050.3</v>
      </c>
      <c r="K47" s="176">
        <v>959.9</v>
      </c>
      <c r="L47" s="176">
        <v>845.7</v>
      </c>
      <c r="M47" s="176">
        <v>957.3</v>
      </c>
      <c r="N47" s="176">
        <v>838.1</v>
      </c>
      <c r="O47" s="176">
        <v>940</v>
      </c>
      <c r="P47" s="176">
        <v>1005.4</v>
      </c>
      <c r="Q47" s="176">
        <v>1043</v>
      </c>
      <c r="R47" s="177">
        <v>926.3</v>
      </c>
      <c r="T47" s="156">
        <f t="shared" ref="T47:T58" si="48">C47/C$29</f>
        <v>0.28488649940262845</v>
      </c>
      <c r="U47" s="157">
        <f t="shared" ref="U47:U58" si="49">D47/D$29</f>
        <v>0.2606581678031426</v>
      </c>
      <c r="V47" s="157">
        <f t="shared" ref="V47:V58" si="50">E47/E$29</f>
        <v>0.25821263482280432</v>
      </c>
      <c r="W47" s="157">
        <f t="shared" ref="W47:W58" si="51">F47/F$29</f>
        <v>0.2687729856235373</v>
      </c>
      <c r="X47" s="157">
        <f t="shared" ref="X47:X58" si="52">G47/G$29</f>
        <v>0.34373151981076289</v>
      </c>
      <c r="Y47" s="157">
        <f t="shared" ref="Y47:Y58" si="53">H47/H$29</f>
        <v>0.289817880794702</v>
      </c>
      <c r="Z47" s="157">
        <f t="shared" ref="Z47:Z58" si="54">I47/I$29</f>
        <v>0.29445350734094616</v>
      </c>
      <c r="AA47" s="157">
        <f t="shared" ref="AA47:AA58" si="55">J47/J$29</f>
        <v>0.289817880794702</v>
      </c>
      <c r="AB47" s="157">
        <f t="shared" ref="AB47:AB58" si="56">K47/K$29</f>
        <v>0.28248969982342553</v>
      </c>
      <c r="AC47" s="157">
        <f t="shared" ref="AC47:AC58" si="57">L47/L$29</f>
        <v>0.26444652908067545</v>
      </c>
      <c r="AD47" s="157">
        <f t="shared" ref="AD47:AD58" si="58">M47/M$29</f>
        <v>0.30361560418648903</v>
      </c>
      <c r="AE47" s="157">
        <f t="shared" ref="AE47:AE58" si="59">N47/N$29</f>
        <v>0.28095876634260813</v>
      </c>
      <c r="AF47" s="157">
        <f t="shared" ref="AF47:AF58" si="60">O47/O$29</f>
        <v>0.31490787269681741</v>
      </c>
      <c r="AG47" s="157">
        <f t="shared" ref="AG47:AG58" si="61">P47/P$29</f>
        <v>0.3188709165873771</v>
      </c>
      <c r="AH47" s="157">
        <f t="shared" ref="AH47:AH58" si="62">Q47/Q$29</f>
        <v>0.30083645803288145</v>
      </c>
      <c r="AI47" s="158">
        <f t="shared" ref="AI47:AI58" si="63">R47/R$29</f>
        <v>0.26927325581395345</v>
      </c>
    </row>
    <row r="48" spans="1:35" ht="12" customHeight="1" x14ac:dyDescent="0.25">
      <c r="A48" s="159" t="s">
        <v>115</v>
      </c>
      <c r="B48" s="160">
        <v>2</v>
      </c>
      <c r="C48" s="178">
        <v>717.4</v>
      </c>
      <c r="D48" s="179">
        <v>753.7</v>
      </c>
      <c r="E48" s="179">
        <v>717</v>
      </c>
      <c r="F48" s="179">
        <v>681.5</v>
      </c>
      <c r="G48" s="179">
        <v>689.4</v>
      </c>
      <c r="H48" s="179">
        <v>946.3</v>
      </c>
      <c r="I48" s="179">
        <v>899.1</v>
      </c>
      <c r="J48" s="179">
        <v>924.9</v>
      </c>
      <c r="K48" s="179">
        <v>841.5</v>
      </c>
      <c r="L48" s="179">
        <v>809.3</v>
      </c>
      <c r="M48" s="179">
        <v>743.4</v>
      </c>
      <c r="N48" s="179">
        <v>831.1</v>
      </c>
      <c r="O48" s="179">
        <v>702.2</v>
      </c>
      <c r="P48" s="179">
        <v>780.5</v>
      </c>
      <c r="Q48" s="179">
        <v>895.4</v>
      </c>
      <c r="R48" s="180">
        <v>949.4</v>
      </c>
      <c r="T48" s="164">
        <f t="shared" si="48"/>
        <v>0.21427718040621266</v>
      </c>
      <c r="U48" s="165">
        <f t="shared" si="49"/>
        <v>0.22345093388674772</v>
      </c>
      <c r="V48" s="165">
        <f t="shared" si="50"/>
        <v>0.2209553158705701</v>
      </c>
      <c r="W48" s="165">
        <f t="shared" si="51"/>
        <v>0.22785021731862254</v>
      </c>
      <c r="X48" s="165">
        <f t="shared" si="52"/>
        <v>0.20384387936132464</v>
      </c>
      <c r="Y48" s="165">
        <f t="shared" si="53"/>
        <v>0.2611203090507726</v>
      </c>
      <c r="Z48" s="165">
        <f t="shared" si="54"/>
        <v>0.24445350734094617</v>
      </c>
      <c r="AA48" s="165">
        <f t="shared" si="55"/>
        <v>0.25521523178807948</v>
      </c>
      <c r="AB48" s="165">
        <f t="shared" si="56"/>
        <v>0.24764567392583872</v>
      </c>
      <c r="AC48" s="165">
        <f t="shared" si="57"/>
        <v>0.25306441525953721</v>
      </c>
      <c r="AD48" s="165">
        <f t="shared" si="58"/>
        <v>0.2357754519505233</v>
      </c>
      <c r="AE48" s="165">
        <f t="shared" si="59"/>
        <v>0.27861213543412672</v>
      </c>
      <c r="AF48" s="165">
        <f t="shared" si="60"/>
        <v>0.23524288107202682</v>
      </c>
      <c r="AG48" s="165">
        <f t="shared" si="61"/>
        <v>0.24754202346971138</v>
      </c>
      <c r="AH48" s="165">
        <f t="shared" si="62"/>
        <v>0.25826362849725987</v>
      </c>
      <c r="AI48" s="166">
        <f t="shared" si="63"/>
        <v>0.27598837209302324</v>
      </c>
    </row>
    <row r="49" spans="1:35" ht="12" customHeight="1" x14ac:dyDescent="0.25">
      <c r="A49" s="159" t="s">
        <v>115</v>
      </c>
      <c r="B49" s="160">
        <v>3</v>
      </c>
      <c r="C49" s="178">
        <v>415.9</v>
      </c>
      <c r="D49" s="179">
        <v>441.6</v>
      </c>
      <c r="E49" s="179">
        <v>413.4</v>
      </c>
      <c r="F49" s="179">
        <v>333</v>
      </c>
      <c r="G49" s="179">
        <v>350.3</v>
      </c>
      <c r="H49" s="179">
        <v>340.1</v>
      </c>
      <c r="I49" s="179">
        <v>469.7</v>
      </c>
      <c r="J49" s="179">
        <v>442.5</v>
      </c>
      <c r="K49" s="179">
        <v>420.2</v>
      </c>
      <c r="L49" s="179">
        <v>418.7</v>
      </c>
      <c r="M49" s="179">
        <v>418.4</v>
      </c>
      <c r="N49" s="179">
        <v>392.5</v>
      </c>
      <c r="O49" s="179">
        <v>427.1</v>
      </c>
      <c r="P49" s="179">
        <v>390</v>
      </c>
      <c r="Q49" s="179">
        <v>461.7</v>
      </c>
      <c r="R49" s="180">
        <v>487.1</v>
      </c>
      <c r="T49" s="164">
        <f t="shared" si="48"/>
        <v>0.12422341696535244</v>
      </c>
      <c r="U49" s="165">
        <f t="shared" si="49"/>
        <v>0.13092202786836646</v>
      </c>
      <c r="V49" s="165">
        <f t="shared" si="50"/>
        <v>0.1273959938366718</v>
      </c>
      <c r="W49" s="165">
        <f t="shared" si="51"/>
        <v>0.11133400200601805</v>
      </c>
      <c r="X49" s="165">
        <f t="shared" si="52"/>
        <v>0.10357776463630988</v>
      </c>
      <c r="Y49" s="165">
        <f t="shared" si="53"/>
        <v>9.3846578366445929E-2</v>
      </c>
      <c r="Z49" s="165">
        <f t="shared" si="54"/>
        <v>0.127705274605764</v>
      </c>
      <c r="AA49" s="165">
        <f t="shared" si="55"/>
        <v>0.12210264900662252</v>
      </c>
      <c r="AB49" s="165">
        <f t="shared" si="56"/>
        <v>0.12366097704532078</v>
      </c>
      <c r="AC49" s="165">
        <f t="shared" si="57"/>
        <v>0.13092557848655409</v>
      </c>
      <c r="AD49" s="165">
        <f t="shared" si="58"/>
        <v>0.13269901680938787</v>
      </c>
      <c r="AE49" s="165">
        <f t="shared" si="59"/>
        <v>0.13157894736842105</v>
      </c>
      <c r="AF49" s="165">
        <f t="shared" si="60"/>
        <v>0.1430820770519263</v>
      </c>
      <c r="AG49" s="165">
        <f t="shared" si="61"/>
        <v>0.12369172216936251</v>
      </c>
      <c r="AH49" s="165">
        <f t="shared" si="62"/>
        <v>0.13316988751081626</v>
      </c>
      <c r="AI49" s="166">
        <f t="shared" si="63"/>
        <v>0.14159883720930233</v>
      </c>
    </row>
    <row r="50" spans="1:35" ht="12" customHeight="1" x14ac:dyDescent="0.25">
      <c r="A50" s="159" t="s">
        <v>115</v>
      </c>
      <c r="B50" s="160">
        <v>4</v>
      </c>
      <c r="C50" s="178">
        <v>110.9</v>
      </c>
      <c r="D50" s="179">
        <v>151.5</v>
      </c>
      <c r="E50" s="179">
        <v>145.69999999999999</v>
      </c>
      <c r="F50" s="179">
        <v>137.1</v>
      </c>
      <c r="G50" s="179">
        <v>126.3</v>
      </c>
      <c r="H50" s="179">
        <v>97.3</v>
      </c>
      <c r="I50" s="179">
        <v>98.3</v>
      </c>
      <c r="J50" s="179">
        <v>136.30000000000001</v>
      </c>
      <c r="K50" s="179">
        <v>130.6</v>
      </c>
      <c r="L50" s="179">
        <v>126.3</v>
      </c>
      <c r="M50" s="179">
        <v>131.80000000000001</v>
      </c>
      <c r="N50" s="179">
        <v>107.7</v>
      </c>
      <c r="O50" s="179">
        <v>98.5</v>
      </c>
      <c r="P50" s="179">
        <v>105.9</v>
      </c>
      <c r="Q50" s="179">
        <v>113.5</v>
      </c>
      <c r="R50" s="180">
        <v>135.4</v>
      </c>
      <c r="T50" s="164">
        <f t="shared" si="48"/>
        <v>3.3124253285543609E-2</v>
      </c>
      <c r="U50" s="165">
        <f t="shared" si="49"/>
        <v>4.4915505484731694E-2</v>
      </c>
      <c r="V50" s="165">
        <f t="shared" si="50"/>
        <v>4.4899845916795064E-2</v>
      </c>
      <c r="W50" s="165">
        <f t="shared" si="51"/>
        <v>4.583751253761284E-2</v>
      </c>
      <c r="X50" s="165">
        <f t="shared" si="52"/>
        <v>3.7344766410408042E-2</v>
      </c>
      <c r="Y50" s="165">
        <f t="shared" si="53"/>
        <v>2.6848785871964678E-2</v>
      </c>
      <c r="Z50" s="165">
        <f t="shared" si="54"/>
        <v>2.6726481783578032E-2</v>
      </c>
      <c r="AA50" s="165">
        <f t="shared" si="55"/>
        <v>3.761037527593819E-2</v>
      </c>
      <c r="AB50" s="165">
        <f t="shared" si="56"/>
        <v>3.8434373160682753E-2</v>
      </c>
      <c r="AC50" s="165">
        <f t="shared" si="57"/>
        <v>3.949343339587242E-2</v>
      </c>
      <c r="AD50" s="165">
        <f t="shared" si="58"/>
        <v>4.1801458928005075E-2</v>
      </c>
      <c r="AE50" s="165">
        <f t="shared" si="59"/>
        <v>3.6104592691920886E-2</v>
      </c>
      <c r="AF50" s="165">
        <f t="shared" si="60"/>
        <v>3.2998324958123951E-2</v>
      </c>
      <c r="AG50" s="165">
        <f t="shared" si="61"/>
        <v>3.3587059942911515E-2</v>
      </c>
      <c r="AH50" s="165">
        <f t="shared" si="62"/>
        <v>3.2737236804153448E-2</v>
      </c>
      <c r="AI50" s="166">
        <f t="shared" si="63"/>
        <v>3.9360465116279074E-2</v>
      </c>
    </row>
    <row r="51" spans="1:35" ht="12" customHeight="1" x14ac:dyDescent="0.25">
      <c r="A51" s="159" t="s">
        <v>115</v>
      </c>
      <c r="B51" s="160">
        <v>5</v>
      </c>
      <c r="C51" s="178">
        <v>74.400000000000006</v>
      </c>
      <c r="D51" s="179">
        <v>33.1</v>
      </c>
      <c r="E51" s="179">
        <v>61.9</v>
      </c>
      <c r="F51" s="179">
        <v>45.2</v>
      </c>
      <c r="G51" s="179">
        <v>56</v>
      </c>
      <c r="H51" s="179">
        <v>50.5</v>
      </c>
      <c r="I51" s="179">
        <v>36.799999999999997</v>
      </c>
      <c r="J51" s="179">
        <v>36.4</v>
      </c>
      <c r="K51" s="179">
        <v>48.7</v>
      </c>
      <c r="L51" s="179">
        <v>42</v>
      </c>
      <c r="M51" s="179">
        <v>44.7</v>
      </c>
      <c r="N51" s="179">
        <v>45.7</v>
      </c>
      <c r="O51" s="179">
        <v>29.1</v>
      </c>
      <c r="P51" s="179">
        <v>29.1</v>
      </c>
      <c r="Q51" s="179">
        <v>31.7</v>
      </c>
      <c r="R51" s="180">
        <v>26.5</v>
      </c>
      <c r="T51" s="164">
        <f t="shared" si="48"/>
        <v>2.2222222222222223E-2</v>
      </c>
      <c r="U51" s="165">
        <f t="shared" si="49"/>
        <v>9.8132226504595316E-3</v>
      </c>
      <c r="V51" s="165">
        <f t="shared" si="50"/>
        <v>1.9075500770416025E-2</v>
      </c>
      <c r="W51" s="165">
        <f t="shared" si="51"/>
        <v>1.511200267469074E-2</v>
      </c>
      <c r="X51" s="165">
        <f t="shared" si="52"/>
        <v>1.655824955647546E-2</v>
      </c>
      <c r="Y51" s="165">
        <f t="shared" si="53"/>
        <v>1.3934878587196468E-2</v>
      </c>
      <c r="Z51" s="165">
        <f t="shared" si="54"/>
        <v>1.0005437737901033E-2</v>
      </c>
      <c r="AA51" s="165">
        <f t="shared" si="55"/>
        <v>1.0044150110375275E-2</v>
      </c>
      <c r="AB51" s="165">
        <f t="shared" si="56"/>
        <v>1.433195997645674E-2</v>
      </c>
      <c r="AC51" s="165">
        <f t="shared" si="57"/>
        <v>1.3133208255159476E-2</v>
      </c>
      <c r="AD51" s="165">
        <f t="shared" si="58"/>
        <v>1.4176974310180781E-2</v>
      </c>
      <c r="AE51" s="165">
        <f t="shared" si="59"/>
        <v>1.5320147502514248E-2</v>
      </c>
      <c r="AF51" s="165">
        <f t="shared" si="60"/>
        <v>9.7487437185929653E-3</v>
      </c>
      <c r="AG51" s="165">
        <f t="shared" si="61"/>
        <v>9.2293054234062807E-3</v>
      </c>
      <c r="AH51" s="165">
        <f t="shared" si="62"/>
        <v>9.1433516008076147E-3</v>
      </c>
      <c r="AI51" s="166">
        <f t="shared" si="63"/>
        <v>7.7034883720930236E-3</v>
      </c>
    </row>
    <row r="52" spans="1:35" ht="12" customHeight="1" x14ac:dyDescent="0.25">
      <c r="A52" s="159" t="s">
        <v>115</v>
      </c>
      <c r="B52" s="160">
        <v>6</v>
      </c>
      <c r="C52" s="178">
        <v>42.9</v>
      </c>
      <c r="D52" s="179">
        <v>27.5</v>
      </c>
      <c r="E52" s="179">
        <v>16.600000000000001</v>
      </c>
      <c r="F52" s="179">
        <v>18.100000000000001</v>
      </c>
      <c r="G52" s="179">
        <v>21.1</v>
      </c>
      <c r="H52" s="179">
        <v>22.8</v>
      </c>
      <c r="I52" s="179">
        <v>20</v>
      </c>
      <c r="J52" s="179">
        <v>18.100000000000001</v>
      </c>
      <c r="K52" s="179">
        <v>10.3</v>
      </c>
      <c r="L52" s="179">
        <v>20.7</v>
      </c>
      <c r="M52" s="179">
        <v>16</v>
      </c>
      <c r="N52" s="179">
        <v>23.6</v>
      </c>
      <c r="O52" s="179">
        <v>19</v>
      </c>
      <c r="P52" s="179">
        <v>9.8000000000000007</v>
      </c>
      <c r="Q52" s="179">
        <v>7.9</v>
      </c>
      <c r="R52" s="180">
        <v>13.7</v>
      </c>
      <c r="T52" s="164">
        <f t="shared" si="48"/>
        <v>1.2813620071684587E-2</v>
      </c>
      <c r="U52" s="165">
        <f t="shared" si="49"/>
        <v>8.1529795434331451E-3</v>
      </c>
      <c r="V52" s="165">
        <f t="shared" si="50"/>
        <v>5.1155624036979975E-3</v>
      </c>
      <c r="W52" s="165">
        <f t="shared" si="51"/>
        <v>6.0514877967235044E-3</v>
      </c>
      <c r="X52" s="165">
        <f t="shared" si="52"/>
        <v>6.2389118864577178E-3</v>
      </c>
      <c r="Y52" s="165">
        <f t="shared" si="53"/>
        <v>6.2913907284768214E-3</v>
      </c>
      <c r="Z52" s="165">
        <f t="shared" si="54"/>
        <v>5.4377379010331706E-3</v>
      </c>
      <c r="AA52" s="165">
        <f t="shared" si="55"/>
        <v>4.9944812362030912E-3</v>
      </c>
      <c r="AB52" s="165">
        <f t="shared" si="56"/>
        <v>3.0311948204826372E-3</v>
      </c>
      <c r="AC52" s="165">
        <f t="shared" si="57"/>
        <v>6.4727954971857413E-3</v>
      </c>
      <c r="AD52" s="165">
        <f t="shared" si="58"/>
        <v>5.0745321915635902E-3</v>
      </c>
      <c r="AE52" s="165">
        <f t="shared" si="59"/>
        <v>7.9114984914515595E-3</v>
      </c>
      <c r="AF52" s="165">
        <f t="shared" si="60"/>
        <v>6.3651591289782244E-3</v>
      </c>
      <c r="AG52" s="165">
        <f t="shared" si="61"/>
        <v>3.1081509673326992E-3</v>
      </c>
      <c r="AH52" s="165">
        <f t="shared" si="62"/>
        <v>2.2786270550908569E-3</v>
      </c>
      <c r="AI52" s="166">
        <f t="shared" si="63"/>
        <v>3.9825581395348834E-3</v>
      </c>
    </row>
    <row r="53" spans="1:35" ht="12" customHeight="1" x14ac:dyDescent="0.25">
      <c r="A53" s="159" t="s">
        <v>115</v>
      </c>
      <c r="B53" s="160">
        <v>7</v>
      </c>
      <c r="C53" s="178">
        <v>15.5</v>
      </c>
      <c r="D53" s="179">
        <v>20.9</v>
      </c>
      <c r="E53" s="179">
        <v>9.8000000000000007</v>
      </c>
      <c r="F53" s="179">
        <v>9.1</v>
      </c>
      <c r="G53" s="179">
        <v>9.6999999999999993</v>
      </c>
      <c r="H53" s="179">
        <v>14.1</v>
      </c>
      <c r="I53" s="179">
        <v>9.9</v>
      </c>
      <c r="J53" s="179">
        <v>10.5</v>
      </c>
      <c r="K53" s="179">
        <v>14.9</v>
      </c>
      <c r="L53" s="179">
        <v>4.2</v>
      </c>
      <c r="M53" s="179">
        <v>9.8000000000000007</v>
      </c>
      <c r="N53" s="179">
        <v>6.3</v>
      </c>
      <c r="O53" s="179">
        <v>8.9</v>
      </c>
      <c r="P53" s="179">
        <v>4.9000000000000004</v>
      </c>
      <c r="Q53" s="179">
        <v>4</v>
      </c>
      <c r="R53" s="180">
        <v>4.3</v>
      </c>
      <c r="T53" s="164">
        <f t="shared" si="48"/>
        <v>4.6296296296296294E-3</v>
      </c>
      <c r="U53" s="165">
        <f t="shared" si="49"/>
        <v>6.19626445300919E-3</v>
      </c>
      <c r="V53" s="165">
        <f t="shared" si="50"/>
        <v>3.0200308166409865E-3</v>
      </c>
      <c r="W53" s="165">
        <f t="shared" si="51"/>
        <v>3.0424607154797725E-3</v>
      </c>
      <c r="X53" s="165">
        <f t="shared" si="52"/>
        <v>2.8681253696037847E-3</v>
      </c>
      <c r="Y53" s="165">
        <f t="shared" si="53"/>
        <v>3.8907284768211919E-3</v>
      </c>
      <c r="Z53" s="165">
        <f t="shared" si="54"/>
        <v>2.6916802610114192E-3</v>
      </c>
      <c r="AA53" s="165">
        <f t="shared" si="55"/>
        <v>2.8973509933774835E-3</v>
      </c>
      <c r="AB53" s="165">
        <f t="shared" si="56"/>
        <v>4.3849323131253679E-3</v>
      </c>
      <c r="AC53" s="165">
        <f t="shared" si="57"/>
        <v>1.3133208255159475E-3</v>
      </c>
      <c r="AD53" s="165">
        <f t="shared" si="58"/>
        <v>3.1081509673326992E-3</v>
      </c>
      <c r="AE53" s="165">
        <f t="shared" si="59"/>
        <v>2.1119678176332551E-3</v>
      </c>
      <c r="AF53" s="165">
        <f t="shared" si="60"/>
        <v>2.9815745393634843E-3</v>
      </c>
      <c r="AG53" s="165">
        <f t="shared" si="61"/>
        <v>1.5540754836663496E-3</v>
      </c>
      <c r="AH53" s="165">
        <f t="shared" si="62"/>
        <v>1.1537352177675222E-3</v>
      </c>
      <c r="AI53" s="166">
        <f t="shared" si="63"/>
        <v>1.25E-3</v>
      </c>
    </row>
    <row r="54" spans="1:35" ht="12" customHeight="1" x14ac:dyDescent="0.25">
      <c r="A54" s="159" t="s">
        <v>115</v>
      </c>
      <c r="B54" s="160">
        <v>8</v>
      </c>
      <c r="C54" s="178">
        <v>6.3</v>
      </c>
      <c r="D54" s="179">
        <v>11</v>
      </c>
      <c r="E54" s="179">
        <v>9.3000000000000007</v>
      </c>
      <c r="F54" s="179">
        <v>5.8</v>
      </c>
      <c r="G54" s="179">
        <v>6.1</v>
      </c>
      <c r="H54" s="179">
        <v>5.3</v>
      </c>
      <c r="I54" s="179">
        <v>4.5999999999999996</v>
      </c>
      <c r="J54" s="179">
        <v>5</v>
      </c>
      <c r="K54" s="179">
        <v>2.9</v>
      </c>
      <c r="L54" s="179">
        <v>4.5</v>
      </c>
      <c r="M54" s="179">
        <v>3.9</v>
      </c>
      <c r="N54" s="179">
        <v>5.4</v>
      </c>
      <c r="O54" s="179">
        <v>5.2</v>
      </c>
      <c r="P54" s="179">
        <v>3.1</v>
      </c>
      <c r="Q54" s="179">
        <v>4.2</v>
      </c>
      <c r="R54" s="180">
        <v>2.5</v>
      </c>
      <c r="T54" s="164">
        <f t="shared" si="48"/>
        <v>1.8817204301075268E-3</v>
      </c>
      <c r="U54" s="165">
        <f t="shared" si="49"/>
        <v>3.2611918173732581E-3</v>
      </c>
      <c r="V54" s="165">
        <f t="shared" si="50"/>
        <v>2.8659476117103237E-3</v>
      </c>
      <c r="W54" s="165">
        <f t="shared" si="51"/>
        <v>1.9391507856904044E-3</v>
      </c>
      <c r="X54" s="165">
        <f t="shared" si="52"/>
        <v>1.8036664695446479E-3</v>
      </c>
      <c r="Y54" s="165">
        <f t="shared" si="53"/>
        <v>1.4624724061810155E-3</v>
      </c>
      <c r="Z54" s="165">
        <f t="shared" si="54"/>
        <v>1.2506797172376291E-3</v>
      </c>
      <c r="AA54" s="165">
        <f t="shared" si="55"/>
        <v>1.3796909492273732E-3</v>
      </c>
      <c r="AB54" s="165">
        <f t="shared" si="56"/>
        <v>8.5344320188346086E-4</v>
      </c>
      <c r="AC54" s="165">
        <f t="shared" si="57"/>
        <v>1.4071294559099437E-3</v>
      </c>
      <c r="AD54" s="165">
        <f t="shared" si="58"/>
        <v>1.2369172216936252E-3</v>
      </c>
      <c r="AE54" s="165">
        <f t="shared" si="59"/>
        <v>1.8102581293999332E-3</v>
      </c>
      <c r="AF54" s="165">
        <f t="shared" si="60"/>
        <v>1.7420435510887772E-3</v>
      </c>
      <c r="AG54" s="165">
        <f t="shared" si="61"/>
        <v>9.8319061211544568E-4</v>
      </c>
      <c r="AH54" s="165">
        <f t="shared" si="62"/>
        <v>1.2114219786558986E-3</v>
      </c>
      <c r="AI54" s="166">
        <f t="shared" si="63"/>
        <v>7.2674418604651162E-4</v>
      </c>
    </row>
    <row r="55" spans="1:35" ht="12" customHeight="1" x14ac:dyDescent="0.25">
      <c r="A55" s="159" t="s">
        <v>115</v>
      </c>
      <c r="B55" s="160">
        <v>9</v>
      </c>
      <c r="C55" s="178">
        <v>3.2</v>
      </c>
      <c r="D55" s="179">
        <v>4</v>
      </c>
      <c r="E55" s="179">
        <v>4.0999999999999996</v>
      </c>
      <c r="F55" s="179">
        <v>7.7</v>
      </c>
      <c r="G55" s="179">
        <v>2.7</v>
      </c>
      <c r="H55" s="179">
        <v>3.3</v>
      </c>
      <c r="I55" s="179">
        <v>3.5</v>
      </c>
      <c r="J55" s="179">
        <v>3.4</v>
      </c>
      <c r="K55" s="179">
        <v>6.3</v>
      </c>
      <c r="L55" s="179">
        <v>3.5</v>
      </c>
      <c r="M55" s="179">
        <v>3.7</v>
      </c>
      <c r="N55" s="179">
        <v>1.2</v>
      </c>
      <c r="O55" s="179">
        <v>4.5999999999999996</v>
      </c>
      <c r="P55" s="179">
        <v>4.5</v>
      </c>
      <c r="Q55" s="179">
        <v>2.6</v>
      </c>
      <c r="R55" s="180">
        <v>2.5</v>
      </c>
      <c r="T55" s="164">
        <f t="shared" si="48"/>
        <v>9.5579450418160103E-4</v>
      </c>
      <c r="U55" s="165">
        <f t="shared" si="49"/>
        <v>1.1858879335902757E-3</v>
      </c>
      <c r="V55" s="165">
        <f t="shared" si="50"/>
        <v>1.2634822804314329E-3</v>
      </c>
      <c r="W55" s="165">
        <f t="shared" si="51"/>
        <v>2.5743898361751923E-3</v>
      </c>
      <c r="X55" s="165">
        <f t="shared" si="52"/>
        <v>7.9834417504435248E-4</v>
      </c>
      <c r="Y55" s="165">
        <f t="shared" si="53"/>
        <v>9.1059602649006617E-4</v>
      </c>
      <c r="Z55" s="165">
        <f t="shared" si="54"/>
        <v>9.5160413268080481E-4</v>
      </c>
      <c r="AA55" s="165">
        <f t="shared" si="55"/>
        <v>9.3818984547461369E-4</v>
      </c>
      <c r="AB55" s="165">
        <f t="shared" si="56"/>
        <v>1.8540317834020012E-3</v>
      </c>
      <c r="AC55" s="165">
        <f t="shared" si="57"/>
        <v>1.0944340212632896E-3</v>
      </c>
      <c r="AD55" s="165">
        <f t="shared" si="58"/>
        <v>1.1734855692990803E-3</v>
      </c>
      <c r="AE55" s="165">
        <f t="shared" si="59"/>
        <v>4.0227958431109621E-4</v>
      </c>
      <c r="AF55" s="165">
        <f t="shared" si="60"/>
        <v>1.5410385259631489E-3</v>
      </c>
      <c r="AG55" s="165">
        <f t="shared" si="61"/>
        <v>1.4272121788772598E-3</v>
      </c>
      <c r="AH55" s="165">
        <f t="shared" si="62"/>
        <v>7.4992789154888957E-4</v>
      </c>
      <c r="AI55" s="166">
        <f t="shared" si="63"/>
        <v>7.2674418604651162E-4</v>
      </c>
    </row>
    <row r="56" spans="1:35" ht="12" customHeight="1" x14ac:dyDescent="0.25">
      <c r="A56" s="159" t="s">
        <v>115</v>
      </c>
      <c r="B56" s="160">
        <v>10</v>
      </c>
      <c r="C56" s="178">
        <v>6.4</v>
      </c>
      <c r="D56" s="179">
        <v>4.4000000000000004</v>
      </c>
      <c r="E56" s="179">
        <v>2.8</v>
      </c>
      <c r="F56" s="179">
        <v>4.0999999999999996</v>
      </c>
      <c r="G56" s="179">
        <v>6.5</v>
      </c>
      <c r="H56" s="179">
        <v>3.7</v>
      </c>
      <c r="I56" s="179">
        <v>1.6</v>
      </c>
      <c r="J56" s="179">
        <v>2.5</v>
      </c>
      <c r="K56" s="179">
        <v>2.9</v>
      </c>
      <c r="L56" s="179">
        <v>3.7</v>
      </c>
      <c r="M56" s="179">
        <v>2.7</v>
      </c>
      <c r="N56" s="179">
        <v>0.4</v>
      </c>
      <c r="O56" s="179">
        <v>2.4</v>
      </c>
      <c r="P56" s="179">
        <v>2.4</v>
      </c>
      <c r="Q56" s="179">
        <v>2.6</v>
      </c>
      <c r="R56" s="180">
        <v>2.1</v>
      </c>
      <c r="T56" s="164">
        <f t="shared" si="48"/>
        <v>1.9115890083632021E-3</v>
      </c>
      <c r="U56" s="165">
        <f t="shared" si="49"/>
        <v>1.3044767269493034E-3</v>
      </c>
      <c r="V56" s="165">
        <f t="shared" si="50"/>
        <v>8.6286594761171022E-4</v>
      </c>
      <c r="W56" s="165">
        <f t="shared" si="51"/>
        <v>1.3707790036776996E-3</v>
      </c>
      <c r="X56" s="165">
        <f t="shared" si="52"/>
        <v>1.92193968066233E-3</v>
      </c>
      <c r="Y56" s="165">
        <f t="shared" si="53"/>
        <v>1.0209713024282561E-3</v>
      </c>
      <c r="Z56" s="165">
        <f t="shared" si="54"/>
        <v>4.3501903208265362E-4</v>
      </c>
      <c r="AA56" s="165">
        <f t="shared" si="55"/>
        <v>6.8984547461368659E-4</v>
      </c>
      <c r="AB56" s="165">
        <f t="shared" si="56"/>
        <v>8.5344320188346086E-4</v>
      </c>
      <c r="AC56" s="165">
        <f t="shared" si="57"/>
        <v>1.1569731081926204E-3</v>
      </c>
      <c r="AD56" s="165">
        <f t="shared" si="58"/>
        <v>8.5632730732635592E-4</v>
      </c>
      <c r="AE56" s="165">
        <f t="shared" si="59"/>
        <v>1.3409319477036542E-4</v>
      </c>
      <c r="AF56" s="165">
        <f t="shared" si="60"/>
        <v>8.0402010050251258E-4</v>
      </c>
      <c r="AG56" s="165">
        <f t="shared" si="61"/>
        <v>7.6117982873453852E-4</v>
      </c>
      <c r="AH56" s="165">
        <f t="shared" si="62"/>
        <v>7.4992789154888957E-4</v>
      </c>
      <c r="AI56" s="166">
        <f t="shared" si="63"/>
        <v>6.1046511627906985E-4</v>
      </c>
    </row>
    <row r="57" spans="1:35" ht="12" customHeight="1" x14ac:dyDescent="0.25">
      <c r="A57" s="159" t="s">
        <v>115</v>
      </c>
      <c r="B57" s="160" t="s">
        <v>116</v>
      </c>
      <c r="C57" s="178">
        <v>14.7</v>
      </c>
      <c r="D57" s="179">
        <v>18.2</v>
      </c>
      <c r="E57" s="179">
        <v>14.1</v>
      </c>
      <c r="F57" s="179">
        <v>12.4</v>
      </c>
      <c r="G57" s="179">
        <v>13.5</v>
      </c>
      <c r="H57" s="179">
        <v>12.3</v>
      </c>
      <c r="I57" s="179">
        <v>12.3</v>
      </c>
      <c r="J57" s="179">
        <v>7.7</v>
      </c>
      <c r="K57" s="179">
        <v>8.5</v>
      </c>
      <c r="L57" s="179">
        <v>6.5</v>
      </c>
      <c r="M57" s="179">
        <v>8.9</v>
      </c>
      <c r="N57" s="179">
        <v>11.1</v>
      </c>
      <c r="O57" s="179">
        <v>7.7</v>
      </c>
      <c r="P57" s="179">
        <v>7.3</v>
      </c>
      <c r="Q57" s="179">
        <v>6.6</v>
      </c>
      <c r="R57" s="180">
        <v>5.2</v>
      </c>
      <c r="T57" s="164">
        <f t="shared" si="48"/>
        <v>4.3906810035842288E-3</v>
      </c>
      <c r="U57" s="165">
        <f t="shared" si="49"/>
        <v>5.3957900978357544E-3</v>
      </c>
      <c r="V57" s="165">
        <f t="shared" si="50"/>
        <v>4.3451463790446839E-3</v>
      </c>
      <c r="W57" s="165">
        <f t="shared" si="51"/>
        <v>4.1457706452691411E-3</v>
      </c>
      <c r="X57" s="165">
        <f t="shared" si="52"/>
        <v>3.9917208752217621E-3</v>
      </c>
      <c r="Y57" s="165">
        <f t="shared" si="53"/>
        <v>3.3940397350993379E-3</v>
      </c>
      <c r="Z57" s="165">
        <f t="shared" si="54"/>
        <v>3.3442088091353997E-3</v>
      </c>
      <c r="AA57" s="165">
        <f t="shared" si="55"/>
        <v>2.1247240618101544E-3</v>
      </c>
      <c r="AB57" s="165">
        <f t="shared" si="56"/>
        <v>2.5014714537963507E-3</v>
      </c>
      <c r="AC57" s="165">
        <f t="shared" si="57"/>
        <v>2.0325203252032522E-3</v>
      </c>
      <c r="AD57" s="165">
        <f t="shared" si="58"/>
        <v>2.8227085315572472E-3</v>
      </c>
      <c r="AE57" s="165">
        <f t="shared" si="59"/>
        <v>3.72108615487764E-3</v>
      </c>
      <c r="AF57" s="165">
        <f t="shared" si="60"/>
        <v>2.5795644891122281E-3</v>
      </c>
      <c r="AG57" s="165">
        <f t="shared" si="61"/>
        <v>2.3152553124008881E-3</v>
      </c>
      <c r="AH57" s="165">
        <f t="shared" si="62"/>
        <v>1.9036631093164117E-3</v>
      </c>
      <c r="AI57" s="166">
        <f t="shared" si="63"/>
        <v>1.5116279069767443E-3</v>
      </c>
    </row>
    <row r="58" spans="1:35" ht="12" customHeight="1" x14ac:dyDescent="0.25">
      <c r="A58" s="167" t="s">
        <v>115</v>
      </c>
      <c r="B58" s="168" t="s">
        <v>114</v>
      </c>
      <c r="C58" s="181">
        <v>2361.4</v>
      </c>
      <c r="D58" s="182">
        <v>2345.1</v>
      </c>
      <c r="E58" s="182">
        <v>2232.6999999999998</v>
      </c>
      <c r="F58" s="182">
        <v>2057.6999999999998</v>
      </c>
      <c r="G58" s="182">
        <v>2444.1999999999998</v>
      </c>
      <c r="H58" s="182">
        <v>2546.1999999999998</v>
      </c>
      <c r="I58" s="182">
        <v>2638.9</v>
      </c>
      <c r="J58" s="182">
        <v>2637.5</v>
      </c>
      <c r="K58" s="182">
        <v>2446.5</v>
      </c>
      <c r="L58" s="182">
        <v>2285</v>
      </c>
      <c r="M58" s="182">
        <v>2340.6</v>
      </c>
      <c r="N58" s="182">
        <v>2263.1</v>
      </c>
      <c r="O58" s="182">
        <v>2244.8000000000002</v>
      </c>
      <c r="P58" s="182">
        <v>2342.9</v>
      </c>
      <c r="Q58" s="182">
        <v>2573.3000000000002</v>
      </c>
      <c r="R58" s="183">
        <v>2555.1</v>
      </c>
      <c r="T58" s="172">
        <f t="shared" si="48"/>
        <v>0.70531660692951015</v>
      </c>
      <c r="U58" s="173">
        <f t="shared" si="49"/>
        <v>0.69525644826563882</v>
      </c>
      <c r="V58" s="173">
        <f t="shared" si="50"/>
        <v>0.68804314329738048</v>
      </c>
      <c r="W58" s="173">
        <f t="shared" si="51"/>
        <v>0.68796389167502503</v>
      </c>
      <c r="X58" s="173">
        <f t="shared" si="52"/>
        <v>0.72270845653459481</v>
      </c>
      <c r="Y58" s="173">
        <f t="shared" si="53"/>
        <v>0.70259381898454742</v>
      </c>
      <c r="Z58" s="173">
        <f t="shared" si="54"/>
        <v>0.71748232735182171</v>
      </c>
      <c r="AA58" s="173">
        <f t="shared" si="55"/>
        <v>0.72778697571743933</v>
      </c>
      <c r="AB58" s="173">
        <f t="shared" si="56"/>
        <v>0.71998234255444382</v>
      </c>
      <c r="AC58" s="173">
        <f t="shared" si="57"/>
        <v>0.71450906816760473</v>
      </c>
      <c r="AD58" s="173">
        <f t="shared" si="58"/>
        <v>0.74234062797335865</v>
      </c>
      <c r="AE58" s="173">
        <f t="shared" si="59"/>
        <v>0.75866577271203484</v>
      </c>
      <c r="AF58" s="173">
        <f t="shared" si="60"/>
        <v>0.75202680067001682</v>
      </c>
      <c r="AG58" s="173">
        <f t="shared" si="61"/>
        <v>0.74307009197589602</v>
      </c>
      <c r="AH58" s="173">
        <f t="shared" si="62"/>
        <v>0.74222670897029142</v>
      </c>
      <c r="AI58" s="174">
        <f t="shared" si="63"/>
        <v>0.74276162790697675</v>
      </c>
    </row>
    <row r="59" spans="1:35" ht="12" customHeight="1" x14ac:dyDescent="0.25">
      <c r="A59" s="185"/>
      <c r="B59" s="186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</row>
    <row r="60" spans="1:35" ht="12" customHeight="1" x14ac:dyDescent="0.25">
      <c r="A60" s="185"/>
      <c r="B60" s="186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</row>
    <row r="61" spans="1:35" ht="12" customHeight="1" x14ac:dyDescent="0.25">
      <c r="A61" s="185"/>
      <c r="B61" s="186"/>
      <c r="C61" s="188">
        <f>C34/C5</f>
        <v>0.89322916666666663</v>
      </c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</row>
    <row r="62" spans="1:35" ht="12" customHeight="1" x14ac:dyDescent="0.25">
      <c r="A62" s="185"/>
      <c r="B62" s="186"/>
      <c r="C62" s="188">
        <f t="shared" ref="C61:C72" si="64">C35/C6</f>
        <v>0.87855361596009973</v>
      </c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</row>
    <row r="63" spans="1:35" ht="12" customHeight="1" x14ac:dyDescent="0.25">
      <c r="A63" s="185"/>
      <c r="B63" s="186"/>
      <c r="C63" s="188">
        <f t="shared" si="64"/>
        <v>0.85636363636363633</v>
      </c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</row>
    <row r="64" spans="1:35" ht="12" customHeight="1" x14ac:dyDescent="0.25">
      <c r="A64" s="185"/>
      <c r="B64" s="186"/>
      <c r="C64" s="188">
        <f t="shared" si="64"/>
        <v>0.86280487804878048</v>
      </c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</row>
    <row r="65" spans="1:35" ht="12" customHeight="1" x14ac:dyDescent="0.25">
      <c r="A65" s="185"/>
      <c r="B65" s="186"/>
      <c r="C65" s="188">
        <f t="shared" si="64"/>
        <v>0.83116883116883122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T65" s="165"/>
      <c r="U65" s="165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5"/>
      <c r="AH65" s="165"/>
      <c r="AI65" s="165"/>
    </row>
    <row r="66" spans="1:35" ht="12" customHeight="1" x14ac:dyDescent="0.25">
      <c r="A66" s="185"/>
      <c r="B66" s="186"/>
      <c r="C66" s="188">
        <f t="shared" si="64"/>
        <v>0.78036809815950925</v>
      </c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T66" s="165"/>
      <c r="U66" s="165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5"/>
      <c r="AH66" s="165"/>
      <c r="AI66" s="165"/>
    </row>
    <row r="67" spans="1:35" ht="12" customHeight="1" x14ac:dyDescent="0.25">
      <c r="A67" s="185"/>
      <c r="B67" s="186"/>
      <c r="C67" s="188">
        <f t="shared" si="64"/>
        <v>0.66415094339622649</v>
      </c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T67" s="165"/>
      <c r="U67" s="165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5"/>
      <c r="AH67" s="165"/>
      <c r="AI67" s="165"/>
    </row>
    <row r="68" spans="1:35" ht="12" customHeight="1" x14ac:dyDescent="0.25">
      <c r="A68" s="185"/>
      <c r="B68" s="186"/>
      <c r="C68" s="188">
        <f t="shared" si="64"/>
        <v>0.67666666666666664</v>
      </c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T68" s="165"/>
      <c r="U68" s="165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5"/>
      <c r="AH68" s="165"/>
      <c r="AI68" s="165"/>
    </row>
    <row r="69" spans="1:35" ht="12" customHeight="1" x14ac:dyDescent="0.25">
      <c r="A69" s="185"/>
      <c r="B69" s="186"/>
      <c r="C69" s="188">
        <f t="shared" si="64"/>
        <v>0.48947368421052634</v>
      </c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T69" s="165"/>
      <c r="U69" s="165"/>
      <c r="V69" s="165"/>
      <c r="W69" s="165"/>
      <c r="X69" s="165"/>
      <c r="Y69" s="165"/>
      <c r="Z69" s="165"/>
      <c r="AA69" s="165"/>
      <c r="AB69" s="165"/>
      <c r="AC69" s="165"/>
      <c r="AD69" s="165"/>
      <c r="AE69" s="165"/>
      <c r="AF69" s="165"/>
      <c r="AG69" s="165"/>
      <c r="AH69" s="165"/>
      <c r="AI69" s="165"/>
    </row>
    <row r="70" spans="1:35" ht="12" customHeight="1" x14ac:dyDescent="0.25">
      <c r="A70" s="185"/>
      <c r="B70" s="186"/>
      <c r="C70" s="188">
        <f t="shared" si="64"/>
        <v>0.54705882352941182</v>
      </c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T70" s="165"/>
      <c r="U70" s="165"/>
      <c r="V70" s="165"/>
      <c r="W70" s="165"/>
      <c r="X70" s="165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</row>
    <row r="71" spans="1:35" ht="12" customHeight="1" x14ac:dyDescent="0.25">
      <c r="A71" s="185"/>
      <c r="B71" s="186"/>
      <c r="C71" s="188">
        <f t="shared" si="64"/>
        <v>0.47959183673469385</v>
      </c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T71" s="165"/>
      <c r="U71" s="165"/>
      <c r="V71" s="165"/>
      <c r="W71" s="165"/>
      <c r="X71" s="165"/>
      <c r="Y71" s="165"/>
      <c r="Z71" s="165"/>
      <c r="AA71" s="165"/>
      <c r="AB71" s="165"/>
      <c r="AC71" s="165"/>
      <c r="AD71" s="165"/>
      <c r="AE71" s="165"/>
      <c r="AF71" s="165"/>
      <c r="AG71" s="165"/>
      <c r="AH71" s="165"/>
      <c r="AI71" s="165"/>
    </row>
    <row r="72" spans="1:35" ht="12" customHeight="1" x14ac:dyDescent="0.25">
      <c r="A72" s="185"/>
      <c r="B72" s="186"/>
      <c r="C72" s="188">
        <f t="shared" si="64"/>
        <v>0.8417346500644054</v>
      </c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T72" s="165"/>
      <c r="U72" s="165"/>
      <c r="V72" s="165"/>
      <c r="W72" s="165"/>
      <c r="X72" s="165"/>
      <c r="Y72" s="165"/>
      <c r="Z72" s="165"/>
      <c r="AA72" s="165"/>
      <c r="AB72" s="165"/>
      <c r="AC72" s="165"/>
      <c r="AD72" s="165"/>
      <c r="AE72" s="165"/>
      <c r="AF72" s="165"/>
      <c r="AG72" s="165"/>
      <c r="AH72" s="165"/>
      <c r="AI72" s="165"/>
    </row>
    <row r="73" spans="1:35" ht="12" customHeight="1" x14ac:dyDescent="0.25">
      <c r="A73" s="185"/>
      <c r="B73" s="186"/>
      <c r="C73" s="188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T73" s="165"/>
      <c r="U73" s="165"/>
      <c r="V73" s="165"/>
      <c r="W73" s="165"/>
      <c r="X73" s="165"/>
      <c r="Y73" s="165"/>
      <c r="Z73" s="165"/>
      <c r="AA73" s="165"/>
      <c r="AB73" s="165"/>
      <c r="AC73" s="165"/>
      <c r="AD73" s="165"/>
      <c r="AE73" s="165"/>
      <c r="AF73" s="165"/>
      <c r="AG73" s="165"/>
      <c r="AH73" s="165"/>
      <c r="AI73" s="165"/>
    </row>
    <row r="74" spans="1:35" ht="12" customHeight="1" x14ac:dyDescent="0.25">
      <c r="A74" s="185"/>
      <c r="B74" s="186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T74" s="165"/>
      <c r="U74" s="165"/>
      <c r="V74" s="165"/>
      <c r="W74" s="165"/>
      <c r="X74" s="165"/>
      <c r="Y74" s="165"/>
      <c r="Z74" s="165"/>
      <c r="AA74" s="165"/>
      <c r="AB74" s="165"/>
      <c r="AC74" s="165"/>
      <c r="AD74" s="165"/>
      <c r="AE74" s="165"/>
      <c r="AF74" s="165"/>
      <c r="AG74" s="165"/>
      <c r="AH74" s="165"/>
      <c r="AI74" s="165"/>
    </row>
    <row r="75" spans="1:35" ht="12" customHeight="1" x14ac:dyDescent="0.25">
      <c r="A75" s="185"/>
      <c r="B75" s="186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T75" s="165"/>
      <c r="U75" s="165"/>
      <c r="V75" s="165"/>
      <c r="W75" s="165"/>
      <c r="X75" s="165"/>
      <c r="Y75" s="165"/>
      <c r="Z75" s="165"/>
      <c r="AA75" s="165"/>
      <c r="AB75" s="165"/>
      <c r="AC75" s="165"/>
      <c r="AD75" s="165"/>
      <c r="AE75" s="165"/>
      <c r="AF75" s="165"/>
      <c r="AG75" s="165"/>
      <c r="AH75" s="165"/>
      <c r="AI75" s="165"/>
    </row>
    <row r="76" spans="1:35" ht="12" customHeight="1" x14ac:dyDescent="0.25">
      <c r="A76" s="185"/>
      <c r="B76" s="186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T76" s="165"/>
      <c r="U76" s="165"/>
      <c r="V76" s="165"/>
      <c r="W76" s="165"/>
      <c r="X76" s="165"/>
      <c r="Y76" s="165"/>
      <c r="Z76" s="165"/>
      <c r="AA76" s="165"/>
      <c r="AB76" s="165"/>
      <c r="AC76" s="165"/>
      <c r="AD76" s="165"/>
      <c r="AE76" s="165"/>
      <c r="AF76" s="165"/>
      <c r="AG76" s="165"/>
      <c r="AH76" s="165"/>
      <c r="AI76" s="165"/>
    </row>
    <row r="77" spans="1:35" ht="12" customHeight="1" x14ac:dyDescent="0.25">
      <c r="A77" s="185"/>
      <c r="B77" s="186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T77" s="165"/>
      <c r="U77" s="165"/>
      <c r="V77" s="165"/>
      <c r="W77" s="165"/>
      <c r="X77" s="165"/>
      <c r="Y77" s="165"/>
      <c r="Z77" s="165"/>
      <c r="AA77" s="165"/>
      <c r="AB77" s="165"/>
      <c r="AC77" s="165"/>
      <c r="AD77" s="165"/>
      <c r="AE77" s="165"/>
      <c r="AF77" s="165"/>
      <c r="AG77" s="165"/>
      <c r="AH77" s="165"/>
      <c r="AI77" s="165"/>
    </row>
    <row r="78" spans="1:35" ht="12" customHeight="1" x14ac:dyDescent="0.25">
      <c r="A78" s="185"/>
      <c r="B78" s="186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T78" s="165"/>
      <c r="U78" s="165"/>
      <c r="V78" s="165"/>
      <c r="W78" s="165"/>
      <c r="X78" s="165"/>
      <c r="Y78" s="165"/>
      <c r="Z78" s="165"/>
      <c r="AA78" s="165"/>
      <c r="AB78" s="165"/>
      <c r="AC78" s="165"/>
      <c r="AD78" s="165"/>
      <c r="AE78" s="165"/>
      <c r="AF78" s="165"/>
      <c r="AG78" s="165"/>
      <c r="AH78" s="165"/>
      <c r="AI78" s="165"/>
    </row>
    <row r="79" spans="1:35" ht="12" customHeight="1" x14ac:dyDescent="0.25">
      <c r="A79" s="185"/>
      <c r="B79" s="186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T79" s="165"/>
      <c r="U79" s="165"/>
      <c r="V79" s="165"/>
      <c r="W79" s="165"/>
      <c r="X79" s="165"/>
      <c r="Y79" s="165"/>
      <c r="Z79" s="165"/>
      <c r="AA79" s="165"/>
      <c r="AB79" s="165"/>
      <c r="AC79" s="165"/>
      <c r="AD79" s="165"/>
      <c r="AE79" s="165"/>
      <c r="AF79" s="165"/>
      <c r="AG79" s="165"/>
      <c r="AH79" s="165"/>
      <c r="AI79" s="165"/>
    </row>
    <row r="80" spans="1:35" ht="12" customHeight="1" x14ac:dyDescent="0.25">
      <c r="A80" s="185"/>
      <c r="B80" s="186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T80" s="165"/>
      <c r="U80" s="165"/>
      <c r="V80" s="165"/>
      <c r="W80" s="165"/>
      <c r="X80" s="165"/>
      <c r="Y80" s="165"/>
      <c r="Z80" s="165"/>
      <c r="AA80" s="165"/>
      <c r="AB80" s="165"/>
      <c r="AC80" s="165"/>
      <c r="AD80" s="165"/>
      <c r="AE80" s="165"/>
      <c r="AF80" s="165"/>
      <c r="AG80" s="165"/>
      <c r="AH80" s="165"/>
      <c r="AI80" s="165"/>
    </row>
    <row r="81" spans="1:35" ht="12" customHeight="1" x14ac:dyDescent="0.25">
      <c r="A81" s="185"/>
      <c r="B81" s="186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T81" s="165"/>
      <c r="U81" s="165"/>
      <c r="V81" s="165"/>
      <c r="W81" s="165"/>
      <c r="X81" s="165"/>
      <c r="Y81" s="165"/>
      <c r="Z81" s="165"/>
      <c r="AA81" s="165"/>
      <c r="AB81" s="165"/>
      <c r="AC81" s="165"/>
      <c r="AD81" s="165"/>
      <c r="AE81" s="165"/>
      <c r="AF81" s="165"/>
      <c r="AG81" s="165"/>
      <c r="AH81" s="165"/>
      <c r="AI81" s="165"/>
    </row>
    <row r="82" spans="1:35" ht="12" customHeight="1" x14ac:dyDescent="0.25">
      <c r="A82" s="185"/>
      <c r="B82" s="186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T82" s="165"/>
      <c r="U82" s="165"/>
      <c r="V82" s="165"/>
      <c r="W82" s="165"/>
      <c r="X82" s="165"/>
      <c r="Y82" s="165"/>
      <c r="Z82" s="165"/>
      <c r="AA82" s="165"/>
      <c r="AB82" s="165"/>
      <c r="AC82" s="165"/>
      <c r="AD82" s="165"/>
      <c r="AE82" s="165"/>
      <c r="AF82" s="165"/>
      <c r="AG82" s="165"/>
      <c r="AH82" s="165"/>
      <c r="AI82" s="165"/>
    </row>
    <row r="83" spans="1:35" ht="12" customHeight="1" x14ac:dyDescent="0.25">
      <c r="A83" s="185"/>
      <c r="B83" s="186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</row>
    <row r="84" spans="1:35" ht="12" customHeight="1" x14ac:dyDescent="0.25">
      <c r="A84" s="185"/>
      <c r="B84" s="186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T84" s="165"/>
      <c r="U84" s="165"/>
      <c r="V84" s="165"/>
      <c r="W84" s="165"/>
      <c r="X84" s="165"/>
      <c r="Y84" s="165"/>
      <c r="Z84" s="165"/>
      <c r="AA84" s="165"/>
      <c r="AB84" s="165"/>
      <c r="AC84" s="165"/>
      <c r="AD84" s="165"/>
      <c r="AE84" s="165"/>
      <c r="AF84" s="165"/>
      <c r="AG84" s="165"/>
      <c r="AH84" s="165"/>
      <c r="AI84" s="165"/>
    </row>
    <row r="85" spans="1:35" ht="12" customHeight="1" x14ac:dyDescent="0.25">
      <c r="A85" s="185"/>
      <c r="B85" s="186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T85" s="165"/>
      <c r="U85" s="165"/>
      <c r="V85" s="165"/>
      <c r="W85" s="165"/>
      <c r="X85" s="165"/>
      <c r="Y85" s="165"/>
      <c r="Z85" s="165"/>
      <c r="AA85" s="165"/>
      <c r="AB85" s="165"/>
      <c r="AC85" s="165"/>
      <c r="AD85" s="165"/>
      <c r="AE85" s="165"/>
      <c r="AF85" s="165"/>
      <c r="AG85" s="165"/>
      <c r="AH85" s="165"/>
      <c r="AI85" s="165"/>
    </row>
    <row r="86" spans="1:35" ht="12" customHeight="1" x14ac:dyDescent="0.25">
      <c r="A86" s="185"/>
      <c r="B86" s="186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T86" s="165"/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  <c r="AF86" s="165"/>
      <c r="AG86" s="165"/>
      <c r="AH86" s="165"/>
      <c r="AI86" s="165"/>
    </row>
    <row r="87" spans="1:35" ht="12" customHeight="1" x14ac:dyDescent="0.25">
      <c r="A87" s="185"/>
      <c r="B87" s="186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T87" s="165"/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  <c r="AF87" s="165"/>
      <c r="AG87" s="165"/>
      <c r="AH87" s="165"/>
      <c r="AI87" s="165"/>
    </row>
    <row r="88" spans="1:35" ht="12" customHeight="1" x14ac:dyDescent="0.25">
      <c r="A88" s="185"/>
      <c r="B88" s="186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T88" s="165"/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  <c r="AF88" s="165"/>
      <c r="AG88" s="165"/>
      <c r="AH88" s="165"/>
      <c r="AI88" s="165"/>
    </row>
    <row r="89" spans="1:35" ht="12" customHeight="1" x14ac:dyDescent="0.25">
      <c r="A89" s="185"/>
      <c r="B89" s="186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T89" s="165"/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  <c r="AF89" s="165"/>
      <c r="AG89" s="165"/>
      <c r="AH89" s="165"/>
      <c r="AI89" s="165"/>
    </row>
    <row r="90" spans="1:35" ht="12" customHeight="1" x14ac:dyDescent="0.25">
      <c r="A90" s="185"/>
      <c r="B90" s="186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T90" s="165"/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  <c r="AF90" s="165"/>
      <c r="AG90" s="165"/>
      <c r="AH90" s="165"/>
      <c r="AI90" s="165"/>
    </row>
    <row r="92" spans="1:35" x14ac:dyDescent="0.25">
      <c r="A92" s="190" t="s">
        <v>113</v>
      </c>
    </row>
    <row r="93" spans="1:35" x14ac:dyDescent="0.25">
      <c r="A93" s="190" t="s">
        <v>112</v>
      </c>
    </row>
    <row r="109" spans="3:18" x14ac:dyDescent="0.25">
      <c r="C109" s="191"/>
      <c r="D109" s="191"/>
      <c r="E109" s="191"/>
      <c r="F109" s="191"/>
      <c r="G109" s="191"/>
      <c r="H109" s="191"/>
      <c r="I109" s="191"/>
      <c r="J109" s="191"/>
      <c r="K109" s="191"/>
      <c r="L109" s="191"/>
      <c r="M109" s="191"/>
      <c r="N109" s="191"/>
      <c r="O109" s="191"/>
      <c r="P109" s="191"/>
      <c r="Q109" s="191"/>
      <c r="R109" s="191"/>
    </row>
    <row r="110" spans="3:18" x14ac:dyDescent="0.25">
      <c r="G110" s="191"/>
      <c r="H110" s="191"/>
      <c r="I110" s="191"/>
      <c r="J110" s="191"/>
      <c r="P110" s="191"/>
      <c r="Q110" s="191"/>
    </row>
    <row r="121" spans="3:18" x14ac:dyDescent="0.25">
      <c r="C121" s="191"/>
      <c r="D121" s="191"/>
      <c r="E121" s="191"/>
      <c r="F121" s="191"/>
      <c r="G121" s="191"/>
      <c r="H121" s="191"/>
      <c r="I121" s="191"/>
      <c r="J121" s="191"/>
      <c r="K121" s="191"/>
      <c r="L121" s="191"/>
      <c r="M121" s="191"/>
      <c r="N121" s="191"/>
      <c r="O121" s="191"/>
      <c r="P121" s="191"/>
      <c r="Q121" s="191"/>
      <c r="R121" s="191"/>
    </row>
    <row r="122" spans="3:18" x14ac:dyDescent="0.25">
      <c r="C122" s="191"/>
      <c r="D122" s="191"/>
      <c r="E122" s="191"/>
      <c r="F122" s="191"/>
      <c r="G122" s="191"/>
      <c r="H122" s="191"/>
      <c r="I122" s="191"/>
      <c r="J122" s="191"/>
      <c r="K122" s="191"/>
      <c r="L122" s="191"/>
      <c r="M122" s="191"/>
      <c r="N122" s="191"/>
      <c r="O122" s="191"/>
      <c r="P122" s="191"/>
      <c r="Q122" s="191"/>
      <c r="R122" s="191"/>
    </row>
  </sheetData>
  <mergeCells count="2">
    <mergeCell ref="I3:L3"/>
    <mergeCell ref="I32:M32"/>
  </mergeCells>
  <pageMargins left="0.45" right="0.45" top="0.5" bottom="0.5" header="0.3" footer="0.3"/>
  <pageSetup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Q15" sqref="Q15"/>
    </sheetView>
  </sheetViews>
  <sheetFormatPr defaultRowHeight="15" x14ac:dyDescent="0.25"/>
  <cols>
    <col min="1" max="1" width="9.33203125" style="59"/>
    <col min="2" max="2" width="10.5" style="59" bestFit="1" customWidth="1"/>
    <col min="3" max="16384" width="9.33203125" style="59"/>
  </cols>
  <sheetData>
    <row r="1" spans="1:8" x14ac:dyDescent="0.25">
      <c r="A1"/>
      <c r="B1"/>
      <c r="C1"/>
      <c r="D1"/>
      <c r="E1"/>
      <c r="F1"/>
      <c r="G1"/>
      <c r="H1"/>
    </row>
    <row r="2" spans="1:8" x14ac:dyDescent="0.25">
      <c r="A2" s="62" t="s">
        <v>93</v>
      </c>
      <c r="B2" s="62">
        <v>4049</v>
      </c>
      <c r="C2">
        <v>0</v>
      </c>
      <c r="D2"/>
      <c r="E2"/>
      <c r="F2"/>
      <c r="G2"/>
      <c r="H2"/>
    </row>
    <row r="3" spans="1:8" x14ac:dyDescent="0.25">
      <c r="A3" s="62" t="s">
        <v>92</v>
      </c>
      <c r="B3" s="62">
        <v>3035</v>
      </c>
      <c r="C3">
        <f>1-B3/$B$2</f>
        <v>0.25043220548283529</v>
      </c>
      <c r="D3"/>
      <c r="E3"/>
      <c r="F3"/>
      <c r="G3"/>
      <c r="H3"/>
    </row>
    <row r="4" spans="1:8" x14ac:dyDescent="0.25">
      <c r="A4" s="62" t="s">
        <v>94</v>
      </c>
      <c r="B4" s="62">
        <v>2741</v>
      </c>
      <c r="C4">
        <f>1-B4/$B$2</f>
        <v>0.32304272659916033</v>
      </c>
      <c r="D4"/>
      <c r="E4"/>
      <c r="F4"/>
      <c r="G4"/>
      <c r="H4"/>
    </row>
    <row r="5" spans="1:8" x14ac:dyDescent="0.25">
      <c r="A5" s="62" t="s">
        <v>95</v>
      </c>
      <c r="B5" s="62">
        <v>2510</v>
      </c>
      <c r="C5">
        <f t="shared" ref="C5:C8" si="0">1-B5/$B$2</f>
        <v>0.38009385033341569</v>
      </c>
      <c r="D5"/>
      <c r="E5"/>
      <c r="F5"/>
      <c r="G5"/>
      <c r="H5"/>
    </row>
    <row r="6" spans="1:8" x14ac:dyDescent="0.25">
      <c r="A6" s="62" t="s">
        <v>96</v>
      </c>
      <c r="B6" s="62">
        <v>2454</v>
      </c>
      <c r="C6">
        <f t="shared" si="0"/>
        <v>0.39392442578414422</v>
      </c>
      <c r="D6"/>
      <c r="E6"/>
      <c r="F6"/>
      <c r="G6"/>
      <c r="H6"/>
    </row>
    <row r="7" spans="1:8" x14ac:dyDescent="0.25">
      <c r="A7" s="62" t="s">
        <v>97</v>
      </c>
      <c r="B7" s="62">
        <v>2339</v>
      </c>
      <c r="C7">
        <f t="shared" si="0"/>
        <v>0.42232650037046182</v>
      </c>
      <c r="D7"/>
      <c r="E7"/>
      <c r="F7"/>
      <c r="G7"/>
      <c r="H7"/>
    </row>
    <row r="8" spans="1:8" x14ac:dyDescent="0.25">
      <c r="A8" s="62" t="s">
        <v>98</v>
      </c>
      <c r="B8" s="62">
        <v>2042</v>
      </c>
      <c r="C8">
        <f t="shared" si="0"/>
        <v>0.49567794517164732</v>
      </c>
      <c r="D8"/>
      <c r="E8"/>
      <c r="F8"/>
      <c r="G8"/>
      <c r="H8"/>
    </row>
    <row r="9" spans="1:8" x14ac:dyDescent="0.25">
      <c r="A9"/>
      <c r="B9"/>
      <c r="C9"/>
      <c r="D9"/>
      <c r="E9"/>
      <c r="F9"/>
      <c r="G9"/>
      <c r="H9"/>
    </row>
    <row r="10" spans="1:8" x14ac:dyDescent="0.25">
      <c r="A10"/>
      <c r="B10"/>
      <c r="C10"/>
      <c r="D10"/>
      <c r="E10"/>
      <c r="F10"/>
      <c r="G10"/>
      <c r="H10"/>
    </row>
    <row r="11" spans="1:8" x14ac:dyDescent="0.25">
      <c r="A11"/>
      <c r="B11"/>
      <c r="C11"/>
      <c r="D11"/>
      <c r="E11"/>
      <c r="F11"/>
      <c r="G11"/>
      <c r="H11"/>
    </row>
    <row r="12" spans="1:8" x14ac:dyDescent="0.25">
      <c r="A12"/>
      <c r="B12"/>
      <c r="C12"/>
      <c r="D12"/>
      <c r="E12"/>
      <c r="F12"/>
      <c r="G12"/>
      <c r="H12"/>
    </row>
    <row r="13" spans="1:8" x14ac:dyDescent="0.25">
      <c r="A13"/>
      <c r="B13"/>
      <c r="C13"/>
      <c r="D13"/>
      <c r="E13"/>
      <c r="F13"/>
      <c r="G13"/>
      <c r="H13"/>
    </row>
    <row r="14" spans="1:8" x14ac:dyDescent="0.25">
      <c r="A14"/>
      <c r="B14"/>
      <c r="C14"/>
      <c r="D14"/>
      <c r="E14"/>
      <c r="F14"/>
      <c r="G14"/>
      <c r="H14"/>
    </row>
    <row r="15" spans="1:8" x14ac:dyDescent="0.25">
      <c r="A15"/>
      <c r="B15"/>
      <c r="C15"/>
      <c r="D15"/>
      <c r="E15"/>
      <c r="F15"/>
      <c r="G15"/>
      <c r="H15"/>
    </row>
    <row r="16" spans="1:8" x14ac:dyDescent="0.25">
      <c r="A16"/>
      <c r="B16"/>
      <c r="C16"/>
      <c r="D16"/>
      <c r="E16"/>
      <c r="F16"/>
      <c r="G16"/>
      <c r="H16"/>
    </row>
    <row r="17" spans="1:8" x14ac:dyDescent="0.25">
      <c r="A17"/>
      <c r="B17"/>
      <c r="C17"/>
      <c r="D17"/>
      <c r="E17"/>
      <c r="F17"/>
      <c r="G17"/>
      <c r="H17"/>
    </row>
    <row r="18" spans="1:8" x14ac:dyDescent="0.25">
      <c r="A18"/>
      <c r="B18"/>
      <c r="C18"/>
      <c r="D18"/>
      <c r="E18"/>
      <c r="F18"/>
      <c r="G18"/>
      <c r="H18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1.In-Out-HC</vt:lpstr>
      <vt:lpstr>2. FTE</vt:lpstr>
      <vt:lpstr>3.SAT-GPA</vt:lpstr>
      <vt:lpstr>4. TestOfHypothesis</vt:lpstr>
      <vt:lpstr>5. Graduation</vt:lpstr>
      <vt:lpstr>YearsATCSUN</vt:lpstr>
      <vt:lpstr>Sheet1 (2)</vt:lpstr>
      <vt:lpstr>Sheet1 (3)</vt:lpstr>
      <vt:lpstr>Sheet1</vt:lpstr>
      <vt:lpstr>Degrees by Origin</vt:lpstr>
      <vt:lpstr>Undergrad Students</vt:lpstr>
      <vt:lpstr>6Universities</vt:lpstr>
      <vt:lpstr>StanfordCSUN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Hidalgo, Javier</dc:creator>
  <cp:keywords/>
  <dc:description/>
  <cp:lastModifiedBy>laptop</cp:lastModifiedBy>
  <cp:revision/>
  <dcterms:created xsi:type="dcterms:W3CDTF">2016-10-19T21:06:17Z</dcterms:created>
  <dcterms:modified xsi:type="dcterms:W3CDTF">2017-01-19T15:31:47Z</dcterms:modified>
  <cp:category/>
  <cp:contentStatus/>
</cp:coreProperties>
</file>