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IntroductionToOM\"/>
    </mc:Choice>
  </mc:AlternateContent>
  <bookViews>
    <workbookView xWindow="0" yWindow="0" windowWidth="28950" windowHeight="15690"/>
  </bookViews>
  <sheets>
    <sheet name="New Undergrad Students" sheetId="2" r:id="rId1"/>
    <sheet name="Degrees by Origin" sheetId="3" r:id="rId2"/>
    <sheet name="Undergrad Students" sheetId="4" r:id="rId3"/>
    <sheet name="6Universities" sheetId="5" r:id="rId4"/>
    <sheet name="StanfordCSUN" sheetId="6" r:id="rId5"/>
  </sheets>
  <calcPr calcId="162913"/>
</workbook>
</file>

<file path=xl/calcChain.xml><?xml version="1.0" encoding="utf-8"?>
<calcChain xmlns="http://schemas.openxmlformats.org/spreadsheetml/2006/main">
  <c r="AH20" i="2" l="1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4" i="2"/>
  <c r="AG20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4" i="2"/>
  <c r="AB13" i="2"/>
  <c r="AB14" i="2"/>
  <c r="AB15" i="2"/>
  <c r="AB16" i="2"/>
  <c r="AB17" i="2"/>
  <c r="AB18" i="2"/>
  <c r="AB19" i="2"/>
  <c r="AB7" i="2"/>
  <c r="AB8" i="2"/>
  <c r="AB9" i="2"/>
  <c r="AB10" i="2"/>
  <c r="AB11" i="2"/>
  <c r="AB12" i="2"/>
  <c r="AB5" i="2"/>
  <c r="AB6" i="2"/>
  <c r="AB4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4" i="2"/>
  <c r="AD4" i="2"/>
  <c r="AD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4" i="2"/>
  <c r="Y21" i="2"/>
  <c r="Z21" i="2"/>
  <c r="AA21" i="2"/>
  <c r="AA22" i="2" s="1"/>
  <c r="Y22" i="2"/>
  <c r="Z22" i="2"/>
  <c r="Y23" i="2"/>
  <c r="Z23" i="2"/>
  <c r="Y24" i="2"/>
  <c r="Z24" i="2"/>
  <c r="X21" i="2"/>
  <c r="X22" i="2" s="1"/>
  <c r="Y20" i="2"/>
  <c r="X20" i="2"/>
  <c r="Z20" i="2"/>
  <c r="AA20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4" i="2"/>
  <c r="AB20" i="2" l="1"/>
  <c r="AB21" i="2"/>
  <c r="AB22" i="2" s="1"/>
  <c r="AA23" i="2"/>
  <c r="AA24" i="2"/>
  <c r="X24" i="2"/>
  <c r="X23" i="2"/>
  <c r="C20" i="2"/>
  <c r="E20" i="2"/>
  <c r="F20" i="2"/>
  <c r="H20" i="2"/>
  <c r="I20" i="2"/>
  <c r="B20" i="2"/>
  <c r="N4" i="2"/>
  <c r="O4" i="2"/>
  <c r="X26" i="2"/>
  <c r="T26" i="2"/>
  <c r="AB23" i="2" l="1"/>
  <c r="AB24" i="2"/>
  <c r="C21" i="2"/>
  <c r="C22" i="2" s="1"/>
  <c r="E21" i="2"/>
  <c r="E22" i="2" s="1"/>
  <c r="F21" i="2"/>
  <c r="F22" i="2" s="1"/>
  <c r="H21" i="2"/>
  <c r="H22" i="2" s="1"/>
  <c r="I21" i="2"/>
  <c r="I22" i="2" s="1"/>
  <c r="B21" i="2"/>
  <c r="B2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L20" i="2" s="1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AP5" i="2"/>
  <c r="AO5" i="2"/>
  <c r="G6" i="2"/>
  <c r="G7" i="2"/>
  <c r="AR7" i="2" s="1"/>
  <c r="G8" i="2"/>
  <c r="AR8" i="2" s="1"/>
  <c r="G9" i="2"/>
  <c r="AR9" i="2" s="1"/>
  <c r="G10" i="2"/>
  <c r="AR10" i="2" s="1"/>
  <c r="G11" i="2"/>
  <c r="AR11" i="2" s="1"/>
  <c r="G12" i="2"/>
  <c r="AR12" i="2" s="1"/>
  <c r="G13" i="2"/>
  <c r="AR13" i="2" s="1"/>
  <c r="G14" i="2"/>
  <c r="AR14" i="2" s="1"/>
  <c r="G15" i="2"/>
  <c r="AR15" i="2" s="1"/>
  <c r="G16" i="2"/>
  <c r="G17" i="2"/>
  <c r="G18" i="2"/>
  <c r="AR18" i="2" s="1"/>
  <c r="G19" i="2"/>
  <c r="AR19" i="2" s="1"/>
  <c r="G5" i="2"/>
  <c r="P5" i="2" s="1"/>
  <c r="G4" i="2"/>
  <c r="D4" i="2"/>
  <c r="AN20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D10" i="2"/>
  <c r="D11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A2" i="6"/>
  <c r="G2" i="6"/>
  <c r="I2" i="6"/>
  <c r="J2" i="6"/>
  <c r="K2" i="6"/>
  <c r="L2" i="6"/>
  <c r="G3" i="6"/>
  <c r="I3" i="6"/>
  <c r="K3" i="6" s="1"/>
  <c r="A4" i="6"/>
  <c r="B1" i="6" s="1"/>
  <c r="G4" i="6"/>
  <c r="I4" i="6"/>
  <c r="K4" i="6" s="1"/>
  <c r="G5" i="6"/>
  <c r="I5" i="6"/>
  <c r="L5" i="6" s="1"/>
  <c r="J5" i="6"/>
  <c r="G6" i="6"/>
  <c r="I6" i="6"/>
  <c r="L6" i="6" s="1"/>
  <c r="J6" i="6"/>
  <c r="G7" i="6"/>
  <c r="I7" i="6"/>
  <c r="K7" i="6" s="1"/>
  <c r="D20" i="2" l="1"/>
  <c r="O21" i="2"/>
  <c r="O22" i="2" s="1"/>
  <c r="O20" i="2"/>
  <c r="G20" i="2"/>
  <c r="P4" i="2"/>
  <c r="N21" i="2"/>
  <c r="N22" i="2" s="1"/>
  <c r="K20" i="2"/>
  <c r="J20" i="2"/>
  <c r="N20" i="2"/>
  <c r="C23" i="2"/>
  <c r="H24" i="2"/>
  <c r="B24" i="2"/>
  <c r="C24" i="2"/>
  <c r="B23" i="2"/>
  <c r="L21" i="2"/>
  <c r="L22" i="2" s="1"/>
  <c r="I23" i="2"/>
  <c r="AF21" i="2"/>
  <c r="AF22" i="2" s="1"/>
  <c r="P18" i="2"/>
  <c r="P14" i="2"/>
  <c r="P10" i="2"/>
  <c r="K21" i="2"/>
  <c r="K22" i="2" s="1"/>
  <c r="AC20" i="2"/>
  <c r="AE20" i="2"/>
  <c r="D21" i="2"/>
  <c r="D22" i="2" s="1"/>
  <c r="AD20" i="2"/>
  <c r="I24" i="2"/>
  <c r="F23" i="2"/>
  <c r="F24" i="2"/>
  <c r="H23" i="2"/>
  <c r="AC21" i="2"/>
  <c r="AC22" i="2" s="1"/>
  <c r="AE21" i="2"/>
  <c r="AE22" i="2" s="1"/>
  <c r="AF20" i="2"/>
  <c r="K5" i="6"/>
  <c r="P19" i="2"/>
  <c r="P15" i="2"/>
  <c r="P11" i="2"/>
  <c r="P7" i="2"/>
  <c r="G21" i="2"/>
  <c r="G22" i="2" s="1"/>
  <c r="E24" i="2"/>
  <c r="AD21" i="2"/>
  <c r="AD22" i="2" s="1"/>
  <c r="P6" i="2"/>
  <c r="J21" i="2"/>
  <c r="J22" i="2" s="1"/>
  <c r="P17" i="2"/>
  <c r="P13" i="2"/>
  <c r="P9" i="2"/>
  <c r="E23" i="2"/>
  <c r="P16" i="2"/>
  <c r="P12" i="2"/>
  <c r="P8" i="2"/>
  <c r="M5" i="2"/>
  <c r="AR17" i="2"/>
  <c r="M7" i="2"/>
  <c r="G28" i="2"/>
  <c r="F28" i="2"/>
  <c r="M6" i="2"/>
  <c r="M15" i="2"/>
  <c r="AR5" i="2"/>
  <c r="M19" i="2"/>
  <c r="M8" i="2"/>
  <c r="AR16" i="2"/>
  <c r="M12" i="2"/>
  <c r="M11" i="2"/>
  <c r="M17" i="2"/>
  <c r="AR6" i="2"/>
  <c r="AO21" i="2"/>
  <c r="AS14" i="2" s="1"/>
  <c r="AP21" i="2"/>
  <c r="AT10" i="2" s="1"/>
  <c r="AQ21" i="2"/>
  <c r="M16" i="2"/>
  <c r="M18" i="2"/>
  <c r="M14" i="2"/>
  <c r="M10" i="2"/>
  <c r="M13" i="2"/>
  <c r="M9" i="2"/>
  <c r="AO22" i="2"/>
  <c r="AO23" i="2" s="1"/>
  <c r="AP22" i="2"/>
  <c r="AP23" i="2" s="1"/>
  <c r="AQ22" i="2"/>
  <c r="AQ23" i="2" s="1"/>
  <c r="D4" i="6"/>
  <c r="E5" i="6" s="1"/>
  <c r="J7" i="6"/>
  <c r="K6" i="6"/>
  <c r="J4" i="6"/>
  <c r="J3" i="6"/>
  <c r="B2" i="6"/>
  <c r="L7" i="6"/>
  <c r="L4" i="6"/>
  <c r="L3" i="6"/>
  <c r="B3" i="6"/>
  <c r="AD24" i="2" l="1"/>
  <c r="R4" i="2"/>
  <c r="Q4" i="2"/>
  <c r="N24" i="2"/>
  <c r="Q5" i="2"/>
  <c r="R5" i="2"/>
  <c r="R16" i="2"/>
  <c r="Q11" i="2"/>
  <c r="R11" i="2"/>
  <c r="Q18" i="2"/>
  <c r="R18" i="2"/>
  <c r="Q17" i="2"/>
  <c r="R17" i="2"/>
  <c r="N23" i="2"/>
  <c r="R8" i="2"/>
  <c r="Q7" i="2"/>
  <c r="R7" i="2"/>
  <c r="Q14" i="2"/>
  <c r="R14" i="2"/>
  <c r="Q13" i="2"/>
  <c r="R13" i="2"/>
  <c r="Q12" i="2"/>
  <c r="Q19" i="2"/>
  <c r="R19" i="2"/>
  <c r="Q16" i="2"/>
  <c r="Q10" i="2"/>
  <c r="R10" i="2"/>
  <c r="Q9" i="2"/>
  <c r="R9" i="2"/>
  <c r="Q8" i="2"/>
  <c r="Q15" i="2"/>
  <c r="R15" i="2"/>
  <c r="R12" i="2"/>
  <c r="Q6" i="2"/>
  <c r="R6" i="2"/>
  <c r="P20" i="2"/>
  <c r="P21" i="2"/>
  <c r="P22" i="2" s="1"/>
  <c r="M20" i="2"/>
  <c r="K25" i="2" s="1"/>
  <c r="L25" i="2" s="1"/>
  <c r="O24" i="2"/>
  <c r="S19" i="2"/>
  <c r="S17" i="2"/>
  <c r="S7" i="2"/>
  <c r="T12" i="2"/>
  <c r="T4" i="2"/>
  <c r="S12" i="2"/>
  <c r="S4" i="2"/>
  <c r="T13" i="2"/>
  <c r="S11" i="2"/>
  <c r="S9" i="2"/>
  <c r="T18" i="2"/>
  <c r="T10" i="2"/>
  <c r="S18" i="2"/>
  <c r="S10" i="2"/>
  <c r="T19" i="2"/>
  <c r="T11" i="2"/>
  <c r="S5" i="2"/>
  <c r="T5" i="2"/>
  <c r="O23" i="2"/>
  <c r="T16" i="2"/>
  <c r="T8" i="2"/>
  <c r="S16" i="2"/>
  <c r="S8" i="2"/>
  <c r="T17" i="2"/>
  <c r="T9" i="2"/>
  <c r="S13" i="2"/>
  <c r="S15" i="2"/>
  <c r="T14" i="2"/>
  <c r="T6" i="2"/>
  <c r="S14" i="2"/>
  <c r="T7" i="2"/>
  <c r="S6" i="2"/>
  <c r="T15" i="2"/>
  <c r="AE23" i="2"/>
  <c r="AC23" i="2"/>
  <c r="AC24" i="2"/>
  <c r="AD23" i="2"/>
  <c r="AF23" i="2"/>
  <c r="AE24" i="2"/>
  <c r="AR20" i="2"/>
  <c r="AR22" i="2" s="1"/>
  <c r="AR23" i="2" s="1"/>
  <c r="G24" i="2"/>
  <c r="G23" i="2"/>
  <c r="L24" i="2"/>
  <c r="L23" i="2"/>
  <c r="K24" i="2"/>
  <c r="K23" i="2"/>
  <c r="AF24" i="2"/>
  <c r="E25" i="2"/>
  <c r="F25" i="2" s="1"/>
  <c r="E28" i="2"/>
  <c r="B25" i="2"/>
  <c r="C25" i="2" s="1"/>
  <c r="D24" i="2"/>
  <c r="D23" i="2"/>
  <c r="M21" i="2"/>
  <c r="M22" i="2" s="1"/>
  <c r="J23" i="2"/>
  <c r="J24" i="2"/>
  <c r="B4" i="6"/>
  <c r="H25" i="2"/>
  <c r="I25" i="2" s="1"/>
  <c r="AT15" i="2"/>
  <c r="AT5" i="2"/>
  <c r="AT12" i="2"/>
  <c r="AT14" i="2"/>
  <c r="AT7" i="2"/>
  <c r="AT18" i="2"/>
  <c r="AT16" i="2"/>
  <c r="AT9" i="2"/>
  <c r="AT11" i="2"/>
  <c r="AT6" i="2"/>
  <c r="AT8" i="2"/>
  <c r="AT19" i="2"/>
  <c r="AT13" i="2"/>
  <c r="AT20" i="2"/>
  <c r="AT17" i="2"/>
  <c r="AS8" i="2"/>
  <c r="AS10" i="2"/>
  <c r="AS9" i="2"/>
  <c r="AS11" i="2"/>
  <c r="AS5" i="2"/>
  <c r="AS7" i="2"/>
  <c r="AS17" i="2"/>
  <c r="AS6" i="2"/>
  <c r="AS16" i="2"/>
  <c r="AS19" i="2"/>
  <c r="AS20" i="2"/>
  <c r="AS18" i="2"/>
  <c r="AS13" i="2"/>
  <c r="AS15" i="2"/>
  <c r="AS12" i="2"/>
  <c r="I26" i="2"/>
  <c r="B32" i="2" l="1"/>
  <c r="U8" i="2"/>
  <c r="U9" i="2"/>
  <c r="U18" i="2"/>
  <c r="U10" i="2"/>
  <c r="U12" i="2"/>
  <c r="U17" i="2"/>
  <c r="U13" i="2"/>
  <c r="U5" i="2"/>
  <c r="P24" i="2"/>
  <c r="U19" i="2"/>
  <c r="U11" i="2"/>
  <c r="U7" i="2"/>
  <c r="U4" i="2"/>
  <c r="U14" i="2"/>
  <c r="U6" i="2"/>
  <c r="U15" i="2"/>
  <c r="U16" i="2"/>
  <c r="P23" i="2"/>
  <c r="B31" i="2"/>
  <c r="AR21" i="2"/>
  <c r="AU5" i="2" s="1"/>
  <c r="B27" i="2"/>
  <c r="C27" i="2" s="1"/>
  <c r="M23" i="2"/>
  <c r="M24" i="2"/>
  <c r="M25" i="2"/>
  <c r="AU17" i="2" l="1"/>
  <c r="AU6" i="2"/>
  <c r="AR24" i="2"/>
  <c r="AE26" i="2"/>
  <c r="AU18" i="2"/>
  <c r="AU20" i="2"/>
  <c r="AU8" i="2"/>
  <c r="AU11" i="2"/>
  <c r="AU16" i="2"/>
  <c r="AU12" i="2"/>
  <c r="AU9" i="2"/>
  <c r="AU15" i="2"/>
  <c r="AI25" i="2"/>
  <c r="AU19" i="2"/>
  <c r="AU14" i="2"/>
  <c r="AU10" i="2"/>
  <c r="AU7" i="2"/>
  <c r="AU13" i="2"/>
  <c r="AE25" i="2"/>
</calcChain>
</file>

<file path=xl/sharedStrings.xml><?xml version="1.0" encoding="utf-8"?>
<sst xmlns="http://schemas.openxmlformats.org/spreadsheetml/2006/main" count="121" uniqueCount="87">
  <si>
    <t>by Headcount</t>
  </si>
  <si>
    <t>BE</t>
  </si>
  <si>
    <t>Freshmen</t>
  </si>
  <si>
    <t>Transfers</t>
  </si>
  <si>
    <t>Total New Students</t>
  </si>
  <si>
    <t>CSUN</t>
  </si>
  <si>
    <t>by FTES</t>
  </si>
  <si>
    <t>Source: ERSS files.  Office of Institutional Research</t>
  </si>
  <si>
    <t>Undergraduate Degrees Awarded by Origin - College of Business &amp; CSUN Campus: Academic Years 2000/01 to 2015/16</t>
  </si>
  <si>
    <t>by Degrees</t>
  </si>
  <si>
    <t xml:space="preserve">Originated as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</si>
  <si>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</si>
  <si>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</si>
  <si>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</si>
  <si>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</si>
  <si>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</si>
  <si>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</si>
  <si>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</si>
  <si>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</si>
  <si>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</si>
  <si>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</si>
  <si>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</si>
  <si>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</si>
  <si>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</si>
  <si>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</si>
  <si>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</si>
  <si>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</si>
  <si>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 Bachelor's</t>
  </si>
  <si>
    <t>Source: ERSD files.  Office of Institutional Research</t>
  </si>
  <si>
    <t>Undergraduate Students - College of Business &amp; CSUN Campus: Fall 2001 to Fall 2016</t>
  </si>
  <si>
    <t>Incoming</t>
  </si>
  <si>
    <t>Total</t>
  </si>
  <si>
    <t>Average</t>
  </si>
  <si>
    <t>Year</t>
  </si>
  <si>
    <t>Drop-Out</t>
  </si>
  <si>
    <t>TtGF</t>
  </si>
  <si>
    <t>TtGA</t>
  </si>
  <si>
    <t>FTEFreshmen</t>
  </si>
  <si>
    <t>FTETransfers</t>
  </si>
  <si>
    <t>LCLTtGF</t>
  </si>
  <si>
    <t>UCLTtGF</t>
  </si>
  <si>
    <t>T-FTE/HC</t>
  </si>
  <si>
    <t>F-FTE/HC</t>
  </si>
  <si>
    <t>A-FTE/HC</t>
  </si>
  <si>
    <t>AA-FTE/HC</t>
  </si>
  <si>
    <t>FTE-AACollege</t>
  </si>
  <si>
    <t>Ave-F-FTE</t>
  </si>
  <si>
    <t>Ave-T-FTE</t>
  </si>
  <si>
    <t>Ave-AA-FTE</t>
  </si>
  <si>
    <t>Origin</t>
  </si>
  <si>
    <t>Total Students</t>
  </si>
  <si>
    <t>INCOMING</t>
  </si>
  <si>
    <t>HEADCOUNT</t>
  </si>
  <si>
    <t>OUTGOING</t>
  </si>
  <si>
    <t>FTE-Inventory</t>
  </si>
  <si>
    <t>TtGT</t>
  </si>
  <si>
    <t>DtdDev</t>
  </si>
  <si>
    <t>95%CI</t>
  </si>
  <si>
    <t>LCL</t>
  </si>
  <si>
    <t>UCL</t>
  </si>
  <si>
    <t>FTE/person</t>
  </si>
  <si>
    <t>In-F</t>
  </si>
  <si>
    <t>In-T</t>
  </si>
  <si>
    <t>Inv-F</t>
  </si>
  <si>
    <t>Inv-T</t>
  </si>
  <si>
    <t>IN-FTF</t>
  </si>
  <si>
    <t>IN-FTT</t>
  </si>
  <si>
    <t>IN-FTA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</si>
  <si>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</si>
  <si>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</si>
  <si>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</si>
  <si>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</si>
  <si>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</si>
  <si>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</si>
  <si>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</si>
  <si>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</si>
  <si>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</si>
  <si>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LCLTtGT</t>
  </si>
  <si>
    <t>UCLTtGT</t>
  </si>
  <si>
    <t>Fig1</t>
  </si>
  <si>
    <t>Fig2</t>
  </si>
  <si>
    <t>IN-F/IN-T</t>
  </si>
  <si>
    <t>HC-F/HC-T</t>
  </si>
  <si>
    <t>Fig3</t>
  </si>
  <si>
    <t>Increase in Freshmen Population</t>
  </si>
  <si>
    <t>Inv-A</t>
  </si>
  <si>
    <t>NotFirst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</si>
</sst>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8"/>
      <name val="Microsoft Sans Serif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/>
    <xf numFmtId="164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1" fillId="0" borderId="0" xfId="1"/>
    <xf numFmtId="2" fontId="0" fillId="0" borderId="0" xfId="2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2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2" borderId="0" xfId="0" applyFont="1" applyFill="1"/>
    <xf numFmtId="164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'New Undergrad Students'!$B$31</c:f>
          <c:strCache>
            <c:ptCount val="1"/>
            <c:pt idx="0">
              <c:v>Averages: 1653, 1348, 226, 6224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Students'!$D$3</c:f>
              <c:strCache>
                <c:ptCount val="1"/>
                <c:pt idx="0">
                  <c:v>IN-FTA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5B-4074-99DB-059E5E2EAEBC}"/>
            </c:ext>
          </c:extLst>
        </c:ser>
        <c:ser>
          <c:idx val="1"/>
          <c:order val="1"/>
          <c:tx>
            <c:strRef>
              <c:f>'New Undergrad Students'!$J$3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B-4074-99DB-059E5E2EAEBC}"/>
            </c:ext>
          </c:extLst>
        </c:ser>
        <c:ser>
          <c:idx val="2"/>
          <c:order val="2"/>
          <c:tx>
            <c:strRef>
              <c:f>'New Undergrad Students'!$M$3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5B-4074-99DB-059E5E2EAEBC}"/>
            </c:ext>
          </c:extLst>
        </c:ser>
        <c:ser>
          <c:idx val="3"/>
          <c:order val="3"/>
          <c:tx>
            <c:strRef>
              <c:f>'New Undergrad Students'!$G$3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5B-4074-99DB-059E5E2EA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084384"/>
        <c:axId val="608086344"/>
      </c:lineChart>
      <c:catAx>
        <c:axId val="6080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08086344"/>
        <c:crossesAt val="-1000"/>
        <c:auto val="1"/>
        <c:lblAlgn val="ctr"/>
        <c:lblOffset val="100"/>
        <c:noMultiLvlLbl val="0"/>
      </c:catAx>
      <c:valAx>
        <c:axId val="608086344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0808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30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9A5-8A47-28C4399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52704"/>
        <c:axId val="595452312"/>
      </c:scatterChart>
      <c:valAx>
        <c:axId val="59545270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312"/>
        <c:crosses val="autoZero"/>
        <c:crossBetween val="midCat"/>
        <c:majorUnit val="1"/>
      </c:valAx>
      <c:valAx>
        <c:axId val="595452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704"/>
        <c:crosses val="autoZero"/>
        <c:crossBetween val="midCat"/>
        <c:majorUnit val="0.16666666000000002"/>
      </c:valAx>
      <c:spPr>
        <a:noFill/>
        <a:ln w="698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FF8-A497-7594E74AC7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StanfordCSUN!$J$2:$J$7</c:f>
              <c:numCache>
                <c:formatCode>General</c:formatCode>
                <c:ptCount val="6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0.375</c:v>
                </c:pt>
                <c:pt idx="4">
                  <c:v>0.30000000000000004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FF8-A497-7594E74AC7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StanfordCSUN!$K$2:$K$7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B-4FF8-A497-7594E74AC7E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StanfordCSUN!$L$2:$L$7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0.60000000000000009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FF8-A497-7594E74A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93480"/>
        <c:axId val="604043304"/>
      </c:scatterChart>
      <c:valAx>
        <c:axId val="41839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043304"/>
        <c:crosses val="autoZero"/>
        <c:crossBetween val="midCat"/>
      </c:valAx>
      <c:valAx>
        <c:axId val="6040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3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'New Undergrad Students'!$AE$25</c:f>
          <c:strCache>
            <c:ptCount val="1"/>
            <c:pt idx="0">
              <c:v>95 CI:   =0-0,  =0-0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TtGA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Students'!$AQ$27:$AQ$42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9-406A-A254-CDC574B4496D}"/>
            </c:ext>
          </c:extLst>
        </c:ser>
        <c:ser>
          <c:idx val="1"/>
          <c:order val="1"/>
          <c:tx>
            <c:v>TtGF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Students'!$AR$27:$AR$42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9-406A-A254-CDC574B4496D}"/>
            </c:ext>
          </c:extLst>
        </c:ser>
        <c:ser>
          <c:idx val="2"/>
          <c:order val="2"/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Students'!$AS$27:$AS$42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9-406A-A254-CDC574B4496D}"/>
            </c:ext>
          </c:extLst>
        </c:ser>
        <c:ser>
          <c:idx val="3"/>
          <c:order val="3"/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Students'!$AT$27:$AT$42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99-406A-A254-CDC574B4496D}"/>
            </c:ext>
          </c:extLst>
        </c:ser>
        <c:ser>
          <c:idx val="4"/>
          <c:order val="4"/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Students'!$AU$27:$AU$42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99-406A-A254-CDC574B4496D}"/>
            </c:ext>
          </c:extLst>
        </c:ser>
        <c:ser>
          <c:idx val="5"/>
          <c:order val="5"/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Students'!$AV$27:$AV$42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99-406A-A254-CDC574B4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871200"/>
        <c:axId val="731865712"/>
      </c:lineChart>
      <c:catAx>
        <c:axId val="73187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31865712"/>
        <c:crosses val="autoZero"/>
        <c:auto val="1"/>
        <c:lblAlgn val="ctr"/>
        <c:lblOffset val="100"/>
        <c:noMultiLvlLbl val="0"/>
      </c:catAx>
      <c:valAx>
        <c:axId val="731865712"/>
        <c:scaling>
          <c:orientation val="minMax"/>
          <c:min val="3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3187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64260717410327E-2"/>
          <c:y val="5.0925925925925923E-2"/>
          <c:w val="0.88389129483814521"/>
          <c:h val="0.79645924467774865"/>
        </c:manualLayout>
      </c:layout>
      <c:lineChart>
        <c:grouping val="standard"/>
        <c:varyColors val="0"/>
        <c:ser>
          <c:idx val="0"/>
          <c:order val="0"/>
          <c:tx>
            <c:strRef>
              <c:f>'New Undergrad Students'!$AO$4</c:f>
              <c:strCache>
                <c:ptCount val="1"/>
                <c:pt idx="0">
                  <c:v>F-FTE/HC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Students'!$AO$5:$AO$20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6-41B7-B2DB-B61265A2E4CA}"/>
            </c:ext>
          </c:extLst>
        </c:ser>
        <c:ser>
          <c:idx val="1"/>
          <c:order val="1"/>
          <c:tx>
            <c:strRef>
              <c:f>'New Undergrad Students'!$AP$4</c:f>
              <c:strCache>
                <c:ptCount val="1"/>
                <c:pt idx="0">
                  <c:v>T-FTE/HC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Students'!$AP$5:$AP$20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6-41B7-B2DB-B61265A2E4CA}"/>
            </c:ext>
          </c:extLst>
        </c:ser>
        <c:ser>
          <c:idx val="2"/>
          <c:order val="2"/>
          <c:tx>
            <c:strRef>
              <c:f>'New Undergrad Students'!$AR$4</c:f>
              <c:strCache>
                <c:ptCount val="1"/>
                <c:pt idx="0">
                  <c:v>AA-FTE/HC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Students'!$AR$5:$AR$20</c:f>
              <c:numCache>
                <c:formatCode>General</c:formatCode>
                <c:ptCount val="16"/>
                <c:pt idx="0">
                  <c:v>0.73689489751417347</c:v>
                </c:pt>
                <c:pt idx="1">
                  <c:v>0.73687896695119282</c:v>
                </c:pt>
                <c:pt idx="2">
                  <c:v>0.73868201308959613</c:v>
                </c:pt>
                <c:pt idx="3">
                  <c:v>0.76497695852534564</c:v>
                </c:pt>
                <c:pt idx="4">
                  <c:v>0.74958543983822046</c:v>
                </c:pt>
                <c:pt idx="5">
                  <c:v>0.75574459567654118</c:v>
                </c:pt>
                <c:pt idx="6">
                  <c:v>0.76773998792513576</c:v>
                </c:pt>
                <c:pt idx="7">
                  <c:v>0.76567425569176883</c:v>
                </c:pt>
                <c:pt idx="8">
                  <c:v>0.75366610938619549</c:v>
                </c:pt>
                <c:pt idx="9">
                  <c:v>0.79368497459472531</c:v>
                </c:pt>
                <c:pt idx="10">
                  <c:v>0.80275335492827393</c:v>
                </c:pt>
                <c:pt idx="11">
                  <c:v>0.80784023668639049</c:v>
                </c:pt>
                <c:pt idx="12">
                  <c:v>0.80493069756873437</c:v>
                </c:pt>
                <c:pt idx="13">
                  <c:v>0.80446318387494853</c:v>
                </c:pt>
                <c:pt idx="14">
                  <c:v>0.80032592024539873</c:v>
                </c:pt>
                <c:pt idx="15">
                  <c:v>1.0671276440554336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6-41B7-B2DB-B61265A2E4CA}"/>
            </c:ext>
          </c:extLst>
        </c:ser>
        <c:ser>
          <c:idx val="3"/>
          <c:order val="3"/>
          <c:tx>
            <c:strRef>
              <c:f>'New Undergrad Students'!$AS$4</c:f>
              <c:strCache>
                <c:ptCount val="1"/>
                <c:pt idx="0">
                  <c:v>Ave-F-FTE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Students'!$AS$5:$AS$20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66-41B7-B2DB-B61265A2E4CA}"/>
            </c:ext>
          </c:extLst>
        </c:ser>
        <c:ser>
          <c:idx val="4"/>
          <c:order val="4"/>
          <c:tx>
            <c:strRef>
              <c:f>'New Undergrad Students'!$AT$4</c:f>
              <c:strCache>
                <c:ptCount val="1"/>
                <c:pt idx="0">
                  <c:v>Ave-T-FTE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Students'!$AT$5:$AT$20</c:f>
              <c:numCache>
                <c:formatCode>0.00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66-41B7-B2DB-B61265A2E4CA}"/>
            </c:ext>
          </c:extLst>
        </c:ser>
        <c:ser>
          <c:idx val="5"/>
          <c:order val="5"/>
          <c:tx>
            <c:strRef>
              <c:f>'New Undergrad Students'!$AU$4</c:f>
              <c:strCache>
                <c:ptCount val="1"/>
                <c:pt idx="0">
                  <c:v>Ave-AA-FTE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Students'!$AU$5:$AU$20</c:f>
              <c:numCache>
                <c:formatCode>0.00</c:formatCode>
                <c:ptCount val="16"/>
                <c:pt idx="0">
                  <c:v>0.79</c:v>
                </c:pt>
                <c:pt idx="1">
                  <c:v>0.79</c:v>
                </c:pt>
                <c:pt idx="2">
                  <c:v>0.79</c:v>
                </c:pt>
                <c:pt idx="3">
                  <c:v>0.79</c:v>
                </c:pt>
                <c:pt idx="4">
                  <c:v>0.79</c:v>
                </c:pt>
                <c:pt idx="5">
                  <c:v>0.79</c:v>
                </c:pt>
                <c:pt idx="6">
                  <c:v>0.79</c:v>
                </c:pt>
                <c:pt idx="7">
                  <c:v>0.79</c:v>
                </c:pt>
                <c:pt idx="8">
                  <c:v>0.79</c:v>
                </c:pt>
                <c:pt idx="9">
                  <c:v>0.79</c:v>
                </c:pt>
                <c:pt idx="10">
                  <c:v>0.79</c:v>
                </c:pt>
                <c:pt idx="11">
                  <c:v>0.79</c:v>
                </c:pt>
                <c:pt idx="12">
                  <c:v>0.79</c:v>
                </c:pt>
                <c:pt idx="13">
                  <c:v>0.79</c:v>
                </c:pt>
                <c:pt idx="14">
                  <c:v>0.79</c:v>
                </c:pt>
                <c:pt idx="15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66-41B7-B2DB-B61265A2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197696"/>
        <c:axId val="736198088"/>
      </c:lineChart>
      <c:catAx>
        <c:axId val="73619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36198088"/>
        <c:crosses val="autoZero"/>
        <c:auto val="1"/>
        <c:lblAlgn val="ctr"/>
        <c:lblOffset val="100"/>
        <c:noMultiLvlLbl val="0"/>
      </c:catAx>
      <c:valAx>
        <c:axId val="736198088"/>
        <c:scaling>
          <c:orientation val="minMax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3619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Students'!$B$3:$B$4</c:f>
              <c:strCache>
                <c:ptCount val="2"/>
                <c:pt idx="0">
                  <c:v>IN-FTF</c:v>
                </c:pt>
                <c:pt idx="1">
                  <c:v>548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'New Undergrad Students'!$B$5:$B$19</c:f>
              <c:numCache>
                <c:formatCode>#,##0</c:formatCode>
                <c:ptCount val="15"/>
                <c:pt idx="0">
                  <c:v>582</c:v>
                </c:pt>
                <c:pt idx="1">
                  <c:v>623</c:v>
                </c:pt>
                <c:pt idx="2">
                  <c:v>536</c:v>
                </c:pt>
                <c:pt idx="3">
                  <c:v>659</c:v>
                </c:pt>
                <c:pt idx="4">
                  <c:v>674</c:v>
                </c:pt>
                <c:pt idx="5">
                  <c:v>701</c:v>
                </c:pt>
                <c:pt idx="6">
                  <c:v>791</c:v>
                </c:pt>
                <c:pt idx="7">
                  <c:v>624</c:v>
                </c:pt>
                <c:pt idx="8">
                  <c:v>693</c:v>
                </c:pt>
                <c:pt idx="9">
                  <c:v>676</c:v>
                </c:pt>
                <c:pt idx="10">
                  <c:v>548</c:v>
                </c:pt>
                <c:pt idx="11">
                  <c:v>746</c:v>
                </c:pt>
                <c:pt idx="12">
                  <c:v>785</c:v>
                </c:pt>
                <c:pt idx="13">
                  <c:v>783</c:v>
                </c:pt>
                <c:pt idx="14">
                  <c:v>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9-45D8-A897-6D8B520D9FE5}"/>
            </c:ext>
          </c:extLst>
        </c:ser>
        <c:ser>
          <c:idx val="1"/>
          <c:order val="1"/>
          <c:tx>
            <c:strRef>
              <c:f>'New Undergrad Students'!$C$3:$C$4</c:f>
              <c:strCache>
                <c:ptCount val="2"/>
                <c:pt idx="0">
                  <c:v>IN-FTT</c:v>
                </c:pt>
                <c:pt idx="1">
                  <c:v>879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'New Undergrad Students'!$C$5:$C$19</c:f>
              <c:numCache>
                <c:formatCode>#,##0</c:formatCode>
                <c:ptCount val="15"/>
                <c:pt idx="0">
                  <c:v>765</c:v>
                </c:pt>
                <c:pt idx="1">
                  <c:v>750</c:v>
                </c:pt>
                <c:pt idx="2">
                  <c:v>709</c:v>
                </c:pt>
                <c:pt idx="3">
                  <c:v>987</c:v>
                </c:pt>
                <c:pt idx="4">
                  <c:v>1028</c:v>
                </c:pt>
                <c:pt idx="5">
                  <c:v>1042</c:v>
                </c:pt>
                <c:pt idx="6">
                  <c:v>935</c:v>
                </c:pt>
                <c:pt idx="7">
                  <c:v>938</c:v>
                </c:pt>
                <c:pt idx="8">
                  <c:v>1068</c:v>
                </c:pt>
                <c:pt idx="9">
                  <c:v>1101</c:v>
                </c:pt>
                <c:pt idx="10">
                  <c:v>846</c:v>
                </c:pt>
                <c:pt idx="11">
                  <c:v>1169</c:v>
                </c:pt>
                <c:pt idx="12">
                  <c:v>1278</c:v>
                </c:pt>
                <c:pt idx="13">
                  <c:v>1327</c:v>
                </c:pt>
                <c:pt idx="14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9-45D8-A897-6D8B520D9FE5}"/>
            </c:ext>
          </c:extLst>
        </c:ser>
        <c:ser>
          <c:idx val="6"/>
          <c:order val="2"/>
          <c:tx>
            <c:strRef>
              <c:f>'New Undergrad Students'!$H$3:$H$4</c:f>
              <c:strCache>
                <c:ptCount val="2"/>
                <c:pt idx="0">
                  <c:v>GR-F</c:v>
                </c:pt>
                <c:pt idx="1">
                  <c:v>229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'New Undergrad Students'!$H$5:$H$19</c:f>
              <c:numCache>
                <c:formatCode>#,##0</c:formatCode>
                <c:ptCount val="15"/>
                <c:pt idx="0">
                  <c:v>228</c:v>
                </c:pt>
                <c:pt idx="1">
                  <c:v>311</c:v>
                </c:pt>
                <c:pt idx="2">
                  <c:v>305</c:v>
                </c:pt>
                <c:pt idx="3">
                  <c:v>327</c:v>
                </c:pt>
                <c:pt idx="4">
                  <c:v>335</c:v>
                </c:pt>
                <c:pt idx="5">
                  <c:v>393</c:v>
                </c:pt>
                <c:pt idx="6">
                  <c:v>413</c:v>
                </c:pt>
                <c:pt idx="7">
                  <c:v>425</c:v>
                </c:pt>
                <c:pt idx="8">
                  <c:v>410</c:v>
                </c:pt>
                <c:pt idx="9">
                  <c:v>443</c:v>
                </c:pt>
                <c:pt idx="10">
                  <c:v>384</c:v>
                </c:pt>
                <c:pt idx="11">
                  <c:v>432</c:v>
                </c:pt>
                <c:pt idx="12">
                  <c:v>401</c:v>
                </c:pt>
                <c:pt idx="13">
                  <c:v>521</c:v>
                </c:pt>
                <c:pt idx="14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9-45D8-A897-6D8B520D9FE5}"/>
            </c:ext>
          </c:extLst>
        </c:ser>
        <c:ser>
          <c:idx val="7"/>
          <c:order val="3"/>
          <c:tx>
            <c:strRef>
              <c:f>'New Undergrad Students'!$I$3:$I$4</c:f>
              <c:strCache>
                <c:ptCount val="2"/>
                <c:pt idx="0">
                  <c:v>GR-T</c:v>
                </c:pt>
                <c:pt idx="1">
                  <c:v>802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'New Undergrad Students'!$I$5:$I$19</c:f>
              <c:numCache>
                <c:formatCode>#,##0</c:formatCode>
                <c:ptCount val="15"/>
                <c:pt idx="0">
                  <c:v>866</c:v>
                </c:pt>
                <c:pt idx="1">
                  <c:v>949</c:v>
                </c:pt>
                <c:pt idx="2">
                  <c:v>971</c:v>
                </c:pt>
                <c:pt idx="3">
                  <c:v>1009</c:v>
                </c:pt>
                <c:pt idx="4">
                  <c:v>988</c:v>
                </c:pt>
                <c:pt idx="5">
                  <c:v>1053</c:v>
                </c:pt>
                <c:pt idx="6">
                  <c:v>1126</c:v>
                </c:pt>
                <c:pt idx="7">
                  <c:v>1010</c:v>
                </c:pt>
                <c:pt idx="8">
                  <c:v>982</c:v>
                </c:pt>
                <c:pt idx="9">
                  <c:v>1052</c:v>
                </c:pt>
                <c:pt idx="10">
                  <c:v>972</c:v>
                </c:pt>
                <c:pt idx="11">
                  <c:v>999</c:v>
                </c:pt>
                <c:pt idx="12">
                  <c:v>886</c:v>
                </c:pt>
                <c:pt idx="13">
                  <c:v>818</c:v>
                </c:pt>
                <c:pt idx="14">
                  <c:v>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D9-45D8-A897-6D8B520D9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94200"/>
        <c:axId val="737976688"/>
      </c:lineChart>
      <c:catAx>
        <c:axId val="8337942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976688"/>
        <c:crosses val="autoZero"/>
        <c:auto val="1"/>
        <c:lblAlgn val="ctr"/>
        <c:lblOffset val="100"/>
        <c:noMultiLvlLbl val="0"/>
      </c:catAx>
      <c:valAx>
        <c:axId val="73797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37942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Students'!$AC$3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Students'!$AC$5:$AC$19</c:f>
              <c:numCache>
                <c:formatCode>General</c:formatCode>
                <c:ptCount val="15"/>
                <c:pt idx="0">
                  <c:v>0.88573883161512024</c:v>
                </c:pt>
                <c:pt idx="1">
                  <c:v>0.90272873194221503</c:v>
                </c:pt>
                <c:pt idx="2">
                  <c:v>0.87929104477611941</c:v>
                </c:pt>
                <c:pt idx="3">
                  <c:v>0.88391502276176026</c:v>
                </c:pt>
                <c:pt idx="4">
                  <c:v>0.90934718100890199</c:v>
                </c:pt>
                <c:pt idx="5">
                  <c:v>0.90827389443651929</c:v>
                </c:pt>
                <c:pt idx="6">
                  <c:v>0.87458912768647279</c:v>
                </c:pt>
                <c:pt idx="7">
                  <c:v>0.87387820512820502</c:v>
                </c:pt>
                <c:pt idx="8">
                  <c:v>0.89163059163059155</c:v>
                </c:pt>
                <c:pt idx="9">
                  <c:v>0.90414201183431964</c:v>
                </c:pt>
                <c:pt idx="10">
                  <c:v>0.90656934306569348</c:v>
                </c:pt>
                <c:pt idx="11">
                  <c:v>0.89611260053619302</c:v>
                </c:pt>
                <c:pt idx="12">
                  <c:v>0.89261146496815291</c:v>
                </c:pt>
                <c:pt idx="13">
                  <c:v>0.90383141762452113</c:v>
                </c:pt>
                <c:pt idx="14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1A-4E34-9B7B-C9B09F466C58}"/>
            </c:ext>
          </c:extLst>
        </c:ser>
        <c:ser>
          <c:idx val="1"/>
          <c:order val="1"/>
          <c:tx>
            <c:strRef>
              <c:f>'New Undergrad Students'!$AD$3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Students'!$AD$5:$AD$19</c:f>
              <c:numCache>
                <c:formatCode>General</c:formatCode>
                <c:ptCount val="15"/>
                <c:pt idx="0">
                  <c:v>0.73790849673202619</c:v>
                </c:pt>
                <c:pt idx="1">
                  <c:v>0.71933333333333338</c:v>
                </c:pt>
                <c:pt idx="2">
                  <c:v>0.71988716502115657</c:v>
                </c:pt>
                <c:pt idx="3">
                  <c:v>0.75055724417426539</c:v>
                </c:pt>
                <c:pt idx="4">
                  <c:v>0.72587548638132304</c:v>
                </c:pt>
                <c:pt idx="5">
                  <c:v>0.73944337811900196</c:v>
                </c:pt>
                <c:pt idx="6">
                  <c:v>0.738716577540107</c:v>
                </c:pt>
                <c:pt idx="7">
                  <c:v>0.70501066098081022</c:v>
                </c:pt>
                <c:pt idx="8">
                  <c:v>0.7318352059925094</c:v>
                </c:pt>
                <c:pt idx="9">
                  <c:v>0.7495004541326068</c:v>
                </c:pt>
                <c:pt idx="10">
                  <c:v>0.75874704491725764</c:v>
                </c:pt>
                <c:pt idx="11">
                  <c:v>0.76809238665526092</c:v>
                </c:pt>
                <c:pt idx="12">
                  <c:v>0.74553990610328635</c:v>
                </c:pt>
                <c:pt idx="13">
                  <c:v>0.72471740768651094</c:v>
                </c:pt>
                <c:pt idx="14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A-4E34-9B7B-C9B09F466C58}"/>
            </c:ext>
          </c:extLst>
        </c:ser>
        <c:ser>
          <c:idx val="2"/>
          <c:order val="2"/>
          <c:tx>
            <c:strRef>
              <c:f>'New Undergrad Students'!$AE$3</c:f>
              <c:strCache>
                <c:ptCount val="1"/>
                <c:pt idx="0">
                  <c:v>Inv-F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Students'!$AE$5:$AE$19</c:f>
              <c:numCache>
                <c:formatCode>General</c:formatCode>
                <c:ptCount val="15"/>
                <c:pt idx="0">
                  <c:v>0.83864876206462446</c:v>
                </c:pt>
                <c:pt idx="1">
                  <c:v>0.84049225883287015</c:v>
                </c:pt>
                <c:pt idx="2">
                  <c:v>0.82772549019607833</c:v>
                </c:pt>
                <c:pt idx="3">
                  <c:v>0.84510809820447053</c:v>
                </c:pt>
                <c:pt idx="4">
                  <c:v>0.83889641164522677</c:v>
                </c:pt>
                <c:pt idx="5">
                  <c:v>0.83539381854436678</c:v>
                </c:pt>
                <c:pt idx="6">
                  <c:v>0.83626482213438735</c:v>
                </c:pt>
                <c:pt idx="7">
                  <c:v>0.82832284339133666</c:v>
                </c:pt>
                <c:pt idx="8">
                  <c:v>0.82741994847258005</c:v>
                </c:pt>
                <c:pt idx="9">
                  <c:v>0.86327579875137705</c:v>
                </c:pt>
                <c:pt idx="10">
                  <c:v>0.85918669131238445</c:v>
                </c:pt>
                <c:pt idx="11">
                  <c:v>0.8725729803122878</c:v>
                </c:pt>
                <c:pt idx="12">
                  <c:v>0.86373056994818653</c:v>
                </c:pt>
                <c:pt idx="13">
                  <c:v>0.85942906574394462</c:v>
                </c:pt>
                <c:pt idx="14">
                  <c:v>0.86009967751392558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1A-4E34-9B7B-C9B09F466C58}"/>
            </c:ext>
          </c:extLst>
        </c:ser>
        <c:ser>
          <c:idx val="3"/>
          <c:order val="3"/>
          <c:tx>
            <c:strRef>
              <c:f>'New Undergrad Students'!$AF$3</c:f>
              <c:strCache>
                <c:ptCount val="1"/>
                <c:pt idx="0">
                  <c:v>Inv-T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'New Undergrad Students'!$A$5:$A$19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'New Undergrad Students'!$AF$5:$AF$19</c:f>
              <c:numCache>
                <c:formatCode>General</c:formatCode>
                <c:ptCount val="15"/>
                <c:pt idx="0">
                  <c:v>0.69321126760563379</c:v>
                </c:pt>
                <c:pt idx="1">
                  <c:v>0.68697049371896002</c:v>
                </c:pt>
                <c:pt idx="2">
                  <c:v>0.68589251439539345</c:v>
                </c:pt>
                <c:pt idx="3">
                  <c:v>0.72052389176741505</c:v>
                </c:pt>
                <c:pt idx="4">
                  <c:v>0.70070403466016784</c:v>
                </c:pt>
                <c:pt idx="5">
                  <c:v>0.71560321715817687</c:v>
                </c:pt>
                <c:pt idx="6">
                  <c:v>0.72656463514621483</c:v>
                </c:pt>
                <c:pt idx="7">
                  <c:v>0.71942257217847771</c:v>
                </c:pt>
                <c:pt idx="8">
                  <c:v>0.71402042711234914</c:v>
                </c:pt>
                <c:pt idx="9">
                  <c:v>0.74235958581738315</c:v>
                </c:pt>
                <c:pt idx="10">
                  <c:v>0.75858518764530058</c:v>
                </c:pt>
                <c:pt idx="11">
                  <c:v>0.75120661157024793</c:v>
                </c:pt>
                <c:pt idx="12">
                  <c:v>0.74209864907320133</c:v>
                </c:pt>
                <c:pt idx="13">
                  <c:v>0.74206621004566209</c:v>
                </c:pt>
                <c:pt idx="14">
                  <c:v>0.74289010672050759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1A-4E34-9B7B-C9B09F46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97280"/>
        <c:axId val="747747360"/>
      </c:lineChart>
      <c:catAx>
        <c:axId val="15769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47747360"/>
        <c:crosses val="autoZero"/>
        <c:auto val="1"/>
        <c:lblAlgn val="ctr"/>
        <c:lblOffset val="100"/>
        <c:noMultiLvlLbl val="0"/>
      </c:catAx>
      <c:valAx>
        <c:axId val="747747360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769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'New Undergrad Students'!$B$31</c:f>
          <c:strCache>
            <c:ptCount val="1"/>
            <c:pt idx="0">
              <c:v>Averages: 1653, 1348, 226, 6224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Students'!$D$3</c:f>
              <c:strCache>
                <c:ptCount val="1"/>
                <c:pt idx="0">
                  <c:v>IN-FTA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2-4A62-9C19-7A75213484FF}"/>
            </c:ext>
          </c:extLst>
        </c:ser>
        <c:ser>
          <c:idx val="1"/>
          <c:order val="1"/>
          <c:tx>
            <c:strRef>
              <c:f>'New Undergrad Students'!$G$3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82-4A62-9C19-7A75213484FF}"/>
            </c:ext>
          </c:extLst>
        </c:ser>
        <c:ser>
          <c:idx val="2"/>
          <c:order val="2"/>
          <c:tx>
            <c:strRef>
              <c:f>'New Undergrad Students'!$J$3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82-4A62-9C19-7A75213484FF}"/>
            </c:ext>
          </c:extLst>
        </c:ser>
        <c:ser>
          <c:idx val="3"/>
          <c:order val="3"/>
          <c:tx>
            <c:strRef>
              <c:f>'New Undergrad Students'!$M$3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82-4A62-9C19-7A75213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7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'New Undergrad Students'!$B$32</c:f>
          <c:strCache>
            <c:ptCount val="1"/>
            <c:pt idx="0">
              <c:v>95%CI: 6.8, 7.7, 8.6; 3.2, 3.5, 3.8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Students'!$N$3</c:f>
              <c:strCache>
                <c:ptCount val="1"/>
                <c:pt idx="0">
                  <c:v>TtGF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Students'!$N$4:$N$19</c:f>
              <c:numCache>
                <c:formatCode>0.0</c:formatCode>
                <c:ptCount val="16"/>
                <c:pt idx="0">
                  <c:v>9.7467248908296948</c:v>
                </c:pt>
                <c:pt idx="1">
                  <c:v>10.451754385964913</c:v>
                </c:pt>
                <c:pt idx="2">
                  <c:v>8.09967845659164</c:v>
                </c:pt>
                <c:pt idx="3">
                  <c:v>8.3606557377049189</c:v>
                </c:pt>
                <c:pt idx="4">
                  <c:v>8.3455657492354742</c:v>
                </c:pt>
                <c:pt idx="5">
                  <c:v>8.8179104477611947</c:v>
                </c:pt>
                <c:pt idx="6">
                  <c:v>7.656488549618321</c:v>
                </c:pt>
                <c:pt idx="7">
                  <c:v>7.3510895883777243</c:v>
                </c:pt>
                <c:pt idx="8">
                  <c:v>6.355294117647059</c:v>
                </c:pt>
                <c:pt idx="9">
                  <c:v>6.626829268292683</c:v>
                </c:pt>
                <c:pt idx="10">
                  <c:v>6.1467268623024829</c:v>
                </c:pt>
                <c:pt idx="11">
                  <c:v>7.044270833333333</c:v>
                </c:pt>
                <c:pt idx="12">
                  <c:v>6.8194444444444446</c:v>
                </c:pt>
                <c:pt idx="13">
                  <c:v>8.1820448877805489</c:v>
                </c:pt>
                <c:pt idx="14">
                  <c:v>6.6564299424184261</c:v>
                </c:pt>
                <c:pt idx="15">
                  <c:v>6.6104651162790695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E62-ACE7-B4BF397A99E9}"/>
            </c:ext>
          </c:extLst>
        </c:ser>
        <c:ser>
          <c:idx val="1"/>
          <c:order val="1"/>
          <c:tx>
            <c:strRef>
              <c:f>'New Undergrad Students'!$O$3</c:f>
              <c:strCache>
                <c:ptCount val="1"/>
                <c:pt idx="0">
                  <c:v>TtGT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Students'!$O$4:$O$19</c:f>
              <c:numCache>
                <c:formatCode>0.0</c:formatCode>
                <c:ptCount val="16"/>
                <c:pt idx="0">
                  <c:v>4.4064837905236907</c:v>
                </c:pt>
                <c:pt idx="1">
                  <c:v>4.0993071593533488</c:v>
                </c:pt>
                <c:pt idx="2">
                  <c:v>3.6069546891464701</c:v>
                </c:pt>
                <c:pt idx="3">
                  <c:v>3.219361483007209</c:v>
                </c:pt>
                <c:pt idx="4">
                  <c:v>3.4430128840436076</c:v>
                </c:pt>
                <c:pt idx="5">
                  <c:v>3.7378542510121457</c:v>
                </c:pt>
                <c:pt idx="6">
                  <c:v>3.5422602089268755</c:v>
                </c:pt>
                <c:pt idx="7">
                  <c:v>3.24955595026643</c:v>
                </c:pt>
                <c:pt idx="8">
                  <c:v>3.395049504950495</c:v>
                </c:pt>
                <c:pt idx="9">
                  <c:v>3.2902240325865582</c:v>
                </c:pt>
                <c:pt idx="10">
                  <c:v>3.0294676806083651</c:v>
                </c:pt>
                <c:pt idx="11">
                  <c:v>3.0977366255144032</c:v>
                </c:pt>
                <c:pt idx="12">
                  <c:v>3.0280280280280278</c:v>
                </c:pt>
                <c:pt idx="13">
                  <c:v>3.5925507900677203</c:v>
                </c:pt>
                <c:pt idx="14">
                  <c:v>4.2836185819070902</c:v>
                </c:pt>
                <c:pt idx="15">
                  <c:v>3.4463220675944335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1-4E62-ACE7-B4BF397A99E9}"/>
            </c:ext>
          </c:extLst>
        </c:ser>
        <c:ser>
          <c:idx val="2"/>
          <c:order val="2"/>
          <c:tx>
            <c:strRef>
              <c:f>'New Undergrad Students'!$Q$3</c:f>
              <c:strCache>
                <c:ptCount val="1"/>
                <c:pt idx="0">
                  <c:v>LCLTtGF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Students'!$Q$4:$Q$19</c:f>
              <c:numCache>
                <c:formatCode>0.0</c:formatCode>
                <c:ptCount val="16"/>
                <c:pt idx="0">
                  <c:v>6.7831650848784832</c:v>
                </c:pt>
                <c:pt idx="1">
                  <c:v>6.7831650848784832</c:v>
                </c:pt>
                <c:pt idx="2">
                  <c:v>6.7831650848784832</c:v>
                </c:pt>
                <c:pt idx="3">
                  <c:v>6.7831650848784832</c:v>
                </c:pt>
                <c:pt idx="4">
                  <c:v>6.7831650848784832</c:v>
                </c:pt>
                <c:pt idx="5">
                  <c:v>6.7831650848784832</c:v>
                </c:pt>
                <c:pt idx="6">
                  <c:v>6.7831650848784832</c:v>
                </c:pt>
                <c:pt idx="7">
                  <c:v>6.7831650848784832</c:v>
                </c:pt>
                <c:pt idx="8">
                  <c:v>6.7831650848784832</c:v>
                </c:pt>
                <c:pt idx="9">
                  <c:v>6.7831650848784832</c:v>
                </c:pt>
                <c:pt idx="10">
                  <c:v>6.7831650848784832</c:v>
                </c:pt>
                <c:pt idx="11">
                  <c:v>6.7831650848784832</c:v>
                </c:pt>
                <c:pt idx="12">
                  <c:v>6.7831650848784832</c:v>
                </c:pt>
                <c:pt idx="13">
                  <c:v>6.7831650848784832</c:v>
                </c:pt>
                <c:pt idx="14">
                  <c:v>6.7831650848784832</c:v>
                </c:pt>
                <c:pt idx="15">
                  <c:v>6.7831650848784832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1-4E62-ACE7-B4BF397A99E9}"/>
            </c:ext>
          </c:extLst>
        </c:ser>
        <c:ser>
          <c:idx val="3"/>
          <c:order val="3"/>
          <c:tx>
            <c:strRef>
              <c:f>'New Undergrad Students'!$R$3</c:f>
              <c:strCache>
                <c:ptCount val="1"/>
                <c:pt idx="0">
                  <c:v>UCLTtGF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Students'!$R$4:$R$19</c:f>
              <c:numCache>
                <c:formatCode>0.0</c:formatCode>
                <c:ptCount val="16"/>
                <c:pt idx="0">
                  <c:v>8.6168349151215171</c:v>
                </c:pt>
                <c:pt idx="1">
                  <c:v>8.6168349151215171</c:v>
                </c:pt>
                <c:pt idx="2">
                  <c:v>8.6168349151215171</c:v>
                </c:pt>
                <c:pt idx="3">
                  <c:v>8.6168349151215171</c:v>
                </c:pt>
                <c:pt idx="4">
                  <c:v>8.6168349151215171</c:v>
                </c:pt>
                <c:pt idx="5">
                  <c:v>8.6168349151215171</c:v>
                </c:pt>
                <c:pt idx="6">
                  <c:v>8.6168349151215171</c:v>
                </c:pt>
                <c:pt idx="7">
                  <c:v>8.6168349151215171</c:v>
                </c:pt>
                <c:pt idx="8">
                  <c:v>8.6168349151215171</c:v>
                </c:pt>
                <c:pt idx="9">
                  <c:v>8.6168349151215171</c:v>
                </c:pt>
                <c:pt idx="10">
                  <c:v>8.6168349151215171</c:v>
                </c:pt>
                <c:pt idx="11">
                  <c:v>8.6168349151215171</c:v>
                </c:pt>
                <c:pt idx="12">
                  <c:v>8.6168349151215171</c:v>
                </c:pt>
                <c:pt idx="13">
                  <c:v>8.6168349151215171</c:v>
                </c:pt>
                <c:pt idx="14">
                  <c:v>8.6168349151215171</c:v>
                </c:pt>
                <c:pt idx="15">
                  <c:v>8.6168349151215171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D1-4E62-ACE7-B4BF397A99E9}"/>
            </c:ext>
          </c:extLst>
        </c:ser>
        <c:ser>
          <c:idx val="5"/>
          <c:order val="4"/>
          <c:tx>
            <c:strRef>
              <c:f>'New Undergrad Students'!$S$3</c:f>
              <c:strCache>
                <c:ptCount val="1"/>
                <c:pt idx="0">
                  <c:v>LCLTtGT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Students'!$S$4:$S$19</c:f>
              <c:numCache>
                <c:formatCode>0.0</c:formatCode>
                <c:ptCount val="16"/>
                <c:pt idx="0">
                  <c:v>3.1892980035752068</c:v>
                </c:pt>
                <c:pt idx="1">
                  <c:v>3.1892980035752068</c:v>
                </c:pt>
                <c:pt idx="2">
                  <c:v>3.1892980035752068</c:v>
                </c:pt>
                <c:pt idx="3">
                  <c:v>3.1892980035752068</c:v>
                </c:pt>
                <c:pt idx="4">
                  <c:v>3.1892980035752068</c:v>
                </c:pt>
                <c:pt idx="5">
                  <c:v>3.1892980035752068</c:v>
                </c:pt>
                <c:pt idx="6">
                  <c:v>3.1892980035752068</c:v>
                </c:pt>
                <c:pt idx="7">
                  <c:v>3.1892980035752068</c:v>
                </c:pt>
                <c:pt idx="8">
                  <c:v>3.1892980035752068</c:v>
                </c:pt>
                <c:pt idx="9">
                  <c:v>3.1892980035752068</c:v>
                </c:pt>
                <c:pt idx="10">
                  <c:v>3.1892980035752068</c:v>
                </c:pt>
                <c:pt idx="11">
                  <c:v>3.1892980035752068</c:v>
                </c:pt>
                <c:pt idx="12">
                  <c:v>3.1892980035752068</c:v>
                </c:pt>
                <c:pt idx="13">
                  <c:v>3.1892980035752068</c:v>
                </c:pt>
                <c:pt idx="14">
                  <c:v>3.1892980035752068</c:v>
                </c:pt>
                <c:pt idx="15">
                  <c:v>3.1892980035752068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D1-4E62-ACE7-B4BF397A99E9}"/>
            </c:ext>
          </c:extLst>
        </c:ser>
        <c:ser>
          <c:idx val="6"/>
          <c:order val="5"/>
          <c:tx>
            <c:strRef>
              <c:f>'New Undergrad Students'!$T$3</c:f>
              <c:strCache>
                <c:ptCount val="1"/>
                <c:pt idx="0">
                  <c:v>UCLTtGT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Students'!$T$4:$T$19</c:f>
              <c:numCache>
                <c:formatCode>0.0</c:formatCode>
                <c:ptCount val="16"/>
                <c:pt idx="0">
                  <c:v>3.8107019964247932</c:v>
                </c:pt>
                <c:pt idx="1">
                  <c:v>3.8107019964247932</c:v>
                </c:pt>
                <c:pt idx="2">
                  <c:v>3.8107019964247932</c:v>
                </c:pt>
                <c:pt idx="3">
                  <c:v>3.8107019964247932</c:v>
                </c:pt>
                <c:pt idx="4">
                  <c:v>3.8107019964247932</c:v>
                </c:pt>
                <c:pt idx="5">
                  <c:v>3.8107019964247932</c:v>
                </c:pt>
                <c:pt idx="6">
                  <c:v>3.8107019964247932</c:v>
                </c:pt>
                <c:pt idx="7">
                  <c:v>3.8107019964247932</c:v>
                </c:pt>
                <c:pt idx="8">
                  <c:v>3.8107019964247932</c:v>
                </c:pt>
                <c:pt idx="9">
                  <c:v>3.8107019964247932</c:v>
                </c:pt>
                <c:pt idx="10">
                  <c:v>3.8107019964247932</c:v>
                </c:pt>
                <c:pt idx="11">
                  <c:v>3.8107019964247932</c:v>
                </c:pt>
                <c:pt idx="12">
                  <c:v>3.8107019964247932</c:v>
                </c:pt>
                <c:pt idx="13">
                  <c:v>3.8107019964247932</c:v>
                </c:pt>
                <c:pt idx="14">
                  <c:v>3.8107019964247932</c:v>
                </c:pt>
                <c:pt idx="15">
                  <c:v>3.8107019964247932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D1-4E62-ACE7-B4BF397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3968"/>
        <c:axId val="355754952"/>
      </c:lineChart>
      <c:catAx>
        <c:axId val="3557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4952"/>
        <c:crosses val="autoZero"/>
        <c:auto val="1"/>
        <c:lblAlgn val="ctr"/>
        <c:lblOffset val="100"/>
        <c:noMultiLvlLbl val="0"/>
      </c:catAx>
      <c:valAx>
        <c:axId val="355754952"/>
        <c:scaling>
          <c:orientation val="minMax"/>
          <c:max val="11"/>
          <c:min val="2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'New Undergrad Students'!$B$33</c:f>
          <c:strCache>
            <c:ptCount val="1"/>
            <c:pt idx="0">
              <c:v>Increase in Freshmen Population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Students'!$V$3</c:f>
              <c:strCache>
                <c:ptCount val="1"/>
                <c:pt idx="0">
                  <c:v>IN-F/IN-T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Students'!$V$4:$V$19</c:f>
              <c:numCache>
                <c:formatCode>#,##0.00</c:formatCode>
                <c:ptCount val="16"/>
                <c:pt idx="0">
                  <c:v>0.62343572241183165</c:v>
                </c:pt>
                <c:pt idx="1">
                  <c:v>0.76078431372549016</c:v>
                </c:pt>
                <c:pt idx="2">
                  <c:v>0.83066666666666666</c:v>
                </c:pt>
                <c:pt idx="3">
                  <c:v>0.75599435825105787</c:v>
                </c:pt>
                <c:pt idx="4">
                  <c:v>0.66767983789260388</c:v>
                </c:pt>
                <c:pt idx="5">
                  <c:v>0.6556420233463035</c:v>
                </c:pt>
                <c:pt idx="6">
                  <c:v>0.67274472168905952</c:v>
                </c:pt>
                <c:pt idx="7">
                  <c:v>0.84598930481283419</c:v>
                </c:pt>
                <c:pt idx="8">
                  <c:v>0.6652452025586354</c:v>
                </c:pt>
                <c:pt idx="9">
                  <c:v>0.648876404494382</c:v>
                </c:pt>
                <c:pt idx="10">
                  <c:v>0.61398728428701177</c:v>
                </c:pt>
                <c:pt idx="11">
                  <c:v>0.64775413711583929</c:v>
                </c:pt>
                <c:pt idx="12">
                  <c:v>0.63815226689478188</c:v>
                </c:pt>
                <c:pt idx="13">
                  <c:v>0.61424100156494521</c:v>
                </c:pt>
                <c:pt idx="14">
                  <c:v>0.59005275056518458</c:v>
                </c:pt>
                <c:pt idx="15">
                  <c:v>0.56644674835061259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B-4301-94C2-D08B9C3520AE}"/>
            </c:ext>
          </c:extLst>
        </c:ser>
        <c:ser>
          <c:idx val="1"/>
          <c:order val="1"/>
          <c:tx>
            <c:strRef>
              <c:f>'New Undergrad Students'!$W$3</c:f>
              <c:strCache>
                <c:ptCount val="1"/>
                <c:pt idx="0">
                  <c:v>HC-F/HC-T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317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Students'!$W$4:$W$19</c:f>
              <c:numCache>
                <c:formatCode>#,##0.00</c:formatCode>
                <c:ptCount val="16"/>
                <c:pt idx="0">
                  <c:v>0.63157894736842102</c:v>
                </c:pt>
                <c:pt idx="1">
                  <c:v>0.67126760563380283</c:v>
                </c:pt>
                <c:pt idx="2">
                  <c:v>0.73590417762196902</c:v>
                </c:pt>
                <c:pt idx="3">
                  <c:v>0.81573896353166986</c:v>
                </c:pt>
                <c:pt idx="4">
                  <c:v>0.78554979850316642</c:v>
                </c:pt>
                <c:pt idx="5">
                  <c:v>0.79989168697535884</c:v>
                </c:pt>
                <c:pt idx="6">
                  <c:v>0.80670241286863276</c:v>
                </c:pt>
                <c:pt idx="7">
                  <c:v>0.82973490024596885</c:v>
                </c:pt>
                <c:pt idx="8">
                  <c:v>0.78769320501603968</c:v>
                </c:pt>
                <c:pt idx="9">
                  <c:v>0.84091612503868773</c:v>
                </c:pt>
                <c:pt idx="10">
                  <c:v>0.85440853467210542</c:v>
                </c:pt>
                <c:pt idx="11">
                  <c:v>0.89837263367651943</c:v>
                </c:pt>
                <c:pt idx="12">
                  <c:v>0.97388429752066119</c:v>
                </c:pt>
                <c:pt idx="13">
                  <c:v>1.0307885642475652</c:v>
                </c:pt>
                <c:pt idx="14">
                  <c:v>0.98972602739726023</c:v>
                </c:pt>
                <c:pt idx="15">
                  <c:v>0.98384770695125467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B-4301-94C2-D08B9C352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89424"/>
        <c:axId val="441106056"/>
      </c:lineChart>
      <c:catAx>
        <c:axId val="446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1106056"/>
        <c:crosses val="autoZero"/>
        <c:auto val="1"/>
        <c:lblAlgn val="ctr"/>
        <c:lblOffset val="100"/>
        <c:noMultiLvlLbl val="0"/>
      </c:catAx>
      <c:valAx>
        <c:axId val="44110605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638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'New Undergrad Students'!$AC$3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Students'!$AC$4:$AC$19</c:f>
              <c:numCache>
                <c:formatCode>General</c:formatCode>
                <c:ptCount val="16"/>
                <c:pt idx="0">
                  <c:v>0.89653284671532851</c:v>
                </c:pt>
                <c:pt idx="1">
                  <c:v>0.88573883161512024</c:v>
                </c:pt>
                <c:pt idx="2">
                  <c:v>0.90272873194221503</c:v>
                </c:pt>
                <c:pt idx="3">
                  <c:v>0.87929104477611941</c:v>
                </c:pt>
                <c:pt idx="4">
                  <c:v>0.88391502276176026</c:v>
                </c:pt>
                <c:pt idx="5">
                  <c:v>0.90934718100890199</c:v>
                </c:pt>
                <c:pt idx="6">
                  <c:v>0.90827389443651929</c:v>
                </c:pt>
                <c:pt idx="7">
                  <c:v>0.87458912768647279</c:v>
                </c:pt>
                <c:pt idx="8">
                  <c:v>0.87387820512820502</c:v>
                </c:pt>
                <c:pt idx="9">
                  <c:v>0.89163059163059155</c:v>
                </c:pt>
                <c:pt idx="10">
                  <c:v>0.90414201183431964</c:v>
                </c:pt>
                <c:pt idx="11">
                  <c:v>0.90656934306569348</c:v>
                </c:pt>
                <c:pt idx="12">
                  <c:v>0.89611260053619302</c:v>
                </c:pt>
                <c:pt idx="13">
                  <c:v>0.89261146496815291</c:v>
                </c:pt>
                <c:pt idx="14">
                  <c:v>0.90383141762452113</c:v>
                </c:pt>
                <c:pt idx="15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7A-4654-9826-8D0FC732E70C}"/>
            </c:ext>
          </c:extLst>
        </c:ser>
        <c:ser>
          <c:idx val="1"/>
          <c:order val="1"/>
          <c:tx>
            <c:strRef>
              <c:f>'New Undergrad Students'!$AD$3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Students'!$AD$4:$AD$19</c:f>
              <c:numCache>
                <c:formatCode>General</c:formatCode>
                <c:ptCount val="16"/>
                <c:pt idx="0">
                  <c:v>0.73219567690557452</c:v>
                </c:pt>
                <c:pt idx="1">
                  <c:v>0.73790849673202619</c:v>
                </c:pt>
                <c:pt idx="2">
                  <c:v>0.71933333333333338</c:v>
                </c:pt>
                <c:pt idx="3">
                  <c:v>0.71988716502115657</c:v>
                </c:pt>
                <c:pt idx="4">
                  <c:v>0.75055724417426539</c:v>
                </c:pt>
                <c:pt idx="5">
                  <c:v>0.72587548638132304</c:v>
                </c:pt>
                <c:pt idx="6">
                  <c:v>0.73944337811900196</c:v>
                </c:pt>
                <c:pt idx="7">
                  <c:v>0.738716577540107</c:v>
                </c:pt>
                <c:pt idx="8">
                  <c:v>0.70501066098081022</c:v>
                </c:pt>
                <c:pt idx="9">
                  <c:v>0.7318352059925094</c:v>
                </c:pt>
                <c:pt idx="10">
                  <c:v>0.7495004541326068</c:v>
                </c:pt>
                <c:pt idx="11">
                  <c:v>0.75874704491725764</c:v>
                </c:pt>
                <c:pt idx="12">
                  <c:v>0.76809238665526092</c:v>
                </c:pt>
                <c:pt idx="13">
                  <c:v>0.74553990610328635</c:v>
                </c:pt>
                <c:pt idx="14">
                  <c:v>0.72471740768651094</c:v>
                </c:pt>
                <c:pt idx="15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7A-4654-9826-8D0FC732E70C}"/>
            </c:ext>
          </c:extLst>
        </c:ser>
        <c:ser>
          <c:idx val="2"/>
          <c:order val="2"/>
          <c:tx>
            <c:strRef>
              <c:f>'New Undergrad Students'!$AE$3</c:f>
              <c:strCache>
                <c:ptCount val="1"/>
                <c:pt idx="0">
                  <c:v>Inv-F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Students'!$AE$4:$AE$19</c:f>
              <c:numCache>
                <c:formatCode>General</c:formatCode>
                <c:ptCount val="16"/>
                <c:pt idx="0">
                  <c:v>0.85085125448028665</c:v>
                </c:pt>
                <c:pt idx="1">
                  <c:v>0.83864876206462446</c:v>
                </c:pt>
                <c:pt idx="2">
                  <c:v>0.84049225883287015</c:v>
                </c:pt>
                <c:pt idx="3">
                  <c:v>0.82772549019607833</c:v>
                </c:pt>
                <c:pt idx="4">
                  <c:v>0.84510809820447053</c:v>
                </c:pt>
                <c:pt idx="5">
                  <c:v>0.83889641164522677</c:v>
                </c:pt>
                <c:pt idx="6">
                  <c:v>0.83539381854436678</c:v>
                </c:pt>
                <c:pt idx="7">
                  <c:v>0.83626482213438735</c:v>
                </c:pt>
                <c:pt idx="8">
                  <c:v>0.82832284339133666</c:v>
                </c:pt>
                <c:pt idx="9">
                  <c:v>0.82741994847258005</c:v>
                </c:pt>
                <c:pt idx="10">
                  <c:v>0.86327579875137705</c:v>
                </c:pt>
                <c:pt idx="11">
                  <c:v>0.85918669131238445</c:v>
                </c:pt>
                <c:pt idx="12">
                  <c:v>0.8725729803122878</c:v>
                </c:pt>
                <c:pt idx="13">
                  <c:v>0.86373056994818653</c:v>
                </c:pt>
                <c:pt idx="14">
                  <c:v>0.85942906574394462</c:v>
                </c:pt>
                <c:pt idx="15">
                  <c:v>0.86009967751392558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A-4654-9826-8D0FC732E70C}"/>
            </c:ext>
          </c:extLst>
        </c:ser>
        <c:ser>
          <c:idx val="3"/>
          <c:order val="3"/>
          <c:tx>
            <c:strRef>
              <c:f>'New Undergrad Students'!$AF$3</c:f>
              <c:strCache>
                <c:ptCount val="1"/>
                <c:pt idx="0">
                  <c:v>Inv-T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Students'!$AF$4:$AF$19</c:f>
              <c:numCache>
                <c:formatCode>General</c:formatCode>
                <c:ptCount val="16"/>
                <c:pt idx="0">
                  <c:v>0.70223542727787203</c:v>
                </c:pt>
                <c:pt idx="1">
                  <c:v>0.69321126760563379</c:v>
                </c:pt>
                <c:pt idx="2">
                  <c:v>0.68697049371896002</c:v>
                </c:pt>
                <c:pt idx="3">
                  <c:v>0.68589251439539345</c:v>
                </c:pt>
                <c:pt idx="4">
                  <c:v>0.72052389176741505</c:v>
                </c:pt>
                <c:pt idx="5">
                  <c:v>0.70070403466016784</c:v>
                </c:pt>
                <c:pt idx="6">
                  <c:v>0.71560321715817687</c:v>
                </c:pt>
                <c:pt idx="7">
                  <c:v>0.72656463514621483</c:v>
                </c:pt>
                <c:pt idx="8">
                  <c:v>0.71942257217847771</c:v>
                </c:pt>
                <c:pt idx="9">
                  <c:v>0.71402042711234914</c:v>
                </c:pt>
                <c:pt idx="10">
                  <c:v>0.74235958581738315</c:v>
                </c:pt>
                <c:pt idx="11">
                  <c:v>0.75858518764530058</c:v>
                </c:pt>
                <c:pt idx="12">
                  <c:v>0.75120661157024793</c:v>
                </c:pt>
                <c:pt idx="13">
                  <c:v>0.74209864907320133</c:v>
                </c:pt>
                <c:pt idx="14">
                  <c:v>0.74206621004566209</c:v>
                </c:pt>
                <c:pt idx="15">
                  <c:v>0.74289010672050759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7A-4654-9826-8D0FC732E70C}"/>
            </c:ext>
          </c:extLst>
        </c:ser>
        <c:ser>
          <c:idx val="4"/>
          <c:order val="4"/>
          <c:tx>
            <c:strRef>
              <c:f>'New Undergrad Students'!$AG$3</c:f>
              <c:strCache>
                <c:ptCount val="1"/>
                <c:pt idx="0">
                  <c:v>Inv-A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Students'!$AG$4:$AG$19</c:f>
              <c:numCache>
                <c:formatCode>#,##0.00</c:formatCode>
                <c:ptCount val="16"/>
                <c:pt idx="0">
                  <c:v>0.75976413458203251</c:v>
                </c:pt>
                <c:pt idx="1">
                  <c:v>0.75162649587055441</c:v>
                </c:pt>
                <c:pt idx="2">
                  <c:v>0.75205318074722316</c:v>
                </c:pt>
                <c:pt idx="3">
                  <c:v>0.74961240310077504</c:v>
                </c:pt>
                <c:pt idx="4">
                  <c:v>0.77533451555698851</c:v>
                </c:pt>
                <c:pt idx="5">
                  <c:v>0.76211824883406032</c:v>
                </c:pt>
                <c:pt idx="6">
                  <c:v>0.76909036949102239</c:v>
                </c:pt>
                <c:pt idx="7">
                  <c:v>0.77631067961165046</c:v>
                </c:pt>
                <c:pt idx="8">
                  <c:v>0.76740619902120732</c:v>
                </c:pt>
                <c:pt idx="9">
                  <c:v>0.76582044384667125</c:v>
                </c:pt>
                <c:pt idx="10">
                  <c:v>0.79807106598984778</c:v>
                </c:pt>
                <c:pt idx="11">
                  <c:v>0.80619314205738279</c:v>
                </c:pt>
                <c:pt idx="12">
                  <c:v>0.81108692011388372</c:v>
                </c:pt>
                <c:pt idx="13">
                  <c:v>0.80383663366336633</c:v>
                </c:pt>
                <c:pt idx="14">
                  <c:v>0.80044463568559954</c:v>
                </c:pt>
                <c:pt idx="15">
                  <c:v>0.80101773771445184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7A-4654-9826-8D0FC732E70C}"/>
            </c:ext>
          </c:extLst>
        </c:ser>
        <c:ser>
          <c:idx val="5"/>
          <c:order val="5"/>
          <c:tx>
            <c:strRef>
              <c:f>'New Undergrad Students'!$AH$3</c:f>
              <c:strCache>
                <c:ptCount val="1"/>
                <c:pt idx="0">
                  <c:v>NotFirst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'New Undergrad Students'!$A$4:$A$19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'New Undergrad Students'!$AH$4:$AH$19</c:f>
              <c:numCache>
                <c:formatCode>General</c:formatCode>
                <c:ptCount val="16"/>
                <c:pt idx="0">
                  <c:v>0.74807559345471286</c:v>
                </c:pt>
                <c:pt idx="1">
                  <c:v>0.73689489751417347</c:v>
                </c:pt>
                <c:pt idx="2">
                  <c:v>0.73687896695119282</c:v>
                </c:pt>
                <c:pt idx="3">
                  <c:v>0.73868201308959591</c:v>
                </c:pt>
                <c:pt idx="4">
                  <c:v>0.76499890278692106</c:v>
                </c:pt>
                <c:pt idx="5">
                  <c:v>0.74958543983822035</c:v>
                </c:pt>
                <c:pt idx="6">
                  <c:v>0.75574459567654118</c:v>
                </c:pt>
                <c:pt idx="7">
                  <c:v>0.76773998792513576</c:v>
                </c:pt>
                <c:pt idx="8">
                  <c:v>0.76567425569176906</c:v>
                </c:pt>
                <c:pt idx="9">
                  <c:v>0.75366610938619549</c:v>
                </c:pt>
                <c:pt idx="10">
                  <c:v>0.79366077909508836</c:v>
                </c:pt>
                <c:pt idx="11">
                  <c:v>0.80275335492827393</c:v>
                </c:pt>
                <c:pt idx="12">
                  <c:v>0.80784023668639049</c:v>
                </c:pt>
                <c:pt idx="13">
                  <c:v>0.80493069756873437</c:v>
                </c:pt>
                <c:pt idx="14">
                  <c:v>0.80446318387494853</c:v>
                </c:pt>
                <c:pt idx="15">
                  <c:v>0.80032592024539873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7A-4654-9826-8D0FC732E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81576"/>
        <c:axId val="359970752"/>
      </c:lineChart>
      <c:catAx>
        <c:axId val="35998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84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9970752"/>
        <c:crosses val="autoZero"/>
        <c:auto val="1"/>
        <c:lblAlgn val="ctr"/>
        <c:lblOffset val="100"/>
        <c:noMultiLvlLbl val="0"/>
      </c:catAx>
      <c:valAx>
        <c:axId val="359970752"/>
        <c:scaling>
          <c:orientation val="minMax"/>
          <c:min val="0.650000000000000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998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200303</xdr:colOff>
      <xdr:row>33</xdr:row>
      <xdr:rowOff>49773</xdr:rowOff>
    </xdr:from>
    <xdr:to>
      <xdr:col>35</xdr:col>
      <xdr:colOff>435713</xdr:colOff>
      <xdr:row>65</xdr:row>
      <xdr:rowOff>45197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222042</xdr:colOff>
      <xdr:row>36</xdr:row>
      <xdr:rowOff>61850</xdr:rowOff>
    </xdr:from>
    <xdr:to>
      <xdr:col>26</xdr:col>
      <xdr:colOff>235650</xdr:colOff>
      <xdr:row>53</xdr:row>
      <xdr:rowOff>82013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48575</xdr:colOff>
      <xdr:row>43</xdr:row>
      <xdr:rowOff>100997</xdr:rowOff>
    </xdr:from>
    <xdr:to>
      <xdr:col>30</xdr:col>
      <xdr:colOff>323659</xdr:colOff>
      <xdr:row>63</xdr:row>
      <xdr:rowOff>955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160310</xdr:colOff>
      <xdr:row>45</xdr:row>
      <xdr:rowOff>37618</xdr:rowOff>
    </xdr:from>
    <xdr:to>
      <xdr:col>23</xdr:col>
      <xdr:colOff>446551</xdr:colOff>
      <xdr:row>79</xdr:row>
      <xdr:rowOff>10975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25309</xdr:colOff>
      <xdr:row>31</xdr:row>
      <xdr:rowOff>98779</xdr:rowOff>
    </xdr:from>
    <xdr:to>
      <xdr:col>39</xdr:col>
      <xdr:colOff>391465</xdr:colOff>
      <xdr:row>50</xdr:row>
      <xdr:rowOff>122930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330869</xdr:colOff>
      <xdr:row>26</xdr:row>
      <xdr:rowOff>56834</xdr:rowOff>
    </xdr:from>
    <xdr:to>
      <xdr:col>18</xdr:col>
      <xdr:colOff>252549</xdr:colOff>
      <xdr:row>45</xdr:row>
      <xdr:rowOff>74234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405137</xdr:colOff>
      <xdr:row>25</xdr:row>
      <xdr:rowOff>20053</xdr:rowOff>
    </xdr:from>
    <xdr:to>
      <xdr:col>25</xdr:col>
      <xdr:colOff>187218</xdr:colOff>
      <xdr:row>43</xdr:row>
      <xdr:rowOff>112449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235617</xdr:colOff>
      <xdr:row>25</xdr:row>
      <xdr:rowOff>122321</xdr:rowOff>
    </xdr:from>
    <xdr:to>
      <xdr:col>9</xdr:col>
      <xdr:colOff>486275</xdr:colOff>
      <xdr:row>45</xdr:row>
      <xdr:rowOff>48126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235617</xdr:colOff>
      <xdr:row>4</xdr:row>
      <xdr:rowOff>2007</xdr:rowOff>
    </xdr:from>
    <xdr:to>
      <xdr:col>16</xdr:col>
      <xdr:colOff>255670</xdr:colOff>
      <xdr:row>23</xdr:row>
      <xdr:rowOff>58154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15</xdr:col>
          <xdr:colOff>333375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300037</xdr:colOff>
      <xdr:row>8</xdr:row>
      <xdr:rowOff>90487</xdr:rowOff>
    </xdr:from>
    <xdr:to>
      <xdr:col>22</xdr:col>
      <xdr:colOff>604837</xdr:colOff>
      <xdr:row>22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12</xdr:row>
      <xdr:rowOff>14287</xdr:rowOff>
    </xdr:from>
    <xdr:to>
      <xdr:col>13</xdr:col>
      <xdr:colOff>57150</xdr:colOff>
      <xdr:row>26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4"/>
  <sheetViews>
    <sheetView tabSelected="1" zoomScale="95" zoomScaleNormal="95" workbookViewId="0">
      <selection activeCell="R24" sqref="R24"/>
    </sheetView>
  </sheetViews>
  <sheetFormatPr defaultColWidth="9.1640625" defaultRowHeight="11.25" x14ac:dyDescent="0.2"/>
  <cols>
    <col min="1" max="1" width="8.1640625" style="22" bestFit="1" customWidth="1"/>
    <col min="2" max="2" width="9" style="3" customWidth="1"/>
    <col min="3" max="3" width="7.6640625" style="3" customWidth="1"/>
    <col min="4" max="4" width="7.83203125" style="3" customWidth="1"/>
    <col min="5" max="5" width="8.83203125" style="3" customWidth="1"/>
    <col min="6" max="7" width="8.1640625" style="3" customWidth="1"/>
    <col min="8" max="8" width="9.33203125" style="3" customWidth="1"/>
    <col min="9" max="9" width="8.1640625" style="3" customWidth="1"/>
    <col min="10" max="10" width="9.5" style="3" customWidth="1"/>
    <col min="11" max="11" width="8.5" style="3" customWidth="1"/>
    <col min="12" max="12" width="6.6640625" style="3" customWidth="1"/>
    <col min="13" max="13" width="7.6640625" style="3" customWidth="1"/>
    <col min="14" max="16" width="7.1640625" style="3" bestFit="1" customWidth="1"/>
    <col min="17" max="17" width="9" style="3" bestFit="1" customWidth="1"/>
    <col min="18" max="18" width="9.1640625" style="3" bestFit="1" customWidth="1"/>
    <col min="19" max="19" width="9" style="3" bestFit="1" customWidth="1"/>
    <col min="20" max="20" width="12.83203125" style="3" bestFit="1" customWidth="1"/>
    <col min="21" max="21" width="5.5" style="3" bestFit="1" customWidth="1"/>
    <col min="22" max="23" width="9" style="3" customWidth="1"/>
    <col min="24" max="24" width="13.33203125" style="2" bestFit="1" customWidth="1"/>
    <col min="25" max="25" width="12.1640625" style="2" bestFit="1" customWidth="1"/>
    <col min="26" max="29" width="9.1640625" style="2"/>
    <col min="30" max="30" width="7.83203125" style="2" customWidth="1"/>
    <col min="31" max="16384" width="9.1640625" style="2"/>
  </cols>
  <sheetData>
    <row r="1" spans="1:69" x14ac:dyDescent="0.2">
      <c r="X1" s="13"/>
      <c r="Z1" s="3"/>
      <c r="AA1" s="3"/>
    </row>
    <row r="2" spans="1:69" ht="12" thickBot="1" x14ac:dyDescent="0.25">
      <c r="B2" s="17" t="s">
        <v>51</v>
      </c>
      <c r="E2" s="17" t="s">
        <v>52</v>
      </c>
      <c r="H2" s="3" t="s">
        <v>53</v>
      </c>
      <c r="K2" s="17" t="s">
        <v>34</v>
      </c>
      <c r="N2" s="17" t="s">
        <v>35</v>
      </c>
      <c r="X2" s="2" t="s">
        <v>30</v>
      </c>
      <c r="Z2" s="2" t="s">
        <v>54</v>
      </c>
      <c r="AC2" s="2" t="s">
        <v>60</v>
      </c>
      <c r="AY2" s="4" t="s">
        <v>0</v>
      </c>
      <c r="BA2" s="20" t="s">
        <v>49</v>
      </c>
      <c r="BB2" s="5">
        <v>2001</v>
      </c>
      <c r="BC2" s="5">
        <v>2002</v>
      </c>
      <c r="BD2" s="5">
        <v>2003</v>
      </c>
      <c r="BE2" s="5">
        <v>2004</v>
      </c>
      <c r="BF2" s="5">
        <v>2005</v>
      </c>
      <c r="BG2" s="5">
        <v>2006</v>
      </c>
      <c r="BH2" s="5">
        <v>2007</v>
      </c>
      <c r="BI2" s="5">
        <v>2008</v>
      </c>
      <c r="BJ2" s="5">
        <v>2009</v>
      </c>
      <c r="BK2" s="5">
        <v>2010</v>
      </c>
      <c r="BL2" s="5">
        <v>2011</v>
      </c>
      <c r="BM2" s="5">
        <v>2012</v>
      </c>
      <c r="BN2" s="5">
        <v>2013</v>
      </c>
      <c r="BO2" s="5">
        <v>2014</v>
      </c>
      <c r="BP2" s="5">
        <v>2015</v>
      </c>
      <c r="BQ2" s="5">
        <v>2016</v>
      </c>
    </row>
    <row r="3" spans="1:69" ht="12" thickBot="1" x14ac:dyDescent="0.25">
      <c r="A3" s="22" t="s">
        <v>33</v>
      </c>
      <c r="B3" s="44" t="s">
        <v>65</v>
      </c>
      <c r="C3" s="45" t="s">
        <v>66</v>
      </c>
      <c r="D3" s="45" t="s">
        <v>67</v>
      </c>
      <c r="E3" s="44" t="s">
        <v>68</v>
      </c>
      <c r="F3" s="45" t="s">
        <v>69</v>
      </c>
      <c r="G3" s="46" t="s">
        <v>70</v>
      </c>
      <c r="H3" s="45" t="s">
        <v>71</v>
      </c>
      <c r="I3" s="45" t="s">
        <v>72</v>
      </c>
      <c r="J3" s="46" t="s">
        <v>73</v>
      </c>
      <c r="K3" s="47" t="s">
        <v>74</v>
      </c>
      <c r="L3" s="47" t="s">
        <v>75</v>
      </c>
      <c r="M3" s="47" t="s">
        <v>76</v>
      </c>
      <c r="N3" s="44" t="s">
        <v>35</v>
      </c>
      <c r="O3" s="45" t="s">
        <v>55</v>
      </c>
      <c r="P3" s="46" t="s">
        <v>36</v>
      </c>
      <c r="Q3" s="30" t="s">
        <v>39</v>
      </c>
      <c r="R3" s="30" t="s">
        <v>40</v>
      </c>
      <c r="S3" s="30" t="s">
        <v>77</v>
      </c>
      <c r="T3" s="30" t="s">
        <v>78</v>
      </c>
      <c r="U3" s="30" t="s">
        <v>36</v>
      </c>
      <c r="V3" s="30" t="s">
        <v>81</v>
      </c>
      <c r="W3" s="30" t="s">
        <v>82</v>
      </c>
      <c r="X3" s="26" t="s">
        <v>37</v>
      </c>
      <c r="Y3" s="28" t="s">
        <v>38</v>
      </c>
      <c r="Z3" s="26" t="s">
        <v>2</v>
      </c>
      <c r="AA3" s="27" t="s">
        <v>3</v>
      </c>
      <c r="AB3" s="28" t="s">
        <v>31</v>
      </c>
      <c r="AC3" s="2" t="s">
        <v>61</v>
      </c>
      <c r="AD3" s="2" t="s">
        <v>62</v>
      </c>
      <c r="AE3" s="2" t="s">
        <v>63</v>
      </c>
      <c r="AF3" s="2" t="s">
        <v>64</v>
      </c>
      <c r="AG3" s="2" t="s">
        <v>85</v>
      </c>
      <c r="AH3" s="2" t="s">
        <v>86</v>
      </c>
      <c r="AJ3" s="55" t="s">
        <v>2</v>
      </c>
      <c r="AK3" s="55" t="s">
        <v>3</v>
      </c>
      <c r="AL3" s="55" t="s">
        <v>4</v>
      </c>
      <c r="AY3" s="4"/>
      <c r="AZ3" s="2" t="s">
        <v>1</v>
      </c>
      <c r="BA3" s="2" t="s">
        <v>2</v>
      </c>
      <c r="BB3" s="6">
        <v>2232</v>
      </c>
      <c r="BC3" s="6">
        <v>2383</v>
      </c>
      <c r="BD3" s="6">
        <v>2519</v>
      </c>
      <c r="BE3" s="6">
        <v>2550</v>
      </c>
      <c r="BF3" s="6">
        <v>2729</v>
      </c>
      <c r="BG3" s="6">
        <v>2954</v>
      </c>
      <c r="BH3" s="6">
        <v>3009</v>
      </c>
      <c r="BI3" s="6">
        <v>3036</v>
      </c>
      <c r="BJ3" s="6">
        <v>2701</v>
      </c>
      <c r="BK3" s="6">
        <v>2717</v>
      </c>
      <c r="BL3" s="6">
        <v>2723</v>
      </c>
      <c r="BM3" s="6">
        <v>2705</v>
      </c>
      <c r="BN3" s="6">
        <v>2946</v>
      </c>
      <c r="BO3" s="6">
        <v>3281</v>
      </c>
      <c r="BP3" s="6">
        <v>3468</v>
      </c>
      <c r="BQ3" s="6">
        <v>3411</v>
      </c>
    </row>
    <row r="4" spans="1:69" x14ac:dyDescent="0.2">
      <c r="A4" s="16">
        <v>2001</v>
      </c>
      <c r="B4" s="52">
        <v>548</v>
      </c>
      <c r="C4" s="53">
        <v>879</v>
      </c>
      <c r="D4" s="53">
        <f t="shared" ref="D4:D19" si="0">B4+C4</f>
        <v>1427</v>
      </c>
      <c r="E4" s="29">
        <v>2232</v>
      </c>
      <c r="F4" s="37">
        <v>3534</v>
      </c>
      <c r="G4" s="38">
        <f t="shared" ref="G4:G19" si="1">SUM(E4:F4)</f>
        <v>5766</v>
      </c>
      <c r="H4" s="37">
        <v>229</v>
      </c>
      <c r="I4" s="37">
        <v>802</v>
      </c>
      <c r="J4" s="37">
        <f t="shared" ref="J4:J19" si="2">H4+I4</f>
        <v>1031</v>
      </c>
      <c r="K4" s="41">
        <v>0</v>
      </c>
      <c r="L4" s="3">
        <v>0</v>
      </c>
      <c r="M4" s="41">
        <v>0</v>
      </c>
      <c r="N4" s="32">
        <f>E4/H4</f>
        <v>9.7467248908296948</v>
      </c>
      <c r="O4" s="32">
        <f>F4/I4</f>
        <v>4.4064837905236907</v>
      </c>
      <c r="P4" s="33">
        <f>G4/J4</f>
        <v>5.59262851600388</v>
      </c>
      <c r="Q4" s="32">
        <f>N$20-N$22</f>
        <v>6.7831650848784832</v>
      </c>
      <c r="R4" s="32">
        <f>N$20+N$22</f>
        <v>8.6168349151215171</v>
      </c>
      <c r="S4" s="32">
        <f>O$20-O$22</f>
        <v>3.1892980035752068</v>
      </c>
      <c r="T4" s="32">
        <f>O$20+O$22</f>
        <v>3.8107019964247932</v>
      </c>
      <c r="U4" s="8">
        <f>$P$20</f>
        <v>4.7</v>
      </c>
      <c r="V4" s="10">
        <f>B4/C4</f>
        <v>0.62343572241183165</v>
      </c>
      <c r="W4" s="10">
        <f>E4/F4</f>
        <v>0.63157894736842102</v>
      </c>
      <c r="X4" s="56">
        <v>491.3</v>
      </c>
      <c r="Y4" s="56">
        <v>643.6</v>
      </c>
      <c r="Z4" s="8">
        <v>1899.1</v>
      </c>
      <c r="AA4" s="8">
        <v>2481.6999999999998</v>
      </c>
      <c r="AB4" s="36">
        <f>SUM(Z4:AA4)</f>
        <v>4380.7999999999993</v>
      </c>
      <c r="AC4" s="2">
        <f>X4/B4</f>
        <v>0.89653284671532851</v>
      </c>
      <c r="AD4" s="55">
        <f>Y4/C4</f>
        <v>0.73219567690557452</v>
      </c>
      <c r="AE4" s="2">
        <f>Z4/E4</f>
        <v>0.85085125448028665</v>
      </c>
      <c r="AF4" s="55">
        <f>AA4/F4</f>
        <v>0.70223542727787203</v>
      </c>
      <c r="AG4" s="57">
        <f>AB4/G4</f>
        <v>0.75976413458203251</v>
      </c>
      <c r="AH4" s="2">
        <f>(AB4-SUM(X4:Y4))/(G4-SUM(B4:C4))</f>
        <v>0.74807559345471286</v>
      </c>
      <c r="AL4" s="56">
        <v>1134.9000000000001</v>
      </c>
      <c r="AN4" s="2" t="s">
        <v>45</v>
      </c>
      <c r="AO4" s="2" t="s">
        <v>42</v>
      </c>
      <c r="AP4" s="2" t="s">
        <v>41</v>
      </c>
      <c r="AQ4" s="2" t="s">
        <v>43</v>
      </c>
      <c r="AR4" s="2" t="s">
        <v>44</v>
      </c>
      <c r="AS4" s="2" t="s">
        <v>46</v>
      </c>
      <c r="AT4" s="2" t="s">
        <v>47</v>
      </c>
      <c r="AU4" s="2" t="s">
        <v>48</v>
      </c>
      <c r="AY4" s="4"/>
      <c r="BA4" s="2" t="s">
        <v>3</v>
      </c>
      <c r="BB4" s="6">
        <v>3534</v>
      </c>
      <c r="BC4" s="6">
        <v>3550</v>
      </c>
      <c r="BD4" s="6">
        <v>3423</v>
      </c>
      <c r="BE4" s="6">
        <v>3126</v>
      </c>
      <c r="BF4" s="6">
        <v>3474</v>
      </c>
      <c r="BG4" s="6">
        <v>3693</v>
      </c>
      <c r="BH4" s="6">
        <v>3730</v>
      </c>
      <c r="BI4" s="6">
        <v>3659</v>
      </c>
      <c r="BJ4" s="6">
        <v>3429</v>
      </c>
      <c r="BK4" s="6">
        <v>3231</v>
      </c>
      <c r="BL4" s="6">
        <v>3187</v>
      </c>
      <c r="BM4" s="6">
        <v>3011</v>
      </c>
      <c r="BN4" s="6">
        <v>3025</v>
      </c>
      <c r="BO4" s="6">
        <v>3183</v>
      </c>
      <c r="BP4" s="6">
        <v>3504</v>
      </c>
      <c r="BQ4" s="6">
        <v>3467</v>
      </c>
    </row>
    <row r="5" spans="1:69" x14ac:dyDescent="0.2">
      <c r="A5" s="16">
        <v>2002</v>
      </c>
      <c r="B5" s="29">
        <v>582</v>
      </c>
      <c r="C5" s="37">
        <v>765</v>
      </c>
      <c r="D5" s="37">
        <f t="shared" si="0"/>
        <v>1347</v>
      </c>
      <c r="E5" s="29">
        <v>2383</v>
      </c>
      <c r="F5" s="37">
        <v>3550</v>
      </c>
      <c r="G5" s="38">
        <f t="shared" si="1"/>
        <v>5933</v>
      </c>
      <c r="H5" s="37">
        <v>228</v>
      </c>
      <c r="I5" s="37">
        <v>866</v>
      </c>
      <c r="J5" s="37">
        <f t="shared" si="2"/>
        <v>1094</v>
      </c>
      <c r="K5" s="42">
        <f>E4+B5-H5-E5</f>
        <v>203</v>
      </c>
      <c r="L5" s="42">
        <f>F4+C5-I5-F5</f>
        <v>-117</v>
      </c>
      <c r="M5" s="42">
        <f>G4+D5-J5-G5</f>
        <v>86</v>
      </c>
      <c r="N5" s="32">
        <f t="shared" ref="N5:N19" si="3">E5/H5</f>
        <v>10.451754385964913</v>
      </c>
      <c r="O5" s="32">
        <f t="shared" ref="O5:O19" si="4">F5/I5</f>
        <v>4.0993071593533488</v>
      </c>
      <c r="P5" s="33">
        <f t="shared" ref="P5:P19" si="5">G5/J5</f>
        <v>5.4232175502742228</v>
      </c>
      <c r="Q5" s="32">
        <f t="shared" ref="Q5:Q19" si="6">N$20-N$22</f>
        <v>6.7831650848784832</v>
      </c>
      <c r="R5" s="32">
        <f t="shared" ref="R5:R19" si="7">N$20+N$22</f>
        <v>8.6168349151215171</v>
      </c>
      <c r="S5" s="32">
        <f t="shared" ref="S5:S19" si="8">O$20-O$22</f>
        <v>3.1892980035752068</v>
      </c>
      <c r="T5" s="32">
        <f t="shared" ref="T5:T19" si="9">O$20+O$22</f>
        <v>3.8107019964247932</v>
      </c>
      <c r="U5" s="8">
        <f t="shared" ref="U5:U19" si="10">$P$20</f>
        <v>4.7</v>
      </c>
      <c r="V5" s="10">
        <f t="shared" ref="V5:V19" si="11">B5/C5</f>
        <v>0.76078431372549016</v>
      </c>
      <c r="W5" s="10">
        <f t="shared" ref="W5:W19" si="12">E5/F5</f>
        <v>0.67126760563380283</v>
      </c>
      <c r="X5" s="56">
        <v>515.5</v>
      </c>
      <c r="Y5" s="56">
        <v>564.5</v>
      </c>
      <c r="Z5" s="8">
        <v>1998.5</v>
      </c>
      <c r="AA5" s="8">
        <v>2460.9</v>
      </c>
      <c r="AB5" s="36">
        <f t="shared" ref="AB5:AB19" si="13">SUM(Z5:AA5)</f>
        <v>4459.3999999999996</v>
      </c>
      <c r="AC5" s="55">
        <f t="shared" ref="AC5:AD19" si="14">X5/B5</f>
        <v>0.88573883161512024</v>
      </c>
      <c r="AD5" s="55">
        <f t="shared" si="14"/>
        <v>0.73790849673202619</v>
      </c>
      <c r="AE5" s="55">
        <f t="shared" ref="AE5:AF19" si="15">Z5/E5</f>
        <v>0.83864876206462446</v>
      </c>
      <c r="AF5" s="55">
        <f t="shared" si="15"/>
        <v>0.69321126760563379</v>
      </c>
      <c r="AG5" s="57">
        <f t="shared" ref="AG5:AG19" si="16">AB5/G5</f>
        <v>0.75162649587055441</v>
      </c>
      <c r="AH5" s="55">
        <f t="shared" ref="AH5:AH19" si="17">(AB5-SUM(X5:Y5))/(G5-SUM(B5:C5))</f>
        <v>0.73689489751417347</v>
      </c>
      <c r="AL5" s="56">
        <v>1080</v>
      </c>
      <c r="AN5" s="12">
        <v>4459.3999999999996</v>
      </c>
      <c r="AO5" s="19" t="e">
        <f>#REF!/B4</f>
        <v>#REF!</v>
      </c>
      <c r="AP5" s="19" t="e">
        <f>#REF!/C4</f>
        <v>#REF!</v>
      </c>
      <c r="AQ5" s="19">
        <f>SUM(X5:Y5)/SUM(B4:C4)</f>
        <v>0.75683251576734412</v>
      </c>
      <c r="AR5" s="2">
        <f>(AN5-SUM(X5:Y5))/(G5-SUM(B5:C5))</f>
        <v>0.73689489751417347</v>
      </c>
      <c r="AS5" s="18" t="e">
        <f t="shared" ref="AS5:AS20" si="18">$AO$21</f>
        <v>#REF!</v>
      </c>
      <c r="AT5" s="18" t="e">
        <f t="shared" ref="AT5:AT20" si="19">$AP$21</f>
        <v>#REF!</v>
      </c>
      <c r="AU5" s="18">
        <f t="shared" ref="AU5:AU20" si="20">$AR$21</f>
        <v>0.79</v>
      </c>
      <c r="AY5" s="4"/>
      <c r="BA5" s="2" t="s">
        <v>50</v>
      </c>
      <c r="BB5" s="6">
        <v>5766</v>
      </c>
      <c r="BC5" s="6">
        <v>5933</v>
      </c>
      <c r="BD5" s="6">
        <v>5942</v>
      </c>
      <c r="BE5" s="6">
        <v>5676</v>
      </c>
      <c r="BF5" s="6">
        <v>6203</v>
      </c>
      <c r="BG5" s="6">
        <v>6647</v>
      </c>
      <c r="BH5" s="6">
        <v>6739</v>
      </c>
      <c r="BI5" s="6">
        <v>6695</v>
      </c>
      <c r="BJ5" s="6">
        <v>6130</v>
      </c>
      <c r="BK5" s="6">
        <v>5948</v>
      </c>
      <c r="BL5" s="6">
        <v>5910</v>
      </c>
      <c r="BM5" s="6">
        <v>5716</v>
      </c>
      <c r="BN5" s="6">
        <v>5971</v>
      </c>
      <c r="BO5" s="6">
        <v>6464</v>
      </c>
      <c r="BP5" s="6">
        <v>6972</v>
      </c>
      <c r="BQ5" s="6">
        <v>6878</v>
      </c>
    </row>
    <row r="6" spans="1:69" x14ac:dyDescent="0.2">
      <c r="A6" s="16">
        <v>2003</v>
      </c>
      <c r="B6" s="29">
        <v>623</v>
      </c>
      <c r="C6" s="37">
        <v>750</v>
      </c>
      <c r="D6" s="37">
        <f t="shared" si="0"/>
        <v>1373</v>
      </c>
      <c r="E6" s="29">
        <v>2519</v>
      </c>
      <c r="F6" s="37">
        <v>3423</v>
      </c>
      <c r="G6" s="38">
        <f t="shared" si="1"/>
        <v>5942</v>
      </c>
      <c r="H6" s="37">
        <v>311</v>
      </c>
      <c r="I6" s="37">
        <v>949</v>
      </c>
      <c r="J6" s="37">
        <f t="shared" si="2"/>
        <v>1260</v>
      </c>
      <c r="K6" s="42">
        <f t="shared" ref="K6:K19" si="21">E5+B6-H6-E6</f>
        <v>176</v>
      </c>
      <c r="L6" s="42">
        <f t="shared" ref="L6:L19" si="22">F5+C6-I6-F6</f>
        <v>-72</v>
      </c>
      <c r="M6" s="42">
        <f t="shared" ref="M6:M19" si="23">G5+D6-J6-G6</f>
        <v>104</v>
      </c>
      <c r="N6" s="32">
        <f t="shared" si="3"/>
        <v>8.09967845659164</v>
      </c>
      <c r="O6" s="32">
        <f t="shared" si="4"/>
        <v>3.6069546891464701</v>
      </c>
      <c r="P6" s="33">
        <f t="shared" si="5"/>
        <v>4.715873015873016</v>
      </c>
      <c r="Q6" s="32">
        <f t="shared" si="6"/>
        <v>6.7831650848784832</v>
      </c>
      <c r="R6" s="32">
        <f t="shared" si="7"/>
        <v>8.6168349151215171</v>
      </c>
      <c r="S6" s="32">
        <f t="shared" si="8"/>
        <v>3.1892980035752068</v>
      </c>
      <c r="T6" s="32">
        <f t="shared" si="9"/>
        <v>3.8107019964247932</v>
      </c>
      <c r="U6" s="8">
        <f t="shared" si="10"/>
        <v>4.7</v>
      </c>
      <c r="V6" s="10">
        <f t="shared" si="11"/>
        <v>0.83066666666666666</v>
      </c>
      <c r="W6" s="10">
        <f t="shared" si="12"/>
        <v>0.73590417762196902</v>
      </c>
      <c r="X6" s="56">
        <v>562.4</v>
      </c>
      <c r="Y6" s="56">
        <v>539.5</v>
      </c>
      <c r="Z6" s="8">
        <v>2117.1999999999998</v>
      </c>
      <c r="AA6" s="8">
        <v>2351.5</v>
      </c>
      <c r="AB6" s="36">
        <f t="shared" si="13"/>
        <v>4468.7</v>
      </c>
      <c r="AC6" s="55">
        <f t="shared" si="14"/>
        <v>0.90272873194221503</v>
      </c>
      <c r="AD6" s="55">
        <f t="shared" si="14"/>
        <v>0.71933333333333338</v>
      </c>
      <c r="AE6" s="55">
        <f t="shared" si="15"/>
        <v>0.84049225883287015</v>
      </c>
      <c r="AF6" s="55">
        <f t="shared" si="15"/>
        <v>0.68697049371896002</v>
      </c>
      <c r="AG6" s="57">
        <f t="shared" si="16"/>
        <v>0.75205318074722316</v>
      </c>
      <c r="AH6" s="55">
        <f t="shared" si="17"/>
        <v>0.73687896695119282</v>
      </c>
      <c r="AL6" s="56">
        <v>1101.9000000000001</v>
      </c>
      <c r="AN6" s="12">
        <v>4468.7</v>
      </c>
      <c r="AO6" s="19" t="e">
        <f>#REF!/B5</f>
        <v>#REF!</v>
      </c>
      <c r="AP6" s="19" t="e">
        <f>#REF!/C5</f>
        <v>#REF!</v>
      </c>
      <c r="AQ6" s="19">
        <f>SUM(X6:Y6)/SUM(B5:C5)</f>
        <v>0.81804008908685977</v>
      </c>
      <c r="AR6" s="2">
        <f>(AN6-SUM(X6:Y6))/(G6-SUM(B6:C6))</f>
        <v>0.73687896695119282</v>
      </c>
      <c r="AS6" s="18" t="e">
        <f t="shared" si="18"/>
        <v>#REF!</v>
      </c>
      <c r="AT6" s="18" t="e">
        <f t="shared" si="19"/>
        <v>#REF!</v>
      </c>
      <c r="AU6" s="18">
        <f t="shared" si="20"/>
        <v>0.79</v>
      </c>
      <c r="AY6" s="4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1:69" x14ac:dyDescent="0.2">
      <c r="A7" s="16">
        <v>2004</v>
      </c>
      <c r="B7" s="29">
        <v>536</v>
      </c>
      <c r="C7" s="37">
        <v>709</v>
      </c>
      <c r="D7" s="37">
        <f t="shared" si="0"/>
        <v>1245</v>
      </c>
      <c r="E7" s="29">
        <v>2550</v>
      </c>
      <c r="F7" s="37">
        <v>3126</v>
      </c>
      <c r="G7" s="38">
        <f t="shared" si="1"/>
        <v>5676</v>
      </c>
      <c r="H7" s="37">
        <v>305</v>
      </c>
      <c r="I7" s="37">
        <v>971</v>
      </c>
      <c r="J7" s="37">
        <f t="shared" si="2"/>
        <v>1276</v>
      </c>
      <c r="K7" s="42">
        <f t="shared" si="21"/>
        <v>200</v>
      </c>
      <c r="L7" s="42">
        <f t="shared" si="22"/>
        <v>35</v>
      </c>
      <c r="M7" s="42">
        <f t="shared" si="23"/>
        <v>235</v>
      </c>
      <c r="N7" s="32">
        <f t="shared" si="3"/>
        <v>8.3606557377049189</v>
      </c>
      <c r="O7" s="32">
        <f t="shared" si="4"/>
        <v>3.219361483007209</v>
      </c>
      <c r="P7" s="33">
        <f t="shared" si="5"/>
        <v>4.4482758620689653</v>
      </c>
      <c r="Q7" s="32">
        <f t="shared" si="6"/>
        <v>6.7831650848784832</v>
      </c>
      <c r="R7" s="32">
        <f t="shared" si="7"/>
        <v>8.6168349151215171</v>
      </c>
      <c r="S7" s="32">
        <f t="shared" si="8"/>
        <v>3.1892980035752068</v>
      </c>
      <c r="T7" s="32">
        <f t="shared" si="9"/>
        <v>3.8107019964247932</v>
      </c>
      <c r="U7" s="8">
        <f t="shared" si="10"/>
        <v>4.7</v>
      </c>
      <c r="V7" s="10">
        <f t="shared" si="11"/>
        <v>0.75599435825105787</v>
      </c>
      <c r="W7" s="10">
        <f t="shared" si="12"/>
        <v>0.81573896353166986</v>
      </c>
      <c r="X7" s="56">
        <v>471.3</v>
      </c>
      <c r="Y7" s="56">
        <v>510.4</v>
      </c>
      <c r="Z7" s="8">
        <v>2110.6999999999998</v>
      </c>
      <c r="AA7" s="8">
        <v>2144.1</v>
      </c>
      <c r="AB7" s="36">
        <f t="shared" si="13"/>
        <v>4254.7999999999993</v>
      </c>
      <c r="AC7" s="55">
        <f t="shared" si="14"/>
        <v>0.87929104477611941</v>
      </c>
      <c r="AD7" s="55">
        <f t="shared" si="14"/>
        <v>0.71988716502115657</v>
      </c>
      <c r="AE7" s="55">
        <f t="shared" si="15"/>
        <v>0.82772549019607833</v>
      </c>
      <c r="AF7" s="55">
        <f t="shared" si="15"/>
        <v>0.68589251439539345</v>
      </c>
      <c r="AG7" s="57">
        <f t="shared" si="16"/>
        <v>0.74961240310077504</v>
      </c>
      <c r="AH7" s="55">
        <f t="shared" si="17"/>
        <v>0.73868201308959591</v>
      </c>
      <c r="AL7" s="56">
        <v>981.7</v>
      </c>
      <c r="AN7" s="12">
        <v>4254.8</v>
      </c>
      <c r="AO7" s="19" t="e">
        <f>#REF!/B6</f>
        <v>#REF!</v>
      </c>
      <c r="AP7" s="19" t="e">
        <f>#REF!/C6</f>
        <v>#REF!</v>
      </c>
      <c r="AQ7" s="19">
        <f>SUM(X7:Y7)/SUM(B6:C6)</f>
        <v>0.71500364166059727</v>
      </c>
      <c r="AR7" s="2">
        <f>(AN7-SUM(X7:Y7))/(G7-SUM(B7:C7))</f>
        <v>0.73868201308959613</v>
      </c>
      <c r="AS7" s="18" t="e">
        <f t="shared" si="18"/>
        <v>#REF!</v>
      </c>
      <c r="AT7" s="18" t="e">
        <f t="shared" si="19"/>
        <v>#REF!</v>
      </c>
      <c r="AU7" s="18">
        <f t="shared" si="20"/>
        <v>0.79</v>
      </c>
      <c r="AY7" s="4"/>
      <c r="AZ7" s="2" t="s">
        <v>5</v>
      </c>
      <c r="BA7" s="2" t="s">
        <v>2</v>
      </c>
      <c r="BB7" s="6">
        <v>11130</v>
      </c>
      <c r="BC7" s="6">
        <v>12181</v>
      </c>
      <c r="BD7" s="6">
        <v>12752</v>
      </c>
      <c r="BE7" s="6">
        <v>12577</v>
      </c>
      <c r="BF7" s="6">
        <v>13623</v>
      </c>
      <c r="BG7" s="6">
        <v>14305</v>
      </c>
      <c r="BH7" s="6">
        <v>14882</v>
      </c>
      <c r="BI7" s="6">
        <v>15759</v>
      </c>
      <c r="BJ7" s="6">
        <v>15481</v>
      </c>
      <c r="BK7" s="6">
        <v>16735</v>
      </c>
      <c r="BL7" s="6">
        <v>17980</v>
      </c>
      <c r="BM7" s="6">
        <v>17675</v>
      </c>
      <c r="BN7" s="6">
        <v>19635</v>
      </c>
      <c r="BO7" s="6">
        <v>20706</v>
      </c>
      <c r="BP7" s="6">
        <v>21462</v>
      </c>
      <c r="BQ7" s="6">
        <v>20763</v>
      </c>
    </row>
    <row r="8" spans="1:69" x14ac:dyDescent="0.2">
      <c r="A8" s="16">
        <v>2005</v>
      </c>
      <c r="B8" s="29">
        <v>659</v>
      </c>
      <c r="C8" s="37">
        <v>987</v>
      </c>
      <c r="D8" s="37">
        <f t="shared" si="0"/>
        <v>1646</v>
      </c>
      <c r="E8" s="29">
        <v>2729</v>
      </c>
      <c r="F8" s="37">
        <v>3474</v>
      </c>
      <c r="G8" s="38">
        <f t="shared" si="1"/>
        <v>6203</v>
      </c>
      <c r="H8" s="37">
        <v>327</v>
      </c>
      <c r="I8" s="37">
        <v>1009</v>
      </c>
      <c r="J8" s="37">
        <f t="shared" si="2"/>
        <v>1336</v>
      </c>
      <c r="K8" s="42">
        <f t="shared" si="21"/>
        <v>153</v>
      </c>
      <c r="L8" s="42">
        <f t="shared" si="22"/>
        <v>-370</v>
      </c>
      <c r="M8" s="42">
        <f t="shared" si="23"/>
        <v>-217</v>
      </c>
      <c r="N8" s="32">
        <f t="shared" si="3"/>
        <v>8.3455657492354742</v>
      </c>
      <c r="O8" s="32">
        <f t="shared" si="4"/>
        <v>3.4430128840436076</v>
      </c>
      <c r="P8" s="33">
        <f t="shared" si="5"/>
        <v>4.6429640718562872</v>
      </c>
      <c r="Q8" s="32">
        <f t="shared" si="6"/>
        <v>6.7831650848784832</v>
      </c>
      <c r="R8" s="32">
        <f t="shared" si="7"/>
        <v>8.6168349151215171</v>
      </c>
      <c r="S8" s="32">
        <f t="shared" si="8"/>
        <v>3.1892980035752068</v>
      </c>
      <c r="T8" s="32">
        <f t="shared" si="9"/>
        <v>3.8107019964247932</v>
      </c>
      <c r="U8" s="8">
        <f t="shared" si="10"/>
        <v>4.7</v>
      </c>
      <c r="V8" s="10">
        <f t="shared" si="11"/>
        <v>0.66767983789260388</v>
      </c>
      <c r="W8" s="10">
        <f t="shared" si="12"/>
        <v>0.78554979850316642</v>
      </c>
      <c r="X8" s="56">
        <v>582.5</v>
      </c>
      <c r="Y8" s="56">
        <v>740.8</v>
      </c>
      <c r="Z8" s="8">
        <v>2306.3000000000002</v>
      </c>
      <c r="AA8" s="8">
        <v>2503.1</v>
      </c>
      <c r="AB8" s="36">
        <f t="shared" si="13"/>
        <v>4809.3999999999996</v>
      </c>
      <c r="AC8" s="55">
        <f t="shared" si="14"/>
        <v>0.88391502276176026</v>
      </c>
      <c r="AD8" s="55">
        <f t="shared" si="14"/>
        <v>0.75055724417426539</v>
      </c>
      <c r="AE8" s="55">
        <f t="shared" si="15"/>
        <v>0.84510809820447053</v>
      </c>
      <c r="AF8" s="55">
        <f t="shared" si="15"/>
        <v>0.72052389176741505</v>
      </c>
      <c r="AG8" s="57">
        <f t="shared" si="16"/>
        <v>0.77533451555698851</v>
      </c>
      <c r="AH8" s="55">
        <f t="shared" si="17"/>
        <v>0.76499890278692106</v>
      </c>
      <c r="AL8" s="56">
        <v>1323.3</v>
      </c>
      <c r="AN8" s="12">
        <v>4809.3</v>
      </c>
      <c r="AO8" s="19" t="e">
        <f>#REF!/B7</f>
        <v>#REF!</v>
      </c>
      <c r="AP8" s="19" t="e">
        <f>#REF!/C7</f>
        <v>#REF!</v>
      </c>
      <c r="AQ8" s="19">
        <f>SUM(X8:Y8)/SUM(B7:C7)</f>
        <v>1.0628915662650602</v>
      </c>
      <c r="AR8" s="2">
        <f>(AN8-SUM(X8:Y8))/(G8-SUM(B8:C8))</f>
        <v>0.76497695852534564</v>
      </c>
      <c r="AS8" s="18" t="e">
        <f t="shared" si="18"/>
        <v>#REF!</v>
      </c>
      <c r="AT8" s="18" t="e">
        <f t="shared" si="19"/>
        <v>#REF!</v>
      </c>
      <c r="AU8" s="18">
        <f t="shared" si="20"/>
        <v>0.79</v>
      </c>
      <c r="AY8" s="4"/>
      <c r="BA8" s="2" t="s">
        <v>3</v>
      </c>
      <c r="BB8" s="6">
        <v>13333</v>
      </c>
      <c r="BC8" s="6">
        <v>13600</v>
      </c>
      <c r="BD8" s="6">
        <v>13021</v>
      </c>
      <c r="BE8" s="6">
        <v>12076</v>
      </c>
      <c r="BF8" s="6">
        <v>13231</v>
      </c>
      <c r="BG8" s="6">
        <v>13976</v>
      </c>
      <c r="BH8" s="6">
        <v>14602</v>
      </c>
      <c r="BI8" s="6">
        <v>14476</v>
      </c>
      <c r="BJ8" s="6">
        <v>13794</v>
      </c>
      <c r="BK8" s="6">
        <v>13145</v>
      </c>
      <c r="BL8" s="6">
        <v>13524</v>
      </c>
      <c r="BM8" s="6">
        <v>13444</v>
      </c>
      <c r="BN8" s="6">
        <v>13763</v>
      </c>
      <c r="BO8" s="6">
        <v>14500</v>
      </c>
      <c r="BP8" s="6">
        <v>15455</v>
      </c>
      <c r="BQ8" s="6">
        <v>14789</v>
      </c>
    </row>
    <row r="9" spans="1:69" x14ac:dyDescent="0.2">
      <c r="A9" s="16">
        <v>2006</v>
      </c>
      <c r="B9" s="29">
        <v>674</v>
      </c>
      <c r="C9" s="37">
        <v>1028</v>
      </c>
      <c r="D9" s="37">
        <f t="shared" si="0"/>
        <v>1702</v>
      </c>
      <c r="E9" s="29">
        <v>2954</v>
      </c>
      <c r="F9" s="37">
        <v>3693</v>
      </c>
      <c r="G9" s="38">
        <f t="shared" si="1"/>
        <v>6647</v>
      </c>
      <c r="H9" s="37">
        <v>335</v>
      </c>
      <c r="I9" s="37">
        <v>988</v>
      </c>
      <c r="J9" s="37">
        <f t="shared" si="2"/>
        <v>1323</v>
      </c>
      <c r="K9" s="42">
        <f t="shared" si="21"/>
        <v>114</v>
      </c>
      <c r="L9" s="42">
        <f t="shared" si="22"/>
        <v>-179</v>
      </c>
      <c r="M9" s="42">
        <f t="shared" si="23"/>
        <v>-65</v>
      </c>
      <c r="N9" s="32">
        <f t="shared" si="3"/>
        <v>8.8179104477611947</v>
      </c>
      <c r="O9" s="32">
        <f t="shared" si="4"/>
        <v>3.7378542510121457</v>
      </c>
      <c r="P9" s="33">
        <f t="shared" si="5"/>
        <v>5.0241874527588815</v>
      </c>
      <c r="Q9" s="32">
        <f t="shared" si="6"/>
        <v>6.7831650848784832</v>
      </c>
      <c r="R9" s="32">
        <f t="shared" si="7"/>
        <v>8.6168349151215171</v>
      </c>
      <c r="S9" s="32">
        <f t="shared" si="8"/>
        <v>3.1892980035752068</v>
      </c>
      <c r="T9" s="32">
        <f t="shared" si="9"/>
        <v>3.8107019964247932</v>
      </c>
      <c r="U9" s="8">
        <f t="shared" si="10"/>
        <v>4.7</v>
      </c>
      <c r="V9" s="10">
        <f t="shared" si="11"/>
        <v>0.6556420233463035</v>
      </c>
      <c r="W9" s="10">
        <f t="shared" si="12"/>
        <v>0.79989168697535884</v>
      </c>
      <c r="X9" s="56">
        <v>612.9</v>
      </c>
      <c r="Y9" s="56">
        <v>746.2</v>
      </c>
      <c r="Z9" s="8">
        <v>2478.1</v>
      </c>
      <c r="AA9" s="8">
        <v>2587.6999999999998</v>
      </c>
      <c r="AB9" s="36">
        <f t="shared" si="13"/>
        <v>5065.7999999999993</v>
      </c>
      <c r="AC9" s="55">
        <f t="shared" si="14"/>
        <v>0.90934718100890199</v>
      </c>
      <c r="AD9" s="55">
        <f t="shared" si="14"/>
        <v>0.72587548638132304</v>
      </c>
      <c r="AE9" s="55">
        <f t="shared" si="15"/>
        <v>0.83889641164522677</v>
      </c>
      <c r="AF9" s="55">
        <f t="shared" si="15"/>
        <v>0.70070403466016784</v>
      </c>
      <c r="AG9" s="57">
        <f t="shared" si="16"/>
        <v>0.76211824883406032</v>
      </c>
      <c r="AH9" s="55">
        <f t="shared" si="17"/>
        <v>0.74958543983822035</v>
      </c>
      <c r="AL9" s="56">
        <v>1359.1</v>
      </c>
      <c r="AN9" s="12">
        <v>5065.8</v>
      </c>
      <c r="AO9" s="19" t="e">
        <f>#REF!/B8</f>
        <v>#REF!</v>
      </c>
      <c r="AP9" s="19" t="e">
        <f>#REF!/C8</f>
        <v>#REF!</v>
      </c>
      <c r="AQ9" s="19">
        <f>SUM(X9:Y9)/SUM(B8:C8)</f>
        <v>0.82569866342648846</v>
      </c>
      <c r="AR9" s="2">
        <f>(AN9-SUM(X9:Y9))/(G9-SUM(B9:C9))</f>
        <v>0.74958543983822046</v>
      </c>
      <c r="AS9" s="18" t="e">
        <f t="shared" si="18"/>
        <v>#REF!</v>
      </c>
      <c r="AT9" s="18" t="e">
        <f t="shared" si="19"/>
        <v>#REF!</v>
      </c>
      <c r="AU9" s="18">
        <f t="shared" si="20"/>
        <v>0.79</v>
      </c>
      <c r="AY9" s="4"/>
      <c r="BA9" s="2" t="s">
        <v>50</v>
      </c>
      <c r="BB9" s="6">
        <v>24463</v>
      </c>
      <c r="BC9" s="6">
        <v>25781</v>
      </c>
      <c r="BD9" s="6">
        <v>25773</v>
      </c>
      <c r="BE9" s="6">
        <v>24653</v>
      </c>
      <c r="BF9" s="6">
        <v>26854</v>
      </c>
      <c r="BG9" s="6">
        <v>28281</v>
      </c>
      <c r="BH9" s="6">
        <v>29484</v>
      </c>
      <c r="BI9" s="6">
        <v>30235</v>
      </c>
      <c r="BJ9" s="6">
        <v>29275</v>
      </c>
      <c r="BK9" s="6">
        <v>29880</v>
      </c>
      <c r="BL9" s="6">
        <v>31504</v>
      </c>
      <c r="BM9" s="6">
        <v>31119</v>
      </c>
      <c r="BN9" s="6">
        <v>33398</v>
      </c>
      <c r="BO9" s="6">
        <v>35206</v>
      </c>
      <c r="BP9" s="6">
        <v>36917</v>
      </c>
      <c r="BQ9" s="6">
        <v>35552</v>
      </c>
    </row>
    <row r="10" spans="1:69" x14ac:dyDescent="0.2">
      <c r="A10" s="16">
        <v>2007</v>
      </c>
      <c r="B10" s="29">
        <v>701</v>
      </c>
      <c r="C10" s="37">
        <v>1042</v>
      </c>
      <c r="D10" s="37">
        <f t="shared" si="0"/>
        <v>1743</v>
      </c>
      <c r="E10" s="29">
        <v>3009</v>
      </c>
      <c r="F10" s="37">
        <v>3730</v>
      </c>
      <c r="G10" s="38">
        <f t="shared" si="1"/>
        <v>6739</v>
      </c>
      <c r="H10" s="37">
        <v>393</v>
      </c>
      <c r="I10" s="37">
        <v>1053</v>
      </c>
      <c r="J10" s="37">
        <f t="shared" si="2"/>
        <v>1446</v>
      </c>
      <c r="K10" s="42">
        <f t="shared" si="21"/>
        <v>253</v>
      </c>
      <c r="L10" s="42">
        <f t="shared" si="22"/>
        <v>-48</v>
      </c>
      <c r="M10" s="42">
        <f t="shared" si="23"/>
        <v>205</v>
      </c>
      <c r="N10" s="32">
        <f t="shared" si="3"/>
        <v>7.656488549618321</v>
      </c>
      <c r="O10" s="32">
        <f t="shared" si="4"/>
        <v>3.5422602089268755</v>
      </c>
      <c r="P10" s="33">
        <f t="shared" si="5"/>
        <v>4.6604426002766255</v>
      </c>
      <c r="Q10" s="32">
        <f t="shared" si="6"/>
        <v>6.7831650848784832</v>
      </c>
      <c r="R10" s="32">
        <f t="shared" si="7"/>
        <v>8.6168349151215171</v>
      </c>
      <c r="S10" s="32">
        <f t="shared" si="8"/>
        <v>3.1892980035752068</v>
      </c>
      <c r="T10" s="32">
        <f t="shared" si="9"/>
        <v>3.8107019964247932</v>
      </c>
      <c r="U10" s="8">
        <f t="shared" si="10"/>
        <v>4.7</v>
      </c>
      <c r="V10" s="10">
        <f t="shared" si="11"/>
        <v>0.67274472168905952</v>
      </c>
      <c r="W10" s="10">
        <f t="shared" si="12"/>
        <v>0.80670241286863276</v>
      </c>
      <c r="X10" s="56">
        <v>636.70000000000005</v>
      </c>
      <c r="Y10" s="56">
        <v>770.5</v>
      </c>
      <c r="Z10" s="8">
        <v>2513.6999999999998</v>
      </c>
      <c r="AA10" s="8">
        <v>2669.2</v>
      </c>
      <c r="AB10" s="36">
        <f t="shared" si="13"/>
        <v>5182.8999999999996</v>
      </c>
      <c r="AC10" s="55">
        <f t="shared" si="14"/>
        <v>0.90827389443651929</v>
      </c>
      <c r="AD10" s="55">
        <f t="shared" si="14"/>
        <v>0.73944337811900196</v>
      </c>
      <c r="AE10" s="55">
        <f t="shared" si="15"/>
        <v>0.83539381854436678</v>
      </c>
      <c r="AF10" s="55">
        <f t="shared" si="15"/>
        <v>0.71560321715817687</v>
      </c>
      <c r="AG10" s="57">
        <f t="shared" si="16"/>
        <v>0.76909036949102239</v>
      </c>
      <c r="AH10" s="55">
        <f t="shared" si="17"/>
        <v>0.75574459567654118</v>
      </c>
      <c r="AL10" s="56">
        <v>1407.1</v>
      </c>
      <c r="AN10" s="12">
        <v>5182.8999999999996</v>
      </c>
      <c r="AO10" s="19" t="e">
        <f>#REF!/B9</f>
        <v>#REF!</v>
      </c>
      <c r="AP10" s="19" t="e">
        <f>#REF!/C9</f>
        <v>#REF!</v>
      </c>
      <c r="AQ10" s="19">
        <f>SUM(X10:Y10)/SUM(B9:C9)</f>
        <v>0.82679200940070507</v>
      </c>
      <c r="AR10" s="2">
        <f>(AN10-SUM(X10:Y10))/(G10-SUM(B10:C10))</f>
        <v>0.75574459567654118</v>
      </c>
      <c r="AS10" s="18" t="e">
        <f t="shared" si="18"/>
        <v>#REF!</v>
      </c>
      <c r="AT10" s="18" t="e">
        <f t="shared" si="19"/>
        <v>#REF!</v>
      </c>
      <c r="AU10" s="18">
        <f t="shared" si="20"/>
        <v>0.79</v>
      </c>
      <c r="AY10" s="4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x14ac:dyDescent="0.2">
      <c r="A11" s="16">
        <v>2008</v>
      </c>
      <c r="B11" s="29">
        <v>791</v>
      </c>
      <c r="C11" s="37">
        <v>935</v>
      </c>
      <c r="D11" s="37">
        <f t="shared" si="0"/>
        <v>1726</v>
      </c>
      <c r="E11" s="29">
        <v>3036</v>
      </c>
      <c r="F11" s="37">
        <v>3659</v>
      </c>
      <c r="G11" s="38">
        <f t="shared" si="1"/>
        <v>6695</v>
      </c>
      <c r="H11" s="37">
        <v>413</v>
      </c>
      <c r="I11" s="37">
        <v>1126</v>
      </c>
      <c r="J11" s="37">
        <f t="shared" si="2"/>
        <v>1539</v>
      </c>
      <c r="K11" s="42">
        <f t="shared" si="21"/>
        <v>351</v>
      </c>
      <c r="L11" s="42">
        <f t="shared" si="22"/>
        <v>-120</v>
      </c>
      <c r="M11" s="42">
        <f t="shared" si="23"/>
        <v>231</v>
      </c>
      <c r="N11" s="32">
        <f t="shared" si="3"/>
        <v>7.3510895883777243</v>
      </c>
      <c r="O11" s="32">
        <f t="shared" si="4"/>
        <v>3.24955595026643</v>
      </c>
      <c r="P11" s="33">
        <f t="shared" si="5"/>
        <v>4.3502274204028586</v>
      </c>
      <c r="Q11" s="32">
        <f t="shared" si="6"/>
        <v>6.7831650848784832</v>
      </c>
      <c r="R11" s="32">
        <f t="shared" si="7"/>
        <v>8.6168349151215171</v>
      </c>
      <c r="S11" s="32">
        <f t="shared" si="8"/>
        <v>3.1892980035752068</v>
      </c>
      <c r="T11" s="32">
        <f t="shared" si="9"/>
        <v>3.8107019964247932</v>
      </c>
      <c r="U11" s="8">
        <f t="shared" si="10"/>
        <v>4.7</v>
      </c>
      <c r="V11" s="10">
        <f t="shared" si="11"/>
        <v>0.84598930481283419</v>
      </c>
      <c r="W11" s="10">
        <f t="shared" si="12"/>
        <v>0.82973490024596885</v>
      </c>
      <c r="X11" s="56">
        <v>691.8</v>
      </c>
      <c r="Y11" s="56">
        <v>690.7</v>
      </c>
      <c r="Z11" s="8">
        <v>2538.9</v>
      </c>
      <c r="AA11" s="8">
        <v>2658.5</v>
      </c>
      <c r="AB11" s="36">
        <f t="shared" si="13"/>
        <v>5197.3999999999996</v>
      </c>
      <c r="AC11" s="55">
        <f t="shared" si="14"/>
        <v>0.87458912768647279</v>
      </c>
      <c r="AD11" s="55">
        <f t="shared" si="14"/>
        <v>0.738716577540107</v>
      </c>
      <c r="AE11" s="55">
        <f t="shared" si="15"/>
        <v>0.83626482213438735</v>
      </c>
      <c r="AF11" s="55">
        <f t="shared" si="15"/>
        <v>0.72656463514621483</v>
      </c>
      <c r="AG11" s="57">
        <f t="shared" si="16"/>
        <v>0.77631067961165046</v>
      </c>
      <c r="AH11" s="55">
        <f t="shared" si="17"/>
        <v>0.76773998792513576</v>
      </c>
      <c r="AL11" s="56">
        <v>1382.5</v>
      </c>
      <c r="AN11" s="12">
        <v>5197.3999999999996</v>
      </c>
      <c r="AO11" s="19" t="e">
        <f>#REF!/B10</f>
        <v>#REF!</v>
      </c>
      <c r="AP11" s="19" t="e">
        <f>#REF!/C10</f>
        <v>#REF!</v>
      </c>
      <c r="AQ11" s="19">
        <f>SUM(X11:Y11)/SUM(B10:C10)</f>
        <v>0.79317269076305219</v>
      </c>
      <c r="AR11" s="2">
        <f>(AN11-SUM(X11:Y11))/(G11-SUM(B11:C11))</f>
        <v>0.76773998792513576</v>
      </c>
      <c r="AS11" s="18" t="e">
        <f t="shared" si="18"/>
        <v>#REF!</v>
      </c>
      <c r="AT11" s="18" t="e">
        <f t="shared" si="19"/>
        <v>#REF!</v>
      </c>
      <c r="AU11" s="18">
        <f t="shared" si="20"/>
        <v>0.79</v>
      </c>
      <c r="AY11" s="4" t="s">
        <v>6</v>
      </c>
      <c r="BB11" s="5">
        <v>2001</v>
      </c>
      <c r="BC11" s="5">
        <v>2002</v>
      </c>
      <c r="BD11" s="5">
        <v>2003</v>
      </c>
      <c r="BE11" s="5">
        <v>2004</v>
      </c>
      <c r="BF11" s="5">
        <v>2005</v>
      </c>
      <c r="BG11" s="5">
        <v>2006</v>
      </c>
      <c r="BH11" s="5">
        <v>2007</v>
      </c>
      <c r="BI11" s="5">
        <v>2008</v>
      </c>
      <c r="BJ11" s="5">
        <v>2009</v>
      </c>
      <c r="BK11" s="5">
        <v>2010</v>
      </c>
      <c r="BL11" s="5">
        <v>2011</v>
      </c>
      <c r="BM11" s="5">
        <v>2012</v>
      </c>
      <c r="BN11" s="5">
        <v>2013</v>
      </c>
      <c r="BO11" s="5">
        <v>2014</v>
      </c>
      <c r="BP11" s="5">
        <v>2015</v>
      </c>
      <c r="BQ11" s="5">
        <v>2016</v>
      </c>
    </row>
    <row r="12" spans="1:69" x14ac:dyDescent="0.2">
      <c r="A12" s="16">
        <v>2009</v>
      </c>
      <c r="B12" s="29">
        <v>624</v>
      </c>
      <c r="C12" s="37">
        <v>938</v>
      </c>
      <c r="D12" s="37">
        <f t="shared" si="0"/>
        <v>1562</v>
      </c>
      <c r="E12" s="29">
        <v>2701</v>
      </c>
      <c r="F12" s="37">
        <v>3429</v>
      </c>
      <c r="G12" s="38">
        <f t="shared" si="1"/>
        <v>6130</v>
      </c>
      <c r="H12" s="37">
        <v>425</v>
      </c>
      <c r="I12" s="37">
        <v>1010</v>
      </c>
      <c r="J12" s="37">
        <f t="shared" si="2"/>
        <v>1435</v>
      </c>
      <c r="K12" s="42">
        <f t="shared" si="21"/>
        <v>534</v>
      </c>
      <c r="L12" s="42">
        <f t="shared" si="22"/>
        <v>158</v>
      </c>
      <c r="M12" s="42">
        <f t="shared" si="23"/>
        <v>692</v>
      </c>
      <c r="N12" s="32">
        <f t="shared" si="3"/>
        <v>6.355294117647059</v>
      </c>
      <c r="O12" s="32">
        <f t="shared" si="4"/>
        <v>3.395049504950495</v>
      </c>
      <c r="P12" s="33">
        <f t="shared" si="5"/>
        <v>4.2717770034843205</v>
      </c>
      <c r="Q12" s="32">
        <f t="shared" si="6"/>
        <v>6.7831650848784832</v>
      </c>
      <c r="R12" s="32">
        <f t="shared" si="7"/>
        <v>8.6168349151215171</v>
      </c>
      <c r="S12" s="32">
        <f t="shared" si="8"/>
        <v>3.1892980035752068</v>
      </c>
      <c r="T12" s="32">
        <f t="shared" si="9"/>
        <v>3.8107019964247932</v>
      </c>
      <c r="U12" s="8">
        <f t="shared" si="10"/>
        <v>4.7</v>
      </c>
      <c r="V12" s="10">
        <f t="shared" si="11"/>
        <v>0.6652452025586354</v>
      </c>
      <c r="W12" s="10">
        <f t="shared" si="12"/>
        <v>0.78769320501603968</v>
      </c>
      <c r="X12" s="56">
        <v>545.29999999999995</v>
      </c>
      <c r="Y12" s="56">
        <v>661.3</v>
      </c>
      <c r="Z12" s="8">
        <v>2237.3000000000002</v>
      </c>
      <c r="AA12" s="8">
        <v>2466.9</v>
      </c>
      <c r="AB12" s="36">
        <f t="shared" si="13"/>
        <v>4704.2000000000007</v>
      </c>
      <c r="AC12" s="55">
        <f t="shared" si="14"/>
        <v>0.87387820512820502</v>
      </c>
      <c r="AD12" s="55">
        <f t="shared" si="14"/>
        <v>0.70501066098081022</v>
      </c>
      <c r="AE12" s="55">
        <f t="shared" si="15"/>
        <v>0.82832284339133666</v>
      </c>
      <c r="AF12" s="55">
        <f t="shared" si="15"/>
        <v>0.71942257217847771</v>
      </c>
      <c r="AG12" s="57">
        <f t="shared" si="16"/>
        <v>0.76740619902120732</v>
      </c>
      <c r="AH12" s="55">
        <f t="shared" si="17"/>
        <v>0.76567425569176906</v>
      </c>
      <c r="AL12" s="56">
        <v>1206.5</v>
      </c>
      <c r="AN12" s="12">
        <v>4704.2</v>
      </c>
      <c r="AO12" s="19" t="e">
        <f>#REF!/B11</f>
        <v>#REF!</v>
      </c>
      <c r="AP12" s="19" t="e">
        <f>#REF!/C11</f>
        <v>#REF!</v>
      </c>
      <c r="AQ12" s="19">
        <f>SUM(X12:Y12)/SUM(B11:C11)</f>
        <v>0.69907300115874849</v>
      </c>
      <c r="AR12" s="2">
        <f>(AN12-SUM(X12:Y12))/(G12-SUM(B12:C12))</f>
        <v>0.76567425569176883</v>
      </c>
      <c r="AS12" s="18" t="e">
        <f t="shared" si="18"/>
        <v>#REF!</v>
      </c>
      <c r="AT12" s="18" t="e">
        <f t="shared" si="19"/>
        <v>#REF!</v>
      </c>
      <c r="AU12" s="18">
        <f t="shared" si="20"/>
        <v>0.79</v>
      </c>
      <c r="AY12" s="4"/>
      <c r="AZ12" s="2" t="s">
        <v>1</v>
      </c>
      <c r="BA12" s="2" t="s">
        <v>2</v>
      </c>
      <c r="BB12" s="8">
        <v>1899.1</v>
      </c>
      <c r="BC12" s="8">
        <v>1998.5</v>
      </c>
      <c r="BD12" s="8">
        <v>2117.1999999999998</v>
      </c>
      <c r="BE12" s="8">
        <v>2110.6999999999998</v>
      </c>
      <c r="BF12" s="8">
        <v>2306.3000000000002</v>
      </c>
      <c r="BG12" s="8">
        <v>2478.1</v>
      </c>
      <c r="BH12" s="8">
        <v>2513.6999999999998</v>
      </c>
      <c r="BI12" s="8">
        <v>2538.9</v>
      </c>
      <c r="BJ12" s="8">
        <v>2237.3000000000002</v>
      </c>
      <c r="BK12" s="8">
        <v>2248.1</v>
      </c>
      <c r="BL12" s="8">
        <v>2350.6999999999998</v>
      </c>
      <c r="BM12" s="8">
        <v>2324.1</v>
      </c>
      <c r="BN12" s="8">
        <v>2570.6</v>
      </c>
      <c r="BO12" s="8">
        <v>2833.9</v>
      </c>
      <c r="BP12" s="8">
        <v>2980.5</v>
      </c>
      <c r="BQ12" s="8">
        <v>2933.8</v>
      </c>
    </row>
    <row r="13" spans="1:69" x14ac:dyDescent="0.2">
      <c r="A13" s="16">
        <v>2010</v>
      </c>
      <c r="B13" s="29">
        <v>693</v>
      </c>
      <c r="C13" s="37">
        <v>1068</v>
      </c>
      <c r="D13" s="37">
        <f t="shared" si="0"/>
        <v>1761</v>
      </c>
      <c r="E13" s="29">
        <v>2717</v>
      </c>
      <c r="F13" s="37">
        <v>3231</v>
      </c>
      <c r="G13" s="38">
        <f t="shared" si="1"/>
        <v>5948</v>
      </c>
      <c r="H13" s="37">
        <v>410</v>
      </c>
      <c r="I13" s="37">
        <v>982</v>
      </c>
      <c r="J13" s="37">
        <f t="shared" si="2"/>
        <v>1392</v>
      </c>
      <c r="K13" s="42">
        <f t="shared" si="21"/>
        <v>267</v>
      </c>
      <c r="L13" s="42">
        <f t="shared" si="22"/>
        <v>284</v>
      </c>
      <c r="M13" s="42">
        <f t="shared" si="23"/>
        <v>551</v>
      </c>
      <c r="N13" s="32">
        <f t="shared" si="3"/>
        <v>6.626829268292683</v>
      </c>
      <c r="O13" s="32">
        <f t="shared" si="4"/>
        <v>3.2902240325865582</v>
      </c>
      <c r="P13" s="33">
        <f t="shared" si="5"/>
        <v>4.2729885057471266</v>
      </c>
      <c r="Q13" s="32">
        <f t="shared" si="6"/>
        <v>6.7831650848784832</v>
      </c>
      <c r="R13" s="32">
        <f t="shared" si="7"/>
        <v>8.6168349151215171</v>
      </c>
      <c r="S13" s="32">
        <f t="shared" si="8"/>
        <v>3.1892980035752068</v>
      </c>
      <c r="T13" s="32">
        <f t="shared" si="9"/>
        <v>3.8107019964247932</v>
      </c>
      <c r="U13" s="8">
        <f t="shared" si="10"/>
        <v>4.7</v>
      </c>
      <c r="V13" s="10">
        <f t="shared" si="11"/>
        <v>0.648876404494382</v>
      </c>
      <c r="W13" s="10">
        <f t="shared" si="12"/>
        <v>0.84091612503868773</v>
      </c>
      <c r="X13" s="56">
        <v>617.9</v>
      </c>
      <c r="Y13" s="56">
        <v>781.6</v>
      </c>
      <c r="Z13" s="8">
        <v>2248.1</v>
      </c>
      <c r="AA13" s="8">
        <v>2307</v>
      </c>
      <c r="AB13" s="36">
        <f>SUM(Z13:AA13)</f>
        <v>4555.1000000000004</v>
      </c>
      <c r="AC13" s="55">
        <f t="shared" si="14"/>
        <v>0.89163059163059155</v>
      </c>
      <c r="AD13" s="55">
        <f t="shared" si="14"/>
        <v>0.7318352059925094</v>
      </c>
      <c r="AE13" s="55">
        <f t="shared" si="15"/>
        <v>0.82741994847258005</v>
      </c>
      <c r="AF13" s="55">
        <f t="shared" si="15"/>
        <v>0.71402042711234914</v>
      </c>
      <c r="AG13" s="57">
        <f t="shared" si="16"/>
        <v>0.76582044384667125</v>
      </c>
      <c r="AH13" s="55">
        <f t="shared" si="17"/>
        <v>0.75366610938619549</v>
      </c>
      <c r="AL13" s="56">
        <v>1399.5</v>
      </c>
      <c r="AN13" s="12">
        <v>4555.1000000000004</v>
      </c>
      <c r="AO13" s="19" t="e">
        <f>#REF!/B12</f>
        <v>#REF!</v>
      </c>
      <c r="AP13" s="19" t="e">
        <f>#REF!/C12</f>
        <v>#REF!</v>
      </c>
      <c r="AQ13" s="19">
        <f>SUM(X13:Y13)/SUM(B12:C12)</f>
        <v>0.89596670934699107</v>
      </c>
      <c r="AR13" s="2">
        <f>(AN13-SUM(X13:Y13))/(G13-SUM(B13:C13))</f>
        <v>0.75366610938619549</v>
      </c>
      <c r="AS13" s="18" t="e">
        <f t="shared" si="18"/>
        <v>#REF!</v>
      </c>
      <c r="AT13" s="18" t="e">
        <f t="shared" si="19"/>
        <v>#REF!</v>
      </c>
      <c r="AU13" s="18">
        <f t="shared" si="20"/>
        <v>0.79</v>
      </c>
      <c r="AY13" s="4"/>
      <c r="BA13" s="2" t="s">
        <v>3</v>
      </c>
      <c r="BB13" s="8">
        <v>2481.6999999999998</v>
      </c>
      <c r="BC13" s="8">
        <v>2460.9</v>
      </c>
      <c r="BD13" s="8">
        <v>2351.5</v>
      </c>
      <c r="BE13" s="8">
        <v>2144.1</v>
      </c>
      <c r="BF13" s="8">
        <v>2503.1</v>
      </c>
      <c r="BG13" s="8">
        <v>2587.6999999999998</v>
      </c>
      <c r="BH13" s="8">
        <v>2669.2</v>
      </c>
      <c r="BI13" s="8">
        <v>2658.5</v>
      </c>
      <c r="BJ13" s="8">
        <v>2466.9</v>
      </c>
      <c r="BK13" s="8">
        <v>2307</v>
      </c>
      <c r="BL13" s="8">
        <v>2365.9</v>
      </c>
      <c r="BM13" s="8">
        <v>2284.1</v>
      </c>
      <c r="BN13" s="8">
        <v>2272.4</v>
      </c>
      <c r="BO13" s="8">
        <v>2362.1</v>
      </c>
      <c r="BP13" s="8">
        <v>2600.1999999999998</v>
      </c>
      <c r="BQ13" s="8">
        <v>2575.6</v>
      </c>
    </row>
    <row r="14" spans="1:69" x14ac:dyDescent="0.2">
      <c r="A14" s="16">
        <v>2011</v>
      </c>
      <c r="B14" s="29">
        <v>676</v>
      </c>
      <c r="C14" s="37">
        <v>1101</v>
      </c>
      <c r="D14" s="37">
        <f t="shared" si="0"/>
        <v>1777</v>
      </c>
      <c r="E14" s="29">
        <v>2723</v>
      </c>
      <c r="F14" s="37">
        <v>3187</v>
      </c>
      <c r="G14" s="38">
        <f t="shared" si="1"/>
        <v>5910</v>
      </c>
      <c r="H14" s="37">
        <v>443</v>
      </c>
      <c r="I14" s="37">
        <v>1052</v>
      </c>
      <c r="J14" s="37">
        <f t="shared" si="2"/>
        <v>1495</v>
      </c>
      <c r="K14" s="42">
        <f t="shared" si="21"/>
        <v>227</v>
      </c>
      <c r="L14" s="42">
        <f t="shared" si="22"/>
        <v>93</v>
      </c>
      <c r="M14" s="42">
        <f t="shared" si="23"/>
        <v>320</v>
      </c>
      <c r="N14" s="32">
        <f t="shared" si="3"/>
        <v>6.1467268623024829</v>
      </c>
      <c r="O14" s="32">
        <f t="shared" si="4"/>
        <v>3.0294676806083651</v>
      </c>
      <c r="P14" s="33">
        <f t="shared" si="5"/>
        <v>3.9531772575250836</v>
      </c>
      <c r="Q14" s="32">
        <f t="shared" si="6"/>
        <v>6.7831650848784832</v>
      </c>
      <c r="R14" s="32">
        <f t="shared" si="7"/>
        <v>8.6168349151215171</v>
      </c>
      <c r="S14" s="32">
        <f t="shared" si="8"/>
        <v>3.1892980035752068</v>
      </c>
      <c r="T14" s="32">
        <f t="shared" si="9"/>
        <v>3.8107019964247932</v>
      </c>
      <c r="U14" s="8">
        <f t="shared" si="10"/>
        <v>4.7</v>
      </c>
      <c r="V14" s="10">
        <f t="shared" si="11"/>
        <v>0.61398728428701177</v>
      </c>
      <c r="W14" s="10">
        <f t="shared" si="12"/>
        <v>0.85440853467210542</v>
      </c>
      <c r="X14" s="56">
        <v>611.20000000000005</v>
      </c>
      <c r="Y14" s="56">
        <v>825.2</v>
      </c>
      <c r="Z14" s="8">
        <v>2350.6999999999998</v>
      </c>
      <c r="AA14" s="8">
        <v>2365.9</v>
      </c>
      <c r="AB14" s="36">
        <f t="shared" si="13"/>
        <v>4716.6000000000004</v>
      </c>
      <c r="AC14" s="55">
        <f t="shared" si="14"/>
        <v>0.90414201183431964</v>
      </c>
      <c r="AD14" s="55">
        <f t="shared" si="14"/>
        <v>0.7495004541326068</v>
      </c>
      <c r="AE14" s="55">
        <f t="shared" si="15"/>
        <v>0.86327579875137705</v>
      </c>
      <c r="AF14" s="55">
        <f t="shared" si="15"/>
        <v>0.74235958581738315</v>
      </c>
      <c r="AG14" s="57">
        <f t="shared" si="16"/>
        <v>0.79807106598984778</v>
      </c>
      <c r="AH14" s="55">
        <f t="shared" si="17"/>
        <v>0.79366077909508836</v>
      </c>
      <c r="AL14" s="56">
        <v>1436.4</v>
      </c>
      <c r="AN14" s="12">
        <v>4716.7</v>
      </c>
      <c r="AO14" s="19" t="e">
        <f>#REF!/B13</f>
        <v>#REF!</v>
      </c>
      <c r="AP14" s="19" t="e">
        <f>#REF!/C13</f>
        <v>#REF!</v>
      </c>
      <c r="AQ14" s="19">
        <f>SUM(X14:Y14)/SUM(B13:C13)</f>
        <v>0.81567291311754686</v>
      </c>
      <c r="AR14" s="2">
        <f>(AN14-SUM(X14:Y14))/(G14-SUM(B14:C14))</f>
        <v>0.79368497459472531</v>
      </c>
      <c r="AS14" s="18" t="e">
        <f t="shared" si="18"/>
        <v>#REF!</v>
      </c>
      <c r="AT14" s="18" t="e">
        <f t="shared" si="19"/>
        <v>#REF!</v>
      </c>
      <c r="AU14" s="18">
        <f t="shared" si="20"/>
        <v>0.79</v>
      </c>
      <c r="AY14" s="4"/>
      <c r="BA14" s="2" t="s">
        <v>50</v>
      </c>
      <c r="BB14" s="8">
        <v>4380.8</v>
      </c>
      <c r="BC14" s="8">
        <v>4459.3999999999996</v>
      </c>
      <c r="BD14" s="8">
        <v>4468.7</v>
      </c>
      <c r="BE14" s="8">
        <v>4254.8</v>
      </c>
      <c r="BF14" s="8">
        <v>4809.3</v>
      </c>
      <c r="BG14" s="8">
        <v>5065.8</v>
      </c>
      <c r="BH14" s="8">
        <v>5182.8999999999996</v>
      </c>
      <c r="BI14" s="8">
        <v>5197.3999999999996</v>
      </c>
      <c r="BJ14" s="8">
        <v>4704.2</v>
      </c>
      <c r="BK14" s="8">
        <v>4555.1000000000004</v>
      </c>
      <c r="BL14" s="8">
        <v>4716.7</v>
      </c>
      <c r="BM14" s="8">
        <v>4608.2</v>
      </c>
      <c r="BN14" s="8">
        <v>4843</v>
      </c>
      <c r="BO14" s="8">
        <v>5196</v>
      </c>
      <c r="BP14" s="8">
        <v>5580.7</v>
      </c>
      <c r="BQ14" s="8">
        <v>5509.4</v>
      </c>
    </row>
    <row r="15" spans="1:69" x14ac:dyDescent="0.2">
      <c r="A15" s="16">
        <v>2012</v>
      </c>
      <c r="B15" s="29">
        <v>548</v>
      </c>
      <c r="C15" s="37">
        <v>846</v>
      </c>
      <c r="D15" s="37">
        <f t="shared" si="0"/>
        <v>1394</v>
      </c>
      <c r="E15" s="29">
        <v>2705</v>
      </c>
      <c r="F15" s="37">
        <v>3011</v>
      </c>
      <c r="G15" s="38">
        <f t="shared" si="1"/>
        <v>5716</v>
      </c>
      <c r="H15" s="37">
        <v>384</v>
      </c>
      <c r="I15" s="37">
        <v>972</v>
      </c>
      <c r="J15" s="37">
        <f t="shared" si="2"/>
        <v>1356</v>
      </c>
      <c r="K15" s="42">
        <f t="shared" si="21"/>
        <v>182</v>
      </c>
      <c r="L15" s="42">
        <f t="shared" si="22"/>
        <v>50</v>
      </c>
      <c r="M15" s="42">
        <f t="shared" si="23"/>
        <v>232</v>
      </c>
      <c r="N15" s="32">
        <f t="shared" si="3"/>
        <v>7.044270833333333</v>
      </c>
      <c r="O15" s="32">
        <f t="shared" si="4"/>
        <v>3.0977366255144032</v>
      </c>
      <c r="P15" s="33">
        <f t="shared" si="5"/>
        <v>4.2153392330383479</v>
      </c>
      <c r="Q15" s="32">
        <f t="shared" si="6"/>
        <v>6.7831650848784832</v>
      </c>
      <c r="R15" s="32">
        <f t="shared" si="7"/>
        <v>8.6168349151215171</v>
      </c>
      <c r="S15" s="32">
        <f t="shared" si="8"/>
        <v>3.1892980035752068</v>
      </c>
      <c r="T15" s="32">
        <f t="shared" si="9"/>
        <v>3.8107019964247932</v>
      </c>
      <c r="U15" s="8">
        <f t="shared" si="10"/>
        <v>4.7</v>
      </c>
      <c r="V15" s="10">
        <f t="shared" si="11"/>
        <v>0.64775413711583929</v>
      </c>
      <c r="W15" s="10">
        <f t="shared" si="12"/>
        <v>0.89837263367651943</v>
      </c>
      <c r="X15" s="56">
        <v>496.8</v>
      </c>
      <c r="Y15" s="56">
        <v>641.9</v>
      </c>
      <c r="Z15" s="8">
        <v>2324.1</v>
      </c>
      <c r="AA15" s="8">
        <v>2284.1</v>
      </c>
      <c r="AB15" s="36">
        <f t="shared" si="13"/>
        <v>4608.2</v>
      </c>
      <c r="AC15" s="55">
        <f t="shared" si="14"/>
        <v>0.90656934306569348</v>
      </c>
      <c r="AD15" s="55">
        <f t="shared" si="14"/>
        <v>0.75874704491725764</v>
      </c>
      <c r="AE15" s="55">
        <f t="shared" si="15"/>
        <v>0.85918669131238445</v>
      </c>
      <c r="AF15" s="55">
        <f t="shared" si="15"/>
        <v>0.75858518764530058</v>
      </c>
      <c r="AG15" s="57">
        <f t="shared" si="16"/>
        <v>0.80619314205738279</v>
      </c>
      <c r="AH15" s="55">
        <f t="shared" si="17"/>
        <v>0.80275335492827393</v>
      </c>
      <c r="AL15" s="56">
        <v>1138.7</v>
      </c>
      <c r="AN15" s="12">
        <v>4608.2</v>
      </c>
      <c r="AO15" s="19" t="e">
        <f>#REF!/B14</f>
        <v>#REF!</v>
      </c>
      <c r="AP15" s="19" t="e">
        <f>#REF!/C14</f>
        <v>#REF!</v>
      </c>
      <c r="AQ15" s="19">
        <f>SUM(X15:Y15)/SUM(B14:C14)</f>
        <v>0.64079909960607773</v>
      </c>
      <c r="AR15" s="2">
        <f>(AN15-SUM(X15:Y15))/(G15-SUM(B15:C15))</f>
        <v>0.80275335492827393</v>
      </c>
      <c r="AS15" s="18" t="e">
        <f t="shared" si="18"/>
        <v>#REF!</v>
      </c>
      <c r="AT15" s="18" t="e">
        <f t="shared" si="19"/>
        <v>#REF!</v>
      </c>
      <c r="AU15" s="18">
        <f t="shared" si="20"/>
        <v>0.79</v>
      </c>
      <c r="AY15" s="4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</row>
    <row r="16" spans="1:69" x14ac:dyDescent="0.2">
      <c r="A16" s="16">
        <v>2013</v>
      </c>
      <c r="B16" s="29">
        <v>746</v>
      </c>
      <c r="C16" s="37">
        <v>1169</v>
      </c>
      <c r="D16" s="37">
        <f t="shared" si="0"/>
        <v>1915</v>
      </c>
      <c r="E16" s="29">
        <v>2946</v>
      </c>
      <c r="F16" s="37">
        <v>3025</v>
      </c>
      <c r="G16" s="38">
        <f t="shared" si="1"/>
        <v>5971</v>
      </c>
      <c r="H16" s="37">
        <v>432</v>
      </c>
      <c r="I16" s="37">
        <v>999</v>
      </c>
      <c r="J16" s="37">
        <f t="shared" si="2"/>
        <v>1431</v>
      </c>
      <c r="K16" s="42">
        <f t="shared" si="21"/>
        <v>73</v>
      </c>
      <c r="L16" s="42">
        <f t="shared" si="22"/>
        <v>156</v>
      </c>
      <c r="M16" s="42">
        <f t="shared" si="23"/>
        <v>229</v>
      </c>
      <c r="N16" s="32">
        <f t="shared" si="3"/>
        <v>6.8194444444444446</v>
      </c>
      <c r="O16" s="32">
        <f t="shared" si="4"/>
        <v>3.0280280280280278</v>
      </c>
      <c r="P16" s="33">
        <f t="shared" si="5"/>
        <v>4.1726065688329843</v>
      </c>
      <c r="Q16" s="32">
        <f t="shared" si="6"/>
        <v>6.7831650848784832</v>
      </c>
      <c r="R16" s="32">
        <f t="shared" si="7"/>
        <v>8.6168349151215171</v>
      </c>
      <c r="S16" s="32">
        <f t="shared" si="8"/>
        <v>3.1892980035752068</v>
      </c>
      <c r="T16" s="32">
        <f t="shared" si="9"/>
        <v>3.8107019964247932</v>
      </c>
      <c r="U16" s="8">
        <f t="shared" si="10"/>
        <v>4.7</v>
      </c>
      <c r="V16" s="10">
        <f t="shared" si="11"/>
        <v>0.63815226689478188</v>
      </c>
      <c r="W16" s="10">
        <f t="shared" si="12"/>
        <v>0.97388429752066119</v>
      </c>
      <c r="X16" s="56">
        <v>668.5</v>
      </c>
      <c r="Y16" s="56">
        <v>897.9</v>
      </c>
      <c r="Z16" s="8">
        <v>2570.6</v>
      </c>
      <c r="AA16" s="8">
        <v>2272.4</v>
      </c>
      <c r="AB16" s="36">
        <f t="shared" si="13"/>
        <v>4843</v>
      </c>
      <c r="AC16" s="55">
        <f t="shared" si="14"/>
        <v>0.89611260053619302</v>
      </c>
      <c r="AD16" s="55">
        <f t="shared" si="14"/>
        <v>0.76809238665526092</v>
      </c>
      <c r="AE16" s="55">
        <f t="shared" si="15"/>
        <v>0.8725729803122878</v>
      </c>
      <c r="AF16" s="55">
        <f t="shared" si="15"/>
        <v>0.75120661157024793</v>
      </c>
      <c r="AG16" s="57">
        <f t="shared" si="16"/>
        <v>0.81108692011388372</v>
      </c>
      <c r="AH16" s="55">
        <f t="shared" si="17"/>
        <v>0.80784023668639049</v>
      </c>
      <c r="AL16" s="56">
        <v>1566.3</v>
      </c>
      <c r="AN16" s="12">
        <v>4843</v>
      </c>
      <c r="AO16" s="19" t="e">
        <f>#REF!/B15</f>
        <v>#REF!</v>
      </c>
      <c r="AP16" s="19" t="e">
        <f>#REF!/C15</f>
        <v>#REF!</v>
      </c>
      <c r="AQ16" s="19">
        <f>SUM(X16:Y16)/SUM(B15:C15)</f>
        <v>1.1236728837876615</v>
      </c>
      <c r="AR16" s="2">
        <f>(AN16-SUM(X16:Y16))/(G16-SUM(B16:C16))</f>
        <v>0.80784023668639049</v>
      </c>
      <c r="AS16" s="18" t="e">
        <f t="shared" si="18"/>
        <v>#REF!</v>
      </c>
      <c r="AT16" s="18" t="e">
        <f t="shared" si="19"/>
        <v>#REF!</v>
      </c>
      <c r="AU16" s="18">
        <f t="shared" si="20"/>
        <v>0.79</v>
      </c>
      <c r="AY16" s="4"/>
      <c r="AZ16" s="2" t="s">
        <v>5</v>
      </c>
      <c r="BA16" s="2" t="s">
        <v>2</v>
      </c>
      <c r="BB16" s="8">
        <v>9749.2999999999993</v>
      </c>
      <c r="BC16" s="8">
        <v>10627.1</v>
      </c>
      <c r="BD16" s="8">
        <v>11110.5</v>
      </c>
      <c r="BE16" s="8">
        <v>10833.5</v>
      </c>
      <c r="BF16" s="8">
        <v>11927.8</v>
      </c>
      <c r="BG16" s="8">
        <v>12401.3</v>
      </c>
      <c r="BH16" s="8">
        <v>12900.5</v>
      </c>
      <c r="BI16" s="8">
        <v>13762.5</v>
      </c>
      <c r="BJ16" s="8">
        <v>13275.2</v>
      </c>
      <c r="BK16" s="8">
        <v>14175.5</v>
      </c>
      <c r="BL16" s="8">
        <v>15737.3</v>
      </c>
      <c r="BM16" s="8">
        <v>15412.7</v>
      </c>
      <c r="BN16" s="8">
        <v>17304.099999999999</v>
      </c>
      <c r="BO16" s="8">
        <v>18055.8</v>
      </c>
      <c r="BP16" s="8">
        <v>18549.900000000001</v>
      </c>
      <c r="BQ16" s="8">
        <v>17965.400000000001</v>
      </c>
    </row>
    <row r="17" spans="1:77" x14ac:dyDescent="0.2">
      <c r="A17" s="16">
        <v>2014</v>
      </c>
      <c r="B17" s="29">
        <v>785</v>
      </c>
      <c r="C17" s="37">
        <v>1278</v>
      </c>
      <c r="D17" s="37">
        <f t="shared" si="0"/>
        <v>2063</v>
      </c>
      <c r="E17" s="29">
        <v>3281</v>
      </c>
      <c r="F17" s="37">
        <v>3183</v>
      </c>
      <c r="G17" s="38">
        <f t="shared" si="1"/>
        <v>6464</v>
      </c>
      <c r="H17" s="37">
        <v>401</v>
      </c>
      <c r="I17" s="37">
        <v>886</v>
      </c>
      <c r="J17" s="37">
        <f t="shared" si="2"/>
        <v>1287</v>
      </c>
      <c r="K17" s="42">
        <f t="shared" si="21"/>
        <v>49</v>
      </c>
      <c r="L17" s="42">
        <f t="shared" si="22"/>
        <v>234</v>
      </c>
      <c r="M17" s="42">
        <f t="shared" si="23"/>
        <v>283</v>
      </c>
      <c r="N17" s="32">
        <f t="shared" si="3"/>
        <v>8.1820448877805489</v>
      </c>
      <c r="O17" s="32">
        <f t="shared" si="4"/>
        <v>3.5925507900677203</v>
      </c>
      <c r="P17" s="33">
        <f t="shared" si="5"/>
        <v>5.0225330225330227</v>
      </c>
      <c r="Q17" s="32">
        <f t="shared" si="6"/>
        <v>6.7831650848784832</v>
      </c>
      <c r="R17" s="32">
        <f t="shared" si="7"/>
        <v>8.6168349151215171</v>
      </c>
      <c r="S17" s="32">
        <f t="shared" si="8"/>
        <v>3.1892980035752068</v>
      </c>
      <c r="T17" s="32">
        <f t="shared" si="9"/>
        <v>3.8107019964247932</v>
      </c>
      <c r="U17" s="8">
        <f t="shared" si="10"/>
        <v>4.7</v>
      </c>
      <c r="V17" s="10">
        <f t="shared" si="11"/>
        <v>0.61424100156494521</v>
      </c>
      <c r="W17" s="10">
        <f t="shared" si="12"/>
        <v>1.0307885642475652</v>
      </c>
      <c r="X17" s="56">
        <v>700.7</v>
      </c>
      <c r="Y17" s="56">
        <v>952.8</v>
      </c>
      <c r="Z17" s="8">
        <v>2833.9</v>
      </c>
      <c r="AA17" s="8">
        <v>2362.1</v>
      </c>
      <c r="AB17" s="36">
        <f t="shared" si="13"/>
        <v>5196</v>
      </c>
      <c r="AC17" s="55">
        <f t="shared" si="14"/>
        <v>0.89261146496815291</v>
      </c>
      <c r="AD17" s="55">
        <f t="shared" si="14"/>
        <v>0.74553990610328635</v>
      </c>
      <c r="AE17" s="55">
        <f t="shared" si="15"/>
        <v>0.86373056994818653</v>
      </c>
      <c r="AF17" s="55">
        <f t="shared" si="15"/>
        <v>0.74209864907320133</v>
      </c>
      <c r="AG17" s="57">
        <f t="shared" si="16"/>
        <v>0.80383663366336633</v>
      </c>
      <c r="AH17" s="55">
        <f t="shared" si="17"/>
        <v>0.80493069756873437</v>
      </c>
      <c r="AL17" s="56">
        <v>1653.5</v>
      </c>
      <c r="AN17" s="12">
        <v>5196</v>
      </c>
      <c r="AO17" s="19" t="e">
        <f>#REF!/B16</f>
        <v>#REF!</v>
      </c>
      <c r="AP17" s="19" t="e">
        <f>#REF!/C16</f>
        <v>#REF!</v>
      </c>
      <c r="AQ17" s="19">
        <f>SUM(X17:Y17)/SUM(B16:C16)</f>
        <v>0.8634464751958224</v>
      </c>
      <c r="AR17" s="2">
        <f>(AN17-SUM(X17:Y17))/(G17-SUM(B17:C17))</f>
        <v>0.80493069756873437</v>
      </c>
      <c r="AS17" s="18" t="e">
        <f t="shared" si="18"/>
        <v>#REF!</v>
      </c>
      <c r="AT17" s="18" t="e">
        <f t="shared" si="19"/>
        <v>#REF!</v>
      </c>
      <c r="AU17" s="18">
        <f t="shared" si="20"/>
        <v>0.79</v>
      </c>
      <c r="AY17" s="4"/>
      <c r="BA17" s="2" t="s">
        <v>3</v>
      </c>
      <c r="BB17" s="8">
        <v>9975.7000000000007</v>
      </c>
      <c r="BC17" s="8">
        <v>10209.9</v>
      </c>
      <c r="BD17" s="8">
        <v>9697</v>
      </c>
      <c r="BE17" s="8">
        <v>8955.6</v>
      </c>
      <c r="BF17" s="8">
        <v>10013.700000000001</v>
      </c>
      <c r="BG17" s="8">
        <v>10460.700000000001</v>
      </c>
      <c r="BH17" s="8">
        <v>10848.7</v>
      </c>
      <c r="BI17" s="8">
        <v>10904.1</v>
      </c>
      <c r="BJ17" s="8">
        <v>10235.4</v>
      </c>
      <c r="BK17" s="8">
        <v>9639.2999999999993</v>
      </c>
      <c r="BL17" s="8">
        <v>10272.9</v>
      </c>
      <c r="BM17" s="8">
        <v>10312.700000000001</v>
      </c>
      <c r="BN17" s="8">
        <v>10616.3</v>
      </c>
      <c r="BO17" s="8">
        <v>11054.9</v>
      </c>
      <c r="BP17" s="8">
        <v>11763.7</v>
      </c>
      <c r="BQ17" s="8">
        <v>11275</v>
      </c>
    </row>
    <row r="18" spans="1:77" x14ac:dyDescent="0.2">
      <c r="A18" s="16">
        <v>2015</v>
      </c>
      <c r="B18" s="29">
        <v>783</v>
      </c>
      <c r="C18" s="37">
        <v>1327</v>
      </c>
      <c r="D18" s="37">
        <f t="shared" si="0"/>
        <v>2110</v>
      </c>
      <c r="E18" s="29">
        <v>3468</v>
      </c>
      <c r="F18" s="37">
        <v>3504</v>
      </c>
      <c r="G18" s="38">
        <f t="shared" si="1"/>
        <v>6972</v>
      </c>
      <c r="H18" s="37">
        <v>521</v>
      </c>
      <c r="I18" s="37">
        <v>818</v>
      </c>
      <c r="J18" s="37">
        <f t="shared" si="2"/>
        <v>1339</v>
      </c>
      <c r="K18" s="42">
        <f t="shared" si="21"/>
        <v>75</v>
      </c>
      <c r="L18" s="42">
        <f t="shared" si="22"/>
        <v>188</v>
      </c>
      <c r="M18" s="42">
        <f t="shared" si="23"/>
        <v>263</v>
      </c>
      <c r="N18" s="32">
        <f t="shared" si="3"/>
        <v>6.6564299424184261</v>
      </c>
      <c r="O18" s="32">
        <f t="shared" si="4"/>
        <v>4.2836185819070902</v>
      </c>
      <c r="P18" s="33">
        <f t="shared" si="5"/>
        <v>5.2068707991038092</v>
      </c>
      <c r="Q18" s="32">
        <f t="shared" si="6"/>
        <v>6.7831650848784832</v>
      </c>
      <c r="R18" s="32">
        <f t="shared" si="7"/>
        <v>8.6168349151215171</v>
      </c>
      <c r="S18" s="32">
        <f t="shared" si="8"/>
        <v>3.1892980035752068</v>
      </c>
      <c r="T18" s="32">
        <f t="shared" si="9"/>
        <v>3.8107019964247932</v>
      </c>
      <c r="U18" s="8">
        <f t="shared" si="10"/>
        <v>4.7</v>
      </c>
      <c r="V18" s="10">
        <f t="shared" si="11"/>
        <v>0.59005275056518458</v>
      </c>
      <c r="W18" s="10">
        <f t="shared" si="12"/>
        <v>0.98972602739726023</v>
      </c>
      <c r="X18" s="56">
        <v>707.7</v>
      </c>
      <c r="Y18" s="56">
        <v>961.7</v>
      </c>
      <c r="Z18" s="8">
        <v>2980.5</v>
      </c>
      <c r="AA18" s="8">
        <v>2600.1999999999998</v>
      </c>
      <c r="AB18" s="36">
        <f t="shared" si="13"/>
        <v>5580.7</v>
      </c>
      <c r="AC18" s="55">
        <f t="shared" si="14"/>
        <v>0.90383141762452113</v>
      </c>
      <c r="AD18" s="55">
        <f t="shared" si="14"/>
        <v>0.72471740768651094</v>
      </c>
      <c r="AE18" s="55">
        <f t="shared" si="15"/>
        <v>0.85942906574394462</v>
      </c>
      <c r="AF18" s="55">
        <f t="shared" si="15"/>
        <v>0.74206621004566209</v>
      </c>
      <c r="AG18" s="57">
        <f t="shared" si="16"/>
        <v>0.80044463568559954</v>
      </c>
      <c r="AH18" s="55">
        <f t="shared" si="17"/>
        <v>0.80446318387494853</v>
      </c>
      <c r="AL18" s="56">
        <v>1669.3</v>
      </c>
      <c r="AN18" s="12">
        <v>5580.7</v>
      </c>
      <c r="AO18" s="19" t="e">
        <f>#REF!/B17</f>
        <v>#REF!</v>
      </c>
      <c r="AP18" s="19" t="e">
        <f>#REF!/C17</f>
        <v>#REF!</v>
      </c>
      <c r="AQ18" s="19">
        <f>SUM(X18:Y18)/SUM(B17:C17)</f>
        <v>0.80920988851187592</v>
      </c>
      <c r="AR18" s="2">
        <f>(AN18-SUM(X18:Y18))/(G18-SUM(B18:C18))</f>
        <v>0.80446318387494853</v>
      </c>
      <c r="AS18" s="18" t="e">
        <f t="shared" si="18"/>
        <v>#REF!</v>
      </c>
      <c r="AT18" s="18" t="e">
        <f t="shared" si="19"/>
        <v>#REF!</v>
      </c>
      <c r="AU18" s="18">
        <f t="shared" si="20"/>
        <v>0.79</v>
      </c>
      <c r="AY18" s="4"/>
      <c r="BA18" s="2" t="s">
        <v>50</v>
      </c>
      <c r="BB18" s="8">
        <v>19725</v>
      </c>
      <c r="BC18" s="8">
        <v>20836.900000000001</v>
      </c>
      <c r="BD18" s="8">
        <v>20807.5</v>
      </c>
      <c r="BE18" s="8">
        <v>19789.099999999999</v>
      </c>
      <c r="BF18" s="8">
        <v>21941.5</v>
      </c>
      <c r="BG18" s="8">
        <v>22861.9</v>
      </c>
      <c r="BH18" s="8">
        <v>23749.3</v>
      </c>
      <c r="BI18" s="8">
        <v>24666.6</v>
      </c>
      <c r="BJ18" s="8">
        <v>23510.6</v>
      </c>
      <c r="BK18" s="8">
        <v>23814.799999999999</v>
      </c>
      <c r="BL18" s="8">
        <v>26010.2</v>
      </c>
      <c r="BM18" s="8">
        <v>25725.4</v>
      </c>
      <c r="BN18" s="8">
        <v>27920.5</v>
      </c>
      <c r="BO18" s="8">
        <v>29110.7</v>
      </c>
      <c r="BP18" s="8">
        <v>30313.7</v>
      </c>
      <c r="BQ18" s="8">
        <v>29240.400000000001</v>
      </c>
    </row>
    <row r="19" spans="1:77" ht="12" thickBot="1" x14ac:dyDescent="0.25">
      <c r="A19" s="16">
        <v>2016</v>
      </c>
      <c r="B19" s="31">
        <v>601</v>
      </c>
      <c r="C19" s="39">
        <v>1061</v>
      </c>
      <c r="D19" s="39">
        <f t="shared" si="0"/>
        <v>1662</v>
      </c>
      <c r="E19" s="31">
        <v>3411</v>
      </c>
      <c r="F19" s="39">
        <v>3467</v>
      </c>
      <c r="G19" s="40">
        <f t="shared" si="1"/>
        <v>6878</v>
      </c>
      <c r="H19" s="39">
        <v>516</v>
      </c>
      <c r="I19" s="39">
        <v>1006</v>
      </c>
      <c r="J19" s="39">
        <f t="shared" si="2"/>
        <v>1522</v>
      </c>
      <c r="K19" s="42">
        <f t="shared" si="21"/>
        <v>142</v>
      </c>
      <c r="L19" s="42">
        <f t="shared" si="22"/>
        <v>92</v>
      </c>
      <c r="M19" s="43">
        <f t="shared" si="23"/>
        <v>234</v>
      </c>
      <c r="N19" s="34">
        <f t="shared" si="3"/>
        <v>6.6104651162790695</v>
      </c>
      <c r="O19" s="34">
        <f t="shared" si="4"/>
        <v>3.4463220675944335</v>
      </c>
      <c r="P19" s="35">
        <f t="shared" si="5"/>
        <v>4.5190538764783179</v>
      </c>
      <c r="Q19" s="32">
        <f t="shared" si="6"/>
        <v>6.7831650848784832</v>
      </c>
      <c r="R19" s="32">
        <f t="shared" si="7"/>
        <v>8.6168349151215171</v>
      </c>
      <c r="S19" s="32">
        <f t="shared" si="8"/>
        <v>3.1892980035752068</v>
      </c>
      <c r="T19" s="32">
        <f t="shared" si="9"/>
        <v>3.8107019964247932</v>
      </c>
      <c r="U19" s="8">
        <f t="shared" si="10"/>
        <v>4.7</v>
      </c>
      <c r="V19" s="10">
        <f t="shared" si="11"/>
        <v>0.56644674835061259</v>
      </c>
      <c r="W19" s="10">
        <f t="shared" si="12"/>
        <v>0.98384770695125467</v>
      </c>
      <c r="X19" s="56">
        <v>543.70000000000005</v>
      </c>
      <c r="Y19" s="56">
        <v>791.2</v>
      </c>
      <c r="Z19" s="8">
        <v>2933.8</v>
      </c>
      <c r="AA19" s="8">
        <v>2575.6</v>
      </c>
      <c r="AB19" s="36">
        <f t="shared" si="13"/>
        <v>5509.4</v>
      </c>
      <c r="AC19" s="55">
        <f t="shared" si="14"/>
        <v>0.90465890183028297</v>
      </c>
      <c r="AD19" s="55">
        <f t="shared" si="14"/>
        <v>0.74571159283694632</v>
      </c>
      <c r="AE19" s="55">
        <f t="shared" si="15"/>
        <v>0.86009967751392558</v>
      </c>
      <c r="AF19" s="55">
        <f t="shared" si="15"/>
        <v>0.74289010672050759</v>
      </c>
      <c r="AG19" s="57">
        <f t="shared" si="16"/>
        <v>0.80101773771445184</v>
      </c>
      <c r="AH19" s="55">
        <f t="shared" si="17"/>
        <v>0.80032592024539873</v>
      </c>
      <c r="AL19" s="56">
        <v>1334.9</v>
      </c>
      <c r="AN19" s="12">
        <v>5509.4</v>
      </c>
      <c r="AO19" s="19" t="e">
        <f>#REF!/B18</f>
        <v>#REF!</v>
      </c>
      <c r="AP19" s="19" t="e">
        <f>#REF!/C18</f>
        <v>#REF!</v>
      </c>
      <c r="AQ19" s="19">
        <f>SUM(X19:Y19)/SUM(B18:C18)</f>
        <v>0.63265402843601903</v>
      </c>
      <c r="AR19" s="2">
        <f>(AN19-SUM(X19:Y19))/(G19-SUM(B19:C19))</f>
        <v>0.80032592024539873</v>
      </c>
      <c r="AS19" s="18" t="e">
        <f t="shared" si="18"/>
        <v>#REF!</v>
      </c>
      <c r="AT19" s="18" t="e">
        <f t="shared" si="19"/>
        <v>#REF!</v>
      </c>
      <c r="AU19" s="18">
        <f t="shared" si="20"/>
        <v>0.79</v>
      </c>
      <c r="AY19" s="4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77" ht="12" thickBot="1" x14ac:dyDescent="0.25">
      <c r="A20" s="22" t="s">
        <v>32</v>
      </c>
      <c r="B20" s="48">
        <f>ROUND(AVERAGE(B4:B19),0)</f>
        <v>661</v>
      </c>
      <c r="C20" s="48">
        <f t="shared" ref="C20:J20" si="24">ROUND(AVERAGE(C4:C19),0)</f>
        <v>993</v>
      </c>
      <c r="D20" s="48">
        <f t="shared" si="24"/>
        <v>1653</v>
      </c>
      <c r="E20" s="48">
        <f t="shared" si="24"/>
        <v>2835</v>
      </c>
      <c r="F20" s="48">
        <f t="shared" si="24"/>
        <v>3389</v>
      </c>
      <c r="G20" s="48">
        <f t="shared" si="24"/>
        <v>6224</v>
      </c>
      <c r="H20" s="48">
        <f t="shared" si="24"/>
        <v>380</v>
      </c>
      <c r="I20" s="48">
        <f t="shared" si="24"/>
        <v>968</v>
      </c>
      <c r="J20" s="48">
        <f t="shared" si="24"/>
        <v>1348</v>
      </c>
      <c r="K20" s="49">
        <f>ROUND(AVERAGE(K5:K19),0)</f>
        <v>200</v>
      </c>
      <c r="L20" s="49">
        <f t="shared" ref="L20:M20" si="25">ROUND(AVERAGE(L5:L19),0)</f>
        <v>26</v>
      </c>
      <c r="M20" s="49">
        <f t="shared" si="25"/>
        <v>226</v>
      </c>
      <c r="N20" s="50">
        <f>ROUND(AVERAGE(N4:N19),1)</f>
        <v>7.7</v>
      </c>
      <c r="O20" s="50">
        <f t="shared" ref="O20:P20" si="26">ROUND(AVERAGE(O4:O19),1)</f>
        <v>3.5</v>
      </c>
      <c r="P20" s="50">
        <f t="shared" si="26"/>
        <v>4.7</v>
      </c>
      <c r="Q20" s="51"/>
      <c r="R20" s="51"/>
      <c r="S20" s="51"/>
      <c r="T20" s="51"/>
      <c r="U20" s="51"/>
      <c r="V20" s="51"/>
      <c r="W20" s="51"/>
      <c r="X20" s="51">
        <f t="shared" ref="X20:AB20" si="27">ROUND(AVERAGE(X5:X19),1)</f>
        <v>597.70000000000005</v>
      </c>
      <c r="Y20" s="51">
        <f t="shared" si="27"/>
        <v>738.4</v>
      </c>
      <c r="Z20" s="51">
        <f t="shared" si="27"/>
        <v>2436.1999999999998</v>
      </c>
      <c r="AA20" s="51">
        <f t="shared" si="27"/>
        <v>2440.6</v>
      </c>
      <c r="AB20" s="51">
        <f t="shared" si="27"/>
        <v>4876.8</v>
      </c>
      <c r="AC20" s="54">
        <f>ROUND(AVERAGE(AC5:AC19),2)</f>
        <v>0.89</v>
      </c>
      <c r="AD20" s="54">
        <f t="shared" ref="AD20:AH20" si="28">ROUND(AVERAGE(AD5:AD19),2)</f>
        <v>0.74</v>
      </c>
      <c r="AE20" s="54">
        <f t="shared" si="28"/>
        <v>0.85</v>
      </c>
      <c r="AF20" s="54">
        <f t="shared" si="28"/>
        <v>0.72</v>
      </c>
      <c r="AG20" s="54">
        <f t="shared" si="28"/>
        <v>0.78</v>
      </c>
      <c r="AH20" s="54">
        <f t="shared" si="28"/>
        <v>0.77</v>
      </c>
      <c r="AN20" s="13">
        <f>AVERAGE(AN4:AN19)</f>
        <v>4876.7733333333317</v>
      </c>
      <c r="AO20" s="19">
        <f>AW42/B19</f>
        <v>0</v>
      </c>
      <c r="AP20" s="19">
        <f>AX42/C19</f>
        <v>0</v>
      </c>
      <c r="AQ20" s="19">
        <f>SUM(AW42:AX42)/SUM(B19:C19)</f>
        <v>0</v>
      </c>
      <c r="AR20" s="2">
        <f>(AN20-SUM(AW42:AX42))/(G20-SUM(B20:C20))</f>
        <v>1.0671276440554336</v>
      </c>
      <c r="AS20" s="18" t="e">
        <f t="shared" si="18"/>
        <v>#REF!</v>
      </c>
      <c r="AT20" s="18" t="e">
        <f t="shared" si="19"/>
        <v>#REF!</v>
      </c>
      <c r="AU20" s="18">
        <f t="shared" si="20"/>
        <v>0.79</v>
      </c>
      <c r="AV20" s="8"/>
      <c r="AW20" s="8"/>
      <c r="AX20" s="21"/>
      <c r="AY20" s="2" t="s">
        <v>7</v>
      </c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77" x14ac:dyDescent="0.2">
      <c r="A21" s="22" t="s">
        <v>56</v>
      </c>
      <c r="B21" s="24">
        <f>_xlfn.STDEV.S(B4:B19)</f>
        <v>86.109136178069591</v>
      </c>
      <c r="C21" s="24">
        <f t="shared" ref="C21:P21" si="29">_xlfn.STDEV.S(C4:C19)</f>
        <v>179.26022750924608</v>
      </c>
      <c r="D21" s="24">
        <f t="shared" si="29"/>
        <v>252.12819986401098</v>
      </c>
      <c r="E21" s="24">
        <f t="shared" si="29"/>
        <v>351.19728548685185</v>
      </c>
      <c r="F21" s="24">
        <f t="shared" si="29"/>
        <v>232.4630078098449</v>
      </c>
      <c r="G21" s="24">
        <f t="shared" si="29"/>
        <v>439.02982055133032</v>
      </c>
      <c r="H21" s="24">
        <f t="shared" si="29"/>
        <v>85.95034903943089</v>
      </c>
      <c r="I21" s="24">
        <f t="shared" si="29"/>
        <v>86.894931766281204</v>
      </c>
      <c r="J21" s="24">
        <f t="shared" si="29"/>
        <v>140.69583031016472</v>
      </c>
      <c r="K21" s="24">
        <f t="shared" si="29"/>
        <v>128.65766915863716</v>
      </c>
      <c r="L21" s="24">
        <f t="shared" si="29"/>
        <v>170.52780809396845</v>
      </c>
      <c r="M21" s="24">
        <f t="shared" si="29"/>
        <v>216.02282865475121</v>
      </c>
      <c r="N21" s="24">
        <f>_xlfn.STDEV.S(N4:N19)</f>
        <v>1.2445527628606121</v>
      </c>
      <c r="O21" s="24">
        <f t="shared" si="29"/>
        <v>0.42176080088042162</v>
      </c>
      <c r="P21" s="24">
        <f t="shared" si="29"/>
        <v>0.47711444072397069</v>
      </c>
      <c r="Q21" s="24"/>
      <c r="R21" s="24"/>
      <c r="S21" s="24"/>
      <c r="T21" s="24"/>
      <c r="U21" s="24"/>
      <c r="V21" s="24"/>
      <c r="W21" s="24"/>
      <c r="X21" s="24">
        <f t="shared" ref="X21:AB21" si="30">_xlfn.STDEV.S(X4:X19)</f>
        <v>77.277714553851126</v>
      </c>
      <c r="Y21" s="24">
        <f t="shared" si="30"/>
        <v>137.18647102879072</v>
      </c>
      <c r="Z21" s="24">
        <f t="shared" si="30"/>
        <v>318.30786034644842</v>
      </c>
      <c r="AA21" s="24">
        <f t="shared" si="30"/>
        <v>152.72904643518203</v>
      </c>
      <c r="AB21" s="24">
        <f t="shared" si="30"/>
        <v>402.06082375680421</v>
      </c>
      <c r="AC21" s="19">
        <f t="shared" ref="X21:AC21" si="31">_xlfn.STDEV.S(AC4:AC19)</f>
        <v>1.2019204848082285E-2</v>
      </c>
      <c r="AD21" s="19">
        <f t="shared" ref="AD21:AE21" si="32">_xlfn.STDEV.S(AD4:AD19)</f>
        <v>1.6105639493606268E-2</v>
      </c>
      <c r="AE21" s="19">
        <f t="shared" si="32"/>
        <v>1.4655874783646284E-2</v>
      </c>
      <c r="AF21" s="19">
        <f t="shared" ref="AF21" si="33">_xlfn.STDEV.S(AF4:AF19)</f>
        <v>2.3357199608486447E-2</v>
      </c>
      <c r="AO21" s="19" t="e">
        <f>ROUND(AVERAGE(AO5:AO20),2)</f>
        <v>#REF!</v>
      </c>
      <c r="AP21" s="19" t="e">
        <f t="shared" ref="AP21:AR21" si="34">ROUND(AVERAGE(AP5:AP20),2)</f>
        <v>#REF!</v>
      </c>
      <c r="AQ21" s="19">
        <f t="shared" si="34"/>
        <v>0.77</v>
      </c>
      <c r="AR21" s="19">
        <f t="shared" si="34"/>
        <v>0.79</v>
      </c>
      <c r="AS21" s="18"/>
      <c r="AT21" s="18"/>
      <c r="AU21" s="18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77" x14ac:dyDescent="0.2">
      <c r="A22" s="22" t="s">
        <v>57</v>
      </c>
      <c r="B22" s="24">
        <f>_xlfn.CONFIDENCE.T(0.05,B21,COUNT(B4:B19))</f>
        <v>45.884319793822783</v>
      </c>
      <c r="C22" s="24">
        <f t="shared" ref="C22:D22" si="35">_xlfn.CONFIDENCE.T(0.05,C21,COUNT(C4:C19))</f>
        <v>95.521032615381074</v>
      </c>
      <c r="D22" s="24">
        <f t="shared" si="35"/>
        <v>134.34963425573753</v>
      </c>
      <c r="E22" s="24">
        <f>_xlfn.CONFIDENCE.T(0.05,E21,COUNT(E4:E19))</f>
        <v>187.13982363819417</v>
      </c>
      <c r="F22" s="24">
        <f t="shared" ref="F22" si="36">_xlfn.CONFIDENCE.T(0.05,F21,COUNT(F4:F19))</f>
        <v>123.87079308893803</v>
      </c>
      <c r="G22" s="24">
        <f t="shared" ref="G22" si="37">_xlfn.CONFIDENCE.T(0.05,G21,COUNT(G4:G19))</f>
        <v>233.94247787533055</v>
      </c>
      <c r="H22" s="24">
        <f>_xlfn.CONFIDENCE.T(0.05,H21,COUNT(H4:H19))</f>
        <v>45.799708100199737</v>
      </c>
      <c r="I22" s="24">
        <f t="shared" ref="I22" si="38">_xlfn.CONFIDENCE.T(0.05,I21,COUNT(I4:I19))</f>
        <v>46.303040706171913</v>
      </c>
      <c r="J22" s="24">
        <f t="shared" ref="J22" si="39">_xlfn.CONFIDENCE.T(0.05,J21,COUNT(J4:J19))</f>
        <v>74.971515894188926</v>
      </c>
      <c r="K22" s="24">
        <f>_xlfn.CONFIDENCE.T(0.05,K21,COUNT(K5:K19))</f>
        <v>71.248242360812867</v>
      </c>
      <c r="L22" s="24">
        <f>_xlfn.CONFIDENCE.T(0.05,L21,COUNT(L5:L19))</f>
        <v>94.435152445955822</v>
      </c>
      <c r="M22" s="24">
        <f>_xlfn.CONFIDENCE.T(0.05,M21,COUNT(M5:M19))</f>
        <v>119.62945506563148</v>
      </c>
      <c r="N22" s="24">
        <f>_xlfn.CONFIDENCE.T(0.01,N21,COUNT(N4:N19))</f>
        <v>0.91683491512151716</v>
      </c>
      <c r="O22" s="24">
        <f t="shared" ref="O22:P22" si="40">_xlfn.CONFIDENCE.T(0.01,O21,COUNT(O4:O19))</f>
        <v>0.31070199642479324</v>
      </c>
      <c r="P22" s="24">
        <f t="shared" si="40"/>
        <v>0.35147981734335182</v>
      </c>
      <c r="Q22" s="24"/>
      <c r="R22" s="24"/>
      <c r="S22" s="24"/>
      <c r="T22" s="24"/>
      <c r="U22" s="24"/>
      <c r="V22" s="24"/>
      <c r="W22" s="24"/>
      <c r="X22" s="24">
        <f t="shared" ref="X22:AB22" si="41">_xlfn.CONFIDENCE.T(0.05,X21,COUNT(X4:X19))</f>
        <v>41.17838739192598</v>
      </c>
      <c r="Y22" s="24">
        <f t="shared" si="41"/>
        <v>73.101510332816275</v>
      </c>
      <c r="Z22" s="24">
        <f t="shared" si="41"/>
        <v>169.61428607088538</v>
      </c>
      <c r="AA22" s="24">
        <f t="shared" si="41"/>
        <v>81.383564154511589</v>
      </c>
      <c r="AB22" s="24">
        <f t="shared" si="41"/>
        <v>214.2430900209572</v>
      </c>
      <c r="AC22" s="19">
        <f t="shared" ref="AC22" si="42">_xlfn.CONFIDENCE.T(0.05,AC21,COUNT(AC4:AC19))</f>
        <v>6.404582177858705E-3</v>
      </c>
      <c r="AD22" s="19">
        <f t="shared" ref="AD22" si="43">_xlfn.CONFIDENCE.T(0.05,AD21,COUNT(AD4:AD19))</f>
        <v>8.5820894948991575E-3</v>
      </c>
      <c r="AE22" s="19">
        <f t="shared" ref="AE22:AF22" si="44">_xlfn.CONFIDENCE.T(0.05,AE21,COUNT(AE4:AE19))</f>
        <v>7.8095644118459564E-3</v>
      </c>
      <c r="AF22" s="19">
        <f t="shared" si="44"/>
        <v>1.2446173122764343E-2</v>
      </c>
      <c r="AO22" s="19" t="e">
        <f>_xlfn.STDEV.S(AO5:AO20)</f>
        <v>#REF!</v>
      </c>
      <c r="AP22" s="19" t="e">
        <f>_xlfn.STDEV.S(AP5:AP20)</f>
        <v>#REF!</v>
      </c>
      <c r="AQ22" s="19">
        <f>_xlfn.STDEV.S(AQ5:AQ20)</f>
        <v>0.24287798446469303</v>
      </c>
      <c r="AR22" s="19">
        <f>_xlfn.STDEV.S(AR5:AR20)</f>
        <v>7.8290613084967278E-2</v>
      </c>
      <c r="AS22" s="18"/>
      <c r="AT22" s="18"/>
      <c r="AU22" s="18"/>
    </row>
    <row r="23" spans="1:77" x14ac:dyDescent="0.2">
      <c r="A23" s="22" t="s">
        <v>58</v>
      </c>
      <c r="B23" s="23">
        <f>ROUND(B20-B22,0)</f>
        <v>615</v>
      </c>
      <c r="C23" s="23">
        <f>ROUND(C20-C22,0)</f>
        <v>897</v>
      </c>
      <c r="D23" s="23">
        <f t="shared" ref="D23:M23" si="45">ROUND(D20-D22,0)</f>
        <v>1519</v>
      </c>
      <c r="E23" s="23">
        <f t="shared" si="45"/>
        <v>2648</v>
      </c>
      <c r="F23" s="23">
        <f t="shared" si="45"/>
        <v>3265</v>
      </c>
      <c r="G23" s="23">
        <f t="shared" si="45"/>
        <v>5990</v>
      </c>
      <c r="H23" s="23">
        <f t="shared" si="45"/>
        <v>334</v>
      </c>
      <c r="I23" s="23">
        <f t="shared" si="45"/>
        <v>922</v>
      </c>
      <c r="J23" s="23">
        <f t="shared" si="45"/>
        <v>1273</v>
      </c>
      <c r="K23" s="23">
        <f t="shared" si="45"/>
        <v>129</v>
      </c>
      <c r="L23" s="23">
        <f t="shared" si="45"/>
        <v>-68</v>
      </c>
      <c r="M23" s="23">
        <f t="shared" si="45"/>
        <v>106</v>
      </c>
      <c r="N23" s="25">
        <f>ROUND(N20-N22,1)</f>
        <v>6.8</v>
      </c>
      <c r="O23" s="25">
        <f t="shared" ref="O23:P23" si="46">ROUND(O20-O22,1)</f>
        <v>3.2</v>
      </c>
      <c r="P23" s="25">
        <f t="shared" si="46"/>
        <v>4.3</v>
      </c>
      <c r="Q23" s="25"/>
      <c r="R23" s="25"/>
      <c r="S23" s="25"/>
      <c r="T23" s="25"/>
      <c r="U23" s="25"/>
      <c r="V23" s="25"/>
      <c r="W23" s="25"/>
      <c r="X23" s="25">
        <f t="shared" ref="X23:AB23" si="47">ROUND(X20-X22,1)</f>
        <v>556.5</v>
      </c>
      <c r="Y23" s="25">
        <f t="shared" si="47"/>
        <v>665.3</v>
      </c>
      <c r="Z23" s="25">
        <f t="shared" si="47"/>
        <v>2266.6</v>
      </c>
      <c r="AA23" s="25">
        <f t="shared" si="47"/>
        <v>2359.1999999999998</v>
      </c>
      <c r="AB23" s="25">
        <f t="shared" si="47"/>
        <v>4662.6000000000004</v>
      </c>
      <c r="AC23" s="19">
        <f t="shared" ref="AC23" si="48">ROUND(AC20-AC22,1)</f>
        <v>0.9</v>
      </c>
      <c r="AD23" s="19">
        <f t="shared" ref="AD23" si="49">ROUND(AD20-AD22,1)</f>
        <v>0.7</v>
      </c>
      <c r="AE23" s="19">
        <f t="shared" ref="AE23:AF23" si="50">ROUND(AE20-AE22,1)</f>
        <v>0.8</v>
      </c>
      <c r="AF23" s="19">
        <f t="shared" si="50"/>
        <v>0.7</v>
      </c>
      <c r="AO23" s="19" t="e">
        <f>_xlfn.CONFIDENCE.T(0.05,AO22,COUNT(AO5:AO20))</f>
        <v>#REF!</v>
      </c>
      <c r="AP23" s="19" t="e">
        <f>_xlfn.CONFIDENCE.T(0.05,AP22,COUNT(AP5:AP20))</f>
        <v>#REF!</v>
      </c>
      <c r="AQ23" s="19">
        <f>_xlfn.CONFIDENCE.T(0.05,AQ22,COUNT(AQ5:AQ20))</f>
        <v>0.12942054240343595</v>
      </c>
      <c r="AR23" s="19">
        <f>_xlfn.CONFIDENCE.T(0.05,AR22,COUNT(AR5:AR20))</f>
        <v>4.1718122920387402E-2</v>
      </c>
      <c r="AS23" s="18"/>
      <c r="AT23" s="18"/>
      <c r="AU23" s="18"/>
      <c r="AY23"/>
      <c r="AZ23"/>
      <c r="BA23"/>
      <c r="BB23"/>
      <c r="BC23"/>
      <c r="BI23" s="55" t="s">
        <v>2</v>
      </c>
      <c r="BJ23" s="56">
        <v>491.3</v>
      </c>
      <c r="BK23" s="56">
        <v>515.5</v>
      </c>
      <c r="BL23" s="56">
        <v>562.4</v>
      </c>
      <c r="BM23" s="56">
        <v>471.3</v>
      </c>
      <c r="BN23" s="56">
        <v>582.5</v>
      </c>
      <c r="BO23" s="56">
        <v>612.9</v>
      </c>
      <c r="BP23" s="56">
        <v>636.70000000000005</v>
      </c>
      <c r="BQ23" s="56">
        <v>691.8</v>
      </c>
      <c r="BR23" s="56">
        <v>545.29999999999995</v>
      </c>
      <c r="BS23" s="56">
        <v>617.9</v>
      </c>
      <c r="BT23" s="56">
        <v>611.20000000000005</v>
      </c>
      <c r="BU23" s="56">
        <v>496.8</v>
      </c>
      <c r="BV23" s="56">
        <v>668.5</v>
      </c>
      <c r="BW23" s="56">
        <v>700.7</v>
      </c>
      <c r="BX23" s="56">
        <v>707.7</v>
      </c>
      <c r="BY23" s="56">
        <v>543.70000000000005</v>
      </c>
    </row>
    <row r="24" spans="1:77" x14ac:dyDescent="0.2">
      <c r="A24" s="22" t="s">
        <v>59</v>
      </c>
      <c r="B24" s="23">
        <f>ROUND(B20+B22,0)</f>
        <v>707</v>
      </c>
      <c r="C24" s="23">
        <f>ROUND(C20+C22,0)</f>
        <v>1089</v>
      </c>
      <c r="D24" s="23">
        <f t="shared" ref="D24:M24" si="51">ROUND(D20+D22,0)</f>
        <v>1787</v>
      </c>
      <c r="E24" s="23">
        <f t="shared" si="51"/>
        <v>3022</v>
      </c>
      <c r="F24" s="23">
        <f t="shared" si="51"/>
        <v>3513</v>
      </c>
      <c r="G24" s="23">
        <f t="shared" si="51"/>
        <v>6458</v>
      </c>
      <c r="H24" s="23">
        <f t="shared" si="51"/>
        <v>426</v>
      </c>
      <c r="I24" s="23">
        <f t="shared" si="51"/>
        <v>1014</v>
      </c>
      <c r="J24" s="23">
        <f t="shared" si="51"/>
        <v>1423</v>
      </c>
      <c r="K24" s="23">
        <f t="shared" si="51"/>
        <v>271</v>
      </c>
      <c r="L24" s="23">
        <f t="shared" si="51"/>
        <v>120</v>
      </c>
      <c r="M24" s="23">
        <f t="shared" si="51"/>
        <v>346</v>
      </c>
      <c r="N24" s="25">
        <f>ROUND(N20+N22,1)</f>
        <v>8.6</v>
      </c>
      <c r="O24" s="25">
        <f t="shared" ref="O24:P24" si="52">ROUND(O20+O22,1)</f>
        <v>3.8</v>
      </c>
      <c r="P24" s="25">
        <f t="shared" si="52"/>
        <v>5.0999999999999996</v>
      </c>
      <c r="Q24" s="25"/>
      <c r="R24" s="25"/>
      <c r="S24" s="25"/>
      <c r="T24" s="25"/>
      <c r="U24" s="25"/>
      <c r="V24" s="25"/>
      <c r="W24" s="25"/>
      <c r="X24" s="25">
        <f t="shared" ref="X24:AB24" si="53">ROUND(X20+X22,1)</f>
        <v>638.9</v>
      </c>
      <c r="Y24" s="25">
        <f t="shared" si="53"/>
        <v>811.5</v>
      </c>
      <c r="Z24" s="25">
        <f t="shared" si="53"/>
        <v>2605.8000000000002</v>
      </c>
      <c r="AA24" s="25">
        <f t="shared" si="53"/>
        <v>2522</v>
      </c>
      <c r="AB24" s="25">
        <f t="shared" si="53"/>
        <v>5091</v>
      </c>
      <c r="AC24" s="19">
        <f t="shared" ref="X24:AC24" si="54">ROUND(AC20+AC22,1)</f>
        <v>0.9</v>
      </c>
      <c r="AD24" s="19">
        <f t="shared" ref="AD24:AE24" si="55">ROUND(AD20+AD22,1)</f>
        <v>0.7</v>
      </c>
      <c r="AE24" s="19">
        <f t="shared" si="55"/>
        <v>0.9</v>
      </c>
      <c r="AF24" s="19">
        <f t="shared" ref="AF24" si="56">ROUND(AF20+AF22,1)</f>
        <v>0.7</v>
      </c>
      <c r="AR24" s="2" t="e">
        <f>AO21/AR21</f>
        <v>#REF!</v>
      </c>
      <c r="AS24" s="18"/>
      <c r="AT24" s="18"/>
      <c r="AU24" s="18"/>
      <c r="AY24"/>
      <c r="AZ24"/>
      <c r="BA24"/>
      <c r="BB24"/>
      <c r="BC24"/>
      <c r="BI24" s="55" t="s">
        <v>3</v>
      </c>
      <c r="BJ24" s="56">
        <v>643.6</v>
      </c>
      <c r="BK24" s="56">
        <v>564.5</v>
      </c>
      <c r="BL24" s="56">
        <v>539.5</v>
      </c>
      <c r="BM24" s="56">
        <v>510.4</v>
      </c>
      <c r="BN24" s="56">
        <v>740.8</v>
      </c>
      <c r="BO24" s="56">
        <v>746.2</v>
      </c>
      <c r="BP24" s="56">
        <v>770.5</v>
      </c>
      <c r="BQ24" s="56">
        <v>690.7</v>
      </c>
      <c r="BR24" s="56">
        <v>661.3</v>
      </c>
      <c r="BS24" s="56">
        <v>781.6</v>
      </c>
      <c r="BT24" s="56">
        <v>825.2</v>
      </c>
      <c r="BU24" s="56">
        <v>641.9</v>
      </c>
      <c r="BV24" s="56">
        <v>897.9</v>
      </c>
      <c r="BW24" s="56">
        <v>952.8</v>
      </c>
      <c r="BX24" s="56">
        <v>961.7</v>
      </c>
      <c r="BY24" s="56">
        <v>791.2</v>
      </c>
    </row>
    <row r="25" spans="1:77" x14ac:dyDescent="0.2">
      <c r="B25" s="19">
        <f>B20/D20</f>
        <v>0.39987900786448882</v>
      </c>
      <c r="C25" s="19">
        <f>1-B25</f>
        <v>0.60012099213551118</v>
      </c>
      <c r="D25" s="19"/>
      <c r="E25" s="19">
        <f>E20/G20</f>
        <v>0.4554948586118252</v>
      </c>
      <c r="F25" s="19">
        <f>1-E25</f>
        <v>0.54450514138817474</v>
      </c>
      <c r="G25" s="19"/>
      <c r="H25" s="19">
        <f>H20/J20</f>
        <v>0.28189910979228489</v>
      </c>
      <c r="I25" s="19">
        <f>1-H25</f>
        <v>0.71810089020771506</v>
      </c>
      <c r="J25" s="19"/>
      <c r="K25" s="19">
        <f>K20/M20</f>
        <v>0.88495575221238942</v>
      </c>
      <c r="L25" s="19">
        <f>1-K25</f>
        <v>0.11504424778761058</v>
      </c>
      <c r="M25" s="19">
        <f>M20/D20</f>
        <v>0.1367211131276467</v>
      </c>
      <c r="Z25" s="3"/>
      <c r="AA25" s="3"/>
      <c r="AB25" s="3"/>
      <c r="AC25" s="3"/>
      <c r="AE25" s="17" t="str">
        <f>"95 CI:  "&amp;AQ26&amp;" ="&amp;ROUND(AQ43-AQ44,2)&amp;"-"&amp;ROUND(AQ43+AQ44,2)&amp;",  "&amp;AR26&amp;"="&amp;ROUND(AR43-AR44,2)&amp;"-"&amp;ROUND(AR43+AR44,2)</f>
        <v>95 CI:   =0-0,  =0-0</v>
      </c>
      <c r="AF25" s="3"/>
      <c r="AG25" s="3"/>
      <c r="AH25" s="3"/>
      <c r="AI25" s="2" t="e">
        <f>AP21/AR21</f>
        <v>#REF!</v>
      </c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I25" s="55" t="s">
        <v>4</v>
      </c>
      <c r="BJ25" s="56">
        <v>1134.9000000000001</v>
      </c>
      <c r="BK25" s="56">
        <v>1080</v>
      </c>
      <c r="BL25" s="56">
        <v>1101.9000000000001</v>
      </c>
      <c r="BM25" s="56">
        <v>981.7</v>
      </c>
      <c r="BN25" s="56">
        <v>1323.3</v>
      </c>
      <c r="BO25" s="56">
        <v>1359.1</v>
      </c>
      <c r="BP25" s="56">
        <v>1407.1</v>
      </c>
      <c r="BQ25" s="56">
        <v>1382.5</v>
      </c>
      <c r="BR25" s="56">
        <v>1206.5</v>
      </c>
      <c r="BS25" s="56">
        <v>1399.5</v>
      </c>
      <c r="BT25" s="56">
        <v>1436.4</v>
      </c>
      <c r="BU25" s="56">
        <v>1138.7</v>
      </c>
      <c r="BV25" s="56">
        <v>1566.3</v>
      </c>
      <c r="BW25" s="56">
        <v>1653.5</v>
      </c>
      <c r="BX25" s="56">
        <v>1669.3</v>
      </c>
      <c r="BY25" s="56">
        <v>1334.9</v>
      </c>
    </row>
    <row r="26" spans="1:77" x14ac:dyDescent="0.2">
      <c r="F26" s="2"/>
      <c r="G26" s="2"/>
      <c r="I26" s="3">
        <f>B20/D20</f>
        <v>0.39987900786448882</v>
      </c>
      <c r="T26" s="3">
        <f>E4/F4</f>
        <v>0.63157894736842102</v>
      </c>
      <c r="X26" s="2">
        <f>E19/F19</f>
        <v>0.98384770695125467</v>
      </c>
      <c r="Z26" s="3"/>
      <c r="AA26" s="3"/>
      <c r="AB26" s="3"/>
      <c r="AC26" s="3"/>
      <c r="AE26" s="2" t="e">
        <f>AO4&amp;" = "&amp;AO21&amp;"   "&amp;AP4&amp;" = "&amp;AP21&amp;"  "&amp;AR4&amp;" = "&amp;AR21</f>
        <v>#REF!</v>
      </c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</row>
    <row r="27" spans="1:77" x14ac:dyDescent="0.2">
      <c r="B27" s="13">
        <f>J20+M20-D20</f>
        <v>-79</v>
      </c>
      <c r="C27" s="3">
        <f>B27/D20</f>
        <v>-4.7791893526920752E-2</v>
      </c>
      <c r="F27" s="2"/>
      <c r="G27" s="2"/>
      <c r="H27" s="2"/>
      <c r="I27" s="2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</row>
    <row r="28" spans="1:77" x14ac:dyDescent="0.2">
      <c r="E28" s="3">
        <f>G20/D20</f>
        <v>3.7652752571082879</v>
      </c>
      <c r="F28" s="3">
        <f>E20/B20</f>
        <v>4.2889561270801817</v>
      </c>
      <c r="G28" s="3">
        <f>F20/C20</f>
        <v>3.4128902316213496</v>
      </c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</row>
    <row r="29" spans="1:77" x14ac:dyDescent="0.2"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</row>
    <row r="30" spans="1:77" x14ac:dyDescent="0.2">
      <c r="G30" s="6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</row>
    <row r="31" spans="1:77" x14ac:dyDescent="0.2">
      <c r="A31" s="22" t="s">
        <v>79</v>
      </c>
      <c r="B31" s="17" t="str">
        <f>"Averages: "&amp;D20&amp;", "&amp;J20&amp;", "&amp;M20&amp;", "&amp;G20</f>
        <v>Averages: 1653, 1348, 226, 6224</v>
      </c>
      <c r="G31" s="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</row>
    <row r="32" spans="1:77" x14ac:dyDescent="0.2">
      <c r="A32" s="22" t="s">
        <v>80</v>
      </c>
      <c r="B32" s="17" t="str">
        <f>"95%CI: "&amp;N23&amp;", "&amp;N20&amp;", "&amp;N24&amp;"; "&amp;O23&amp;", "&amp;O20&amp;", "&amp;O24</f>
        <v>95%CI: 6.8, 7.7, 8.6; 3.2, 3.5, 3.8</v>
      </c>
      <c r="G32" s="6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</row>
    <row r="33" spans="1:55" x14ac:dyDescent="0.2">
      <c r="A33" s="22" t="s">
        <v>83</v>
      </c>
      <c r="B33" s="17" t="s">
        <v>84</v>
      </c>
      <c r="G33" s="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</row>
    <row r="34" spans="1:55" x14ac:dyDescent="0.2">
      <c r="G34" s="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</row>
    <row r="35" spans="1:55" x14ac:dyDescent="0.2">
      <c r="G35" s="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</row>
    <row r="36" spans="1:55" x14ac:dyDescent="0.2">
      <c r="G36" s="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</row>
    <row r="37" spans="1:55" x14ac:dyDescent="0.2">
      <c r="G37" s="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</row>
    <row r="38" spans="1:55" x14ac:dyDescent="0.2">
      <c r="G38" s="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</row>
    <row r="39" spans="1:55" x14ac:dyDescent="0.2">
      <c r="G39" s="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</row>
    <row r="40" spans="1:55" x14ac:dyDescent="0.2">
      <c r="G40" s="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</row>
    <row r="41" spans="1:55" x14ac:dyDescent="0.2">
      <c r="G41" s="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x14ac:dyDescent="0.2">
      <c r="G42" s="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</row>
    <row r="43" spans="1:55" x14ac:dyDescent="0.2"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x14ac:dyDescent="0.2"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</row>
    <row r="45" spans="1:55" x14ac:dyDescent="0.2"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</row>
    <row r="46" spans="1:55" x14ac:dyDescent="0.2"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</row>
    <row r="47" spans="1:55" x14ac:dyDescent="0.2">
      <c r="AN47"/>
      <c r="AO47"/>
      <c r="AP47"/>
      <c r="AQ47"/>
      <c r="AR47"/>
      <c r="AS47"/>
      <c r="AT47"/>
      <c r="AU47"/>
      <c r="AV47"/>
      <c r="AW47"/>
      <c r="AX47"/>
      <c r="AY47"/>
    </row>
    <row r="48" spans="1:55" x14ac:dyDescent="0.2">
      <c r="AN48"/>
      <c r="AO48"/>
      <c r="AP48"/>
      <c r="AQ48"/>
      <c r="AR48"/>
      <c r="AS48"/>
      <c r="AT48"/>
      <c r="AU48"/>
      <c r="AV48"/>
      <c r="AW48"/>
      <c r="AX48"/>
      <c r="AY48"/>
    </row>
    <row r="49" spans="40:51" x14ac:dyDescent="0.2">
      <c r="AN49"/>
      <c r="AO49"/>
      <c r="AP49"/>
      <c r="AQ49"/>
      <c r="AR49"/>
      <c r="AS49"/>
      <c r="AT49"/>
      <c r="AU49"/>
      <c r="AV49"/>
      <c r="AW49"/>
      <c r="AX49"/>
      <c r="AY49"/>
    </row>
    <row r="50" spans="40:51" x14ac:dyDescent="0.2">
      <c r="AN50"/>
      <c r="AO50"/>
      <c r="AP50"/>
      <c r="AQ50"/>
      <c r="AR50"/>
      <c r="AS50"/>
      <c r="AT50"/>
      <c r="AU50"/>
      <c r="AV50"/>
      <c r="AW50"/>
      <c r="AX50"/>
      <c r="AY50"/>
    </row>
    <row r="51" spans="40:51" x14ac:dyDescent="0.2">
      <c r="AN51"/>
      <c r="AO51"/>
      <c r="AP51"/>
      <c r="AQ51"/>
      <c r="AR51"/>
      <c r="AS51"/>
      <c r="AT51"/>
      <c r="AU51"/>
      <c r="AV51"/>
      <c r="AW51"/>
      <c r="AX51"/>
      <c r="AY51"/>
    </row>
    <row r="52" spans="40:51" x14ac:dyDescent="0.2">
      <c r="AN52"/>
      <c r="AO52"/>
      <c r="AP52"/>
      <c r="AQ52"/>
      <c r="AR52"/>
      <c r="AS52"/>
      <c r="AT52"/>
      <c r="AU52"/>
      <c r="AV52"/>
      <c r="AW52"/>
      <c r="AX52"/>
      <c r="AY52"/>
    </row>
    <row r="53" spans="40:51" x14ac:dyDescent="0.2">
      <c r="AN53"/>
      <c r="AO53"/>
      <c r="AP53"/>
      <c r="AQ53"/>
      <c r="AR53"/>
      <c r="AS53"/>
      <c r="AT53"/>
      <c r="AU53"/>
      <c r="AV53"/>
      <c r="AW53"/>
      <c r="AX53"/>
      <c r="AY53"/>
    </row>
    <row r="54" spans="40:51" x14ac:dyDescent="0.2">
      <c r="AN54"/>
      <c r="AO54"/>
      <c r="AP54"/>
      <c r="AQ54"/>
      <c r="AR54"/>
      <c r="AS54"/>
      <c r="AT54"/>
      <c r="AU54"/>
      <c r="AV54"/>
      <c r="AW54"/>
      <c r="AX54"/>
      <c r="AY54"/>
    </row>
  </sheetData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C5" sqref="C5:S7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3" width="18.6640625" style="2" customWidth="1"/>
    <col min="4" max="19" width="8.1640625" style="3" customWidth="1"/>
    <col min="20" max="16384" width="9.1640625" style="2"/>
  </cols>
  <sheetData>
    <row r="1" spans="1:19" ht="15.75" x14ac:dyDescent="0.25">
      <c r="A1" s="1" t="s">
        <v>8</v>
      </c>
    </row>
    <row r="2" spans="1:19" ht="14.45" customHeight="1" x14ac:dyDescent="0.2">
      <c r="A2" s="7"/>
    </row>
    <row r="3" spans="1:19" x14ac:dyDescent="0.2">
      <c r="A3" s="4" t="s">
        <v>9</v>
      </c>
    </row>
    <row r="4" spans="1:19" x14ac:dyDescent="0.2">
      <c r="A4" s="4"/>
      <c r="C4" s="4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  <c r="K4" s="5" t="s">
        <v>18</v>
      </c>
      <c r="L4" s="5" t="s">
        <v>19</v>
      </c>
      <c r="M4" s="5" t="s">
        <v>20</v>
      </c>
      <c r="N4" s="5" t="s">
        <v>21</v>
      </c>
      <c r="O4" s="5" t="s">
        <v>22</v>
      </c>
      <c r="P4" s="5" t="s">
        <v>23</v>
      </c>
      <c r="Q4" s="5" t="s">
        <v>24</v>
      </c>
      <c r="R4" s="5" t="s">
        <v>25</v>
      </c>
      <c r="S4" s="5" t="s">
        <v>26</v>
      </c>
    </row>
    <row r="5" spans="1:19" x14ac:dyDescent="0.2">
      <c r="A5" s="4"/>
      <c r="B5" s="2" t="s">
        <v>1</v>
      </c>
      <c r="C5" s="2" t="s">
        <v>2</v>
      </c>
      <c r="D5" s="6">
        <v>229</v>
      </c>
      <c r="E5" s="6">
        <v>228</v>
      </c>
      <c r="F5" s="6">
        <v>311</v>
      </c>
      <c r="G5" s="6">
        <v>305</v>
      </c>
      <c r="H5" s="6">
        <v>327</v>
      </c>
      <c r="I5" s="6">
        <v>335</v>
      </c>
      <c r="J5" s="6">
        <v>393</v>
      </c>
      <c r="K5" s="6">
        <v>413</v>
      </c>
      <c r="L5" s="6">
        <v>425</v>
      </c>
      <c r="M5" s="6">
        <v>410</v>
      </c>
      <c r="N5" s="6">
        <v>443</v>
      </c>
      <c r="O5" s="6">
        <v>384</v>
      </c>
      <c r="P5" s="6">
        <v>432</v>
      </c>
      <c r="Q5" s="6">
        <v>401</v>
      </c>
      <c r="R5" s="6">
        <v>521</v>
      </c>
      <c r="S5" s="6">
        <v>516</v>
      </c>
    </row>
    <row r="6" spans="1:19" x14ac:dyDescent="0.2">
      <c r="A6" s="4"/>
      <c r="C6" s="2" t="s">
        <v>3</v>
      </c>
      <c r="D6" s="6">
        <v>802</v>
      </c>
      <c r="E6" s="6">
        <v>866</v>
      </c>
      <c r="F6" s="6">
        <v>949</v>
      </c>
      <c r="G6" s="6">
        <v>971</v>
      </c>
      <c r="H6" s="6">
        <v>1009</v>
      </c>
      <c r="I6" s="6">
        <v>988</v>
      </c>
      <c r="J6" s="6">
        <v>1053</v>
      </c>
      <c r="K6" s="6">
        <v>1126</v>
      </c>
      <c r="L6" s="6">
        <v>1010</v>
      </c>
      <c r="M6" s="6">
        <v>982</v>
      </c>
      <c r="N6" s="6">
        <v>1052</v>
      </c>
      <c r="O6" s="6">
        <v>972</v>
      </c>
      <c r="P6" s="6">
        <v>999</v>
      </c>
      <c r="Q6" s="6">
        <v>886</v>
      </c>
      <c r="R6" s="6">
        <v>818</v>
      </c>
      <c r="S6" s="6">
        <v>1006</v>
      </c>
    </row>
    <row r="7" spans="1:19" x14ac:dyDescent="0.2">
      <c r="A7" s="4"/>
      <c r="C7" s="2" t="s">
        <v>27</v>
      </c>
      <c r="D7" s="6">
        <v>1031</v>
      </c>
      <c r="E7" s="6">
        <v>1094</v>
      </c>
      <c r="F7" s="6">
        <v>1260</v>
      </c>
      <c r="G7" s="6">
        <v>1276</v>
      </c>
      <c r="H7" s="6">
        <v>1336</v>
      </c>
      <c r="I7" s="6">
        <v>1323</v>
      </c>
      <c r="J7" s="6">
        <v>1446</v>
      </c>
      <c r="K7" s="6">
        <v>1539</v>
      </c>
      <c r="L7" s="6">
        <v>1435</v>
      </c>
      <c r="M7" s="6">
        <v>1392</v>
      </c>
      <c r="N7" s="6">
        <v>1495</v>
      </c>
      <c r="O7" s="6">
        <v>1356</v>
      </c>
      <c r="P7" s="6">
        <v>1431</v>
      </c>
      <c r="Q7" s="6">
        <v>1287</v>
      </c>
      <c r="R7" s="6">
        <v>1339</v>
      </c>
      <c r="S7" s="6">
        <v>1522</v>
      </c>
    </row>
    <row r="8" spans="1:19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B9" s="2" t="s">
        <v>5</v>
      </c>
      <c r="C9" s="2" t="s">
        <v>2</v>
      </c>
      <c r="D9" s="6">
        <v>1004</v>
      </c>
      <c r="E9" s="6">
        <v>1154</v>
      </c>
      <c r="F9" s="6">
        <v>1265</v>
      </c>
      <c r="G9" s="6">
        <v>1382</v>
      </c>
      <c r="H9" s="6">
        <v>1531</v>
      </c>
      <c r="I9" s="6">
        <v>1618</v>
      </c>
      <c r="J9" s="6">
        <v>1905</v>
      </c>
      <c r="K9" s="6">
        <v>2084</v>
      </c>
      <c r="L9" s="6">
        <v>1993</v>
      </c>
      <c r="M9" s="6">
        <v>2093</v>
      </c>
      <c r="N9" s="6">
        <v>2282</v>
      </c>
      <c r="O9" s="6">
        <v>2292</v>
      </c>
      <c r="P9" s="6">
        <v>2351</v>
      </c>
      <c r="Q9" s="6">
        <v>2584</v>
      </c>
      <c r="R9" s="6">
        <v>3019</v>
      </c>
      <c r="S9" s="6">
        <v>3087</v>
      </c>
    </row>
    <row r="10" spans="1:19" x14ac:dyDescent="0.2">
      <c r="C10" s="2" t="s">
        <v>3</v>
      </c>
      <c r="D10" s="6">
        <v>3485</v>
      </c>
      <c r="E10" s="6">
        <v>3653</v>
      </c>
      <c r="F10" s="6">
        <v>3788</v>
      </c>
      <c r="G10" s="6">
        <v>3799</v>
      </c>
      <c r="H10" s="6">
        <v>3944</v>
      </c>
      <c r="I10" s="6">
        <v>3866</v>
      </c>
      <c r="J10" s="6">
        <v>4103</v>
      </c>
      <c r="K10" s="6">
        <v>4431</v>
      </c>
      <c r="L10" s="6">
        <v>4279</v>
      </c>
      <c r="M10" s="6">
        <v>4355</v>
      </c>
      <c r="N10" s="6">
        <v>4479</v>
      </c>
      <c r="O10" s="6">
        <v>4227</v>
      </c>
      <c r="P10" s="6">
        <v>4463</v>
      </c>
      <c r="Q10" s="6">
        <v>4449</v>
      </c>
      <c r="R10" s="6">
        <v>4314</v>
      </c>
      <c r="S10" s="6">
        <v>4732</v>
      </c>
    </row>
    <row r="11" spans="1:19" x14ac:dyDescent="0.2">
      <c r="C11" s="2" t="s">
        <v>27</v>
      </c>
      <c r="D11" s="6">
        <v>4489</v>
      </c>
      <c r="E11" s="6">
        <v>4807</v>
      </c>
      <c r="F11" s="6">
        <v>5053</v>
      </c>
      <c r="G11" s="6">
        <v>5181</v>
      </c>
      <c r="H11" s="6">
        <v>5475</v>
      </c>
      <c r="I11" s="6">
        <v>5484</v>
      </c>
      <c r="J11" s="6">
        <v>6008</v>
      </c>
      <c r="K11" s="6">
        <v>6515</v>
      </c>
      <c r="L11" s="6">
        <v>6272</v>
      </c>
      <c r="M11" s="6">
        <v>6448</v>
      </c>
      <c r="N11" s="6">
        <v>6761</v>
      </c>
      <c r="O11" s="6">
        <v>6519</v>
      </c>
      <c r="P11" s="6">
        <v>6814</v>
      </c>
      <c r="Q11" s="6">
        <v>7033</v>
      </c>
      <c r="R11" s="6">
        <v>7333</v>
      </c>
      <c r="S11" s="6">
        <v>7819</v>
      </c>
    </row>
    <row r="14" spans="1:19" x14ac:dyDescent="0.2">
      <c r="A14" s="2" t="s">
        <v>28</v>
      </c>
    </row>
  </sheetData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11" sqref="C11:R11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18" width="8.1640625" style="3" customWidth="1"/>
    <col min="19" max="16384" width="9.1640625" style="2"/>
  </cols>
  <sheetData>
    <row r="1" spans="1:18" ht="15.75" x14ac:dyDescent="0.25">
      <c r="A1" s="1" t="s">
        <v>29</v>
      </c>
    </row>
    <row r="2" spans="1:18" ht="14.45" customHeight="1" x14ac:dyDescent="0.2">
      <c r="A2" s="7"/>
    </row>
    <row r="3" spans="1:18" x14ac:dyDescent="0.2">
      <c r="A3" s="4" t="s">
        <v>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  <c r="P3" s="5">
        <v>2014</v>
      </c>
      <c r="Q3" s="5">
        <v>2015</v>
      </c>
      <c r="R3" s="5">
        <v>2016</v>
      </c>
    </row>
    <row r="4" spans="1:18" x14ac:dyDescent="0.2">
      <c r="A4" s="4"/>
      <c r="B4" s="2" t="s">
        <v>1</v>
      </c>
      <c r="C4" s="2">
        <v>5766</v>
      </c>
      <c r="D4" s="3">
        <v>5933</v>
      </c>
      <c r="E4" s="3">
        <v>5942</v>
      </c>
      <c r="F4" s="3">
        <v>5676</v>
      </c>
      <c r="G4" s="3">
        <v>6203</v>
      </c>
      <c r="H4" s="3">
        <v>6647</v>
      </c>
      <c r="I4" s="3">
        <v>6739</v>
      </c>
      <c r="J4" s="3">
        <v>6695</v>
      </c>
      <c r="K4" s="3">
        <v>6130</v>
      </c>
      <c r="L4" s="3">
        <v>5948</v>
      </c>
      <c r="M4" s="3">
        <v>5910</v>
      </c>
      <c r="N4" s="3">
        <v>5716</v>
      </c>
      <c r="O4" s="3">
        <v>5971</v>
      </c>
      <c r="P4" s="3">
        <v>6464</v>
      </c>
      <c r="Q4" s="3">
        <v>6972</v>
      </c>
      <c r="R4" s="3">
        <v>6878</v>
      </c>
    </row>
    <row r="5" spans="1:18" x14ac:dyDescent="0.2">
      <c r="A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4"/>
      <c r="B6" s="2" t="s">
        <v>5</v>
      </c>
      <c r="C6" s="2">
        <v>24463</v>
      </c>
      <c r="D6" s="3">
        <v>25781</v>
      </c>
      <c r="E6" s="3">
        <v>25773</v>
      </c>
      <c r="F6" s="3">
        <v>24653</v>
      </c>
      <c r="G6" s="3">
        <v>26854</v>
      </c>
      <c r="H6" s="3">
        <v>28281</v>
      </c>
      <c r="I6" s="3">
        <v>29484</v>
      </c>
      <c r="J6" s="3">
        <v>30235</v>
      </c>
      <c r="K6" s="3">
        <v>29275</v>
      </c>
      <c r="L6" s="3">
        <v>29880</v>
      </c>
      <c r="M6" s="3">
        <v>31504</v>
      </c>
      <c r="N6" s="3">
        <v>31119</v>
      </c>
      <c r="O6" s="3">
        <v>33398</v>
      </c>
      <c r="P6" s="3">
        <v>35206</v>
      </c>
      <c r="Q6" s="3">
        <v>36917</v>
      </c>
      <c r="R6" s="3">
        <v>35552</v>
      </c>
    </row>
    <row r="7" spans="1:18" x14ac:dyDescent="0.2">
      <c r="A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4"/>
    </row>
    <row r="10" spans="1:18" x14ac:dyDescent="0.2">
      <c r="A10" s="4" t="s">
        <v>6</v>
      </c>
      <c r="C10" s="5">
        <v>2001</v>
      </c>
      <c r="D10" s="5">
        <v>2002</v>
      </c>
      <c r="E10" s="5">
        <v>2003</v>
      </c>
      <c r="F10" s="5">
        <v>2004</v>
      </c>
      <c r="G10" s="5">
        <v>2005</v>
      </c>
      <c r="H10" s="5">
        <v>2006</v>
      </c>
      <c r="I10" s="5">
        <v>2007</v>
      </c>
      <c r="J10" s="5">
        <v>2008</v>
      </c>
      <c r="K10" s="5">
        <v>2009</v>
      </c>
      <c r="L10" s="5">
        <v>2010</v>
      </c>
      <c r="M10" s="5">
        <v>2011</v>
      </c>
      <c r="N10" s="5">
        <v>2012</v>
      </c>
      <c r="O10" s="5">
        <v>2013</v>
      </c>
      <c r="P10" s="5">
        <v>2014</v>
      </c>
      <c r="Q10" s="5">
        <v>2015</v>
      </c>
      <c r="R10" s="5">
        <v>2016</v>
      </c>
    </row>
    <row r="11" spans="1:18" x14ac:dyDescent="0.2">
      <c r="A11" s="4"/>
      <c r="B11" s="2" t="s">
        <v>1</v>
      </c>
      <c r="C11" s="11">
        <v>4380.8</v>
      </c>
      <c r="D11" s="12">
        <v>4459.3999999999996</v>
      </c>
      <c r="E11" s="12">
        <v>4468.7</v>
      </c>
      <c r="F11" s="12">
        <v>4254.8</v>
      </c>
      <c r="G11" s="12">
        <v>4809.3</v>
      </c>
      <c r="H11" s="12">
        <v>5065.8</v>
      </c>
      <c r="I11" s="12">
        <v>5182.8999999999996</v>
      </c>
      <c r="J11" s="12">
        <v>5197.3999999999996</v>
      </c>
      <c r="K11" s="12">
        <v>4704.2</v>
      </c>
      <c r="L11" s="12">
        <v>4555.1000000000004</v>
      </c>
      <c r="M11" s="12">
        <v>4716.7</v>
      </c>
      <c r="N11" s="12">
        <v>4608.2</v>
      </c>
      <c r="O11" s="12">
        <v>4843</v>
      </c>
      <c r="P11" s="12">
        <v>5196</v>
      </c>
      <c r="Q11" s="12">
        <v>5580.7</v>
      </c>
      <c r="R11" s="12">
        <v>5509.4</v>
      </c>
    </row>
    <row r="12" spans="1:18" x14ac:dyDescent="0.2">
      <c r="A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4"/>
      <c r="B13" s="2" t="s">
        <v>5</v>
      </c>
      <c r="C13" s="11">
        <v>19725</v>
      </c>
      <c r="D13" s="12">
        <v>20836.900000000001</v>
      </c>
      <c r="E13" s="12">
        <v>20807.5</v>
      </c>
      <c r="F13" s="12">
        <v>19789.099999999999</v>
      </c>
      <c r="G13" s="12">
        <v>21941.5</v>
      </c>
      <c r="H13" s="12">
        <v>22861.9</v>
      </c>
      <c r="I13" s="12">
        <v>23749.3</v>
      </c>
      <c r="J13" s="12">
        <v>24666.6</v>
      </c>
      <c r="K13" s="12">
        <v>23510.6</v>
      </c>
      <c r="L13" s="12">
        <v>23814.799999999999</v>
      </c>
      <c r="M13" s="12">
        <v>26010.2</v>
      </c>
      <c r="N13" s="12">
        <v>25725.4</v>
      </c>
      <c r="O13" s="12">
        <v>27920.5</v>
      </c>
      <c r="P13" s="12">
        <v>29110.7</v>
      </c>
      <c r="Q13" s="12">
        <v>30313.7</v>
      </c>
      <c r="R13" s="12">
        <v>29240.400000000001</v>
      </c>
    </row>
    <row r="14" spans="1:18" x14ac:dyDescent="0.2">
      <c r="A14" s="4"/>
    </row>
    <row r="15" spans="1:18" x14ac:dyDescent="0.2">
      <c r="A15" s="2" t="s">
        <v>7</v>
      </c>
    </row>
    <row r="29" spans="2:17" x14ac:dyDescent="0.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</sheetData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6384" width="9.332031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15</xdr:col>
                <xdr:colOff>333375</xdr:colOff>
                <xdr:row>56</xdr:row>
                <xdr:rowOff>76200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O5" sqref="O5"/>
    </sheetView>
  </sheetViews>
  <sheetFormatPr defaultRowHeight="15" x14ac:dyDescent="0.25"/>
  <cols>
    <col min="1" max="16384" width="9.33203125" style="14"/>
  </cols>
  <sheetData>
    <row r="1" spans="1:12" x14ac:dyDescent="0.25">
      <c r="A1" s="14">
        <v>0.41</v>
      </c>
      <c r="B1" s="14">
        <f>ROUND(A1/$A$4,2)</f>
        <v>0.37</v>
      </c>
      <c r="C1" s="14">
        <v>1</v>
      </c>
    </row>
    <row r="2" spans="1:12" x14ac:dyDescent="0.25">
      <c r="A2" s="14">
        <f>1-A1</f>
        <v>0.59000000000000008</v>
      </c>
      <c r="B2" s="14">
        <f>ROUND(A2/$A$4,2)</f>
        <v>0.53</v>
      </c>
      <c r="C2" s="14">
        <v>0.5</v>
      </c>
      <c r="G2" s="14">
        <f t="shared" ref="G2:G7" si="0">6/H2</f>
        <v>6</v>
      </c>
      <c r="H2" s="14">
        <v>1</v>
      </c>
      <c r="I2" s="15">
        <f t="shared" ref="I2:I7" si="1">1/H2</f>
        <v>1</v>
      </c>
      <c r="J2" s="14">
        <f t="shared" ref="J2:J7" si="2">I2*1.5</f>
        <v>1.5</v>
      </c>
      <c r="K2" s="14">
        <f t="shared" ref="K2:K7" si="3">I2*2</f>
        <v>2</v>
      </c>
      <c r="L2" s="14">
        <f t="shared" ref="L2:L7" si="4">I2*3</f>
        <v>3</v>
      </c>
    </row>
    <row r="3" spans="1:12" x14ac:dyDescent="0.25">
      <c r="A3" s="14">
        <v>0.11</v>
      </c>
      <c r="B3" s="14">
        <f>ROUND(A3/$A$4,2)</f>
        <v>0.1</v>
      </c>
      <c r="C3" s="14">
        <v>0.25</v>
      </c>
      <c r="G3" s="14">
        <f t="shared" si="0"/>
        <v>3</v>
      </c>
      <c r="H3" s="14">
        <v>2</v>
      </c>
      <c r="I3" s="15">
        <f t="shared" si="1"/>
        <v>0.5</v>
      </c>
      <c r="J3" s="14">
        <f t="shared" si="2"/>
        <v>0.75</v>
      </c>
      <c r="K3" s="14">
        <f t="shared" si="3"/>
        <v>1</v>
      </c>
      <c r="L3" s="14">
        <f t="shared" si="4"/>
        <v>1.5</v>
      </c>
    </row>
    <row r="4" spans="1:12" x14ac:dyDescent="0.25">
      <c r="A4" s="14">
        <f>SUM(A1:A3)</f>
        <v>1.1100000000000001</v>
      </c>
      <c r="B4" s="14">
        <f>SUM(B1:B3)</f>
        <v>1</v>
      </c>
      <c r="D4" s="14">
        <f>SUMPRODUCT(B1:B3,C1:C3)</f>
        <v>0.66</v>
      </c>
      <c r="E4" s="14">
        <v>3.94</v>
      </c>
      <c r="G4" s="14">
        <f t="shared" si="0"/>
        <v>2</v>
      </c>
      <c r="H4" s="14">
        <v>3</v>
      </c>
      <c r="I4" s="15">
        <f t="shared" si="1"/>
        <v>0.33333333333333331</v>
      </c>
      <c r="J4" s="14">
        <f t="shared" si="2"/>
        <v>0.5</v>
      </c>
      <c r="K4" s="14">
        <f t="shared" si="3"/>
        <v>0.66666666666666663</v>
      </c>
      <c r="L4" s="14">
        <f t="shared" si="4"/>
        <v>1</v>
      </c>
    </row>
    <row r="5" spans="1:12" x14ac:dyDescent="0.25">
      <c r="E5" s="14">
        <f>E4/D4</f>
        <v>5.9696969696969697</v>
      </c>
      <c r="G5" s="14">
        <f t="shared" si="0"/>
        <v>1.5</v>
      </c>
      <c r="H5" s="14">
        <v>4</v>
      </c>
      <c r="I5" s="15">
        <f t="shared" si="1"/>
        <v>0.25</v>
      </c>
      <c r="J5" s="14">
        <f t="shared" si="2"/>
        <v>0.375</v>
      </c>
      <c r="K5" s="14">
        <f t="shared" si="3"/>
        <v>0.5</v>
      </c>
      <c r="L5" s="14">
        <f t="shared" si="4"/>
        <v>0.75</v>
      </c>
    </row>
    <row r="6" spans="1:12" x14ac:dyDescent="0.25">
      <c r="G6" s="14">
        <f t="shared" si="0"/>
        <v>1.2</v>
      </c>
      <c r="H6" s="14">
        <v>5</v>
      </c>
      <c r="I6" s="15">
        <f t="shared" si="1"/>
        <v>0.2</v>
      </c>
      <c r="J6" s="14">
        <f t="shared" si="2"/>
        <v>0.30000000000000004</v>
      </c>
      <c r="K6" s="14">
        <f t="shared" si="3"/>
        <v>0.4</v>
      </c>
      <c r="L6" s="14">
        <f t="shared" si="4"/>
        <v>0.60000000000000009</v>
      </c>
    </row>
    <row r="7" spans="1:12" x14ac:dyDescent="0.25">
      <c r="G7" s="14">
        <f t="shared" si="0"/>
        <v>1</v>
      </c>
      <c r="H7" s="14">
        <v>6</v>
      </c>
      <c r="I7" s="15">
        <f t="shared" si="1"/>
        <v>0.16666666666666666</v>
      </c>
      <c r="J7" s="14">
        <f t="shared" si="2"/>
        <v>0.25</v>
      </c>
      <c r="K7" s="14">
        <f t="shared" si="3"/>
        <v>0.33333333333333331</v>
      </c>
      <c r="L7" s="14">
        <f t="shared" si="4"/>
        <v>0.5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New Undergrad Students</vt:lpstr>
      <vt:lpstr>Degrees by Origin</vt:lpstr>
      <vt:lpstr>Undergrad Students</vt:lpstr>
      <vt:lpstr>6Universities</vt:lpstr>
      <vt:lpstr>StanfordCSUN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laptop</cp:lastModifiedBy>
  <cp:revision/>
  <dcterms:created xsi:type="dcterms:W3CDTF">2016-10-19T21:06:17Z</dcterms:created>
  <dcterms:modified xsi:type="dcterms:W3CDTF">2016-12-12T09:53:44Z</dcterms:modified>
  <cp:category/>
  <cp:contentStatus/>
</cp:coreProperties>
</file>