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ink/ink1.xml" ContentType="application/inkml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3.xml" ContentType="application/vnd.openxmlformats-officedocument.drawing+xml"/>
  <Override PartName="/xl/charts/chart3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Slides\"/>
    </mc:Choice>
  </mc:AlternateContent>
  <bookViews>
    <workbookView xWindow="0" yWindow="0" windowWidth="14715" windowHeight="6900" firstSheet="1" activeTab="2"/>
  </bookViews>
  <sheets>
    <sheet name="0.ArdiData" sheetId="9" r:id="rId1"/>
    <sheet name="1.AveMA-MAD-MSE-MAPE" sheetId="1" r:id="rId2"/>
    <sheet name="1bH.SeveralDynMA" sheetId="21" r:id="rId3"/>
    <sheet name="1c.DenMA-TS (2)" sheetId="22" r:id="rId4"/>
    <sheet name="1c.DenMA-TS" sheetId="8" r:id="rId5"/>
    <sheet name="2.ES-MAD-TS" sheetId="16" r:id="rId6"/>
    <sheet name="3.ES-DataTable-Solver" sheetId="20" r:id="rId7"/>
    <sheet name="4.Regression" sheetId="11" r:id="rId8"/>
    <sheet name="5.Trend&amp;Season" sheetId="17" r:id="rId9"/>
    <sheet name="0.ArdiData&amp;FixedData" sheetId="12" r:id="rId10"/>
    <sheet name="2.1.MAvs6MA" sheetId="4" r:id="rId11"/>
    <sheet name="TrAdES" sheetId="14" r:id="rId12"/>
    <sheet name="TrAdES2" sheetId="15" r:id="rId13"/>
    <sheet name="Sheet1" sheetId="18" r:id="rId14"/>
    <sheet name="BookData" sheetId="6" r:id="rId15"/>
    <sheet name="2.ESGameDatTabSolver (2)" sheetId="19" r:id="rId16"/>
    <sheet name="2.ESGameDatTabSolver" sheetId="10" r:id="rId17"/>
    <sheet name="2.2.Set2ES" sheetId="13" r:id="rId18"/>
  </sheets>
  <externalReferences>
    <externalReference r:id="rId19"/>
    <externalReference r:id="rId20"/>
  </externalReferences>
  <definedNames>
    <definedName name="solver_adj" localSheetId="17" hidden="1">'2.2.Set2ES'!$L$1</definedName>
    <definedName name="solver_adj" localSheetId="16" hidden="1">'2.ESGameDatTabSolver'!$H$1</definedName>
    <definedName name="solver_adj" localSheetId="15" hidden="1">'2.ESGameDatTabSolver (2)'!$H$1</definedName>
    <definedName name="solver_adj" localSheetId="5" hidden="1">'2.ES-MAD-TS'!#REF!</definedName>
    <definedName name="solver_adj" localSheetId="6" hidden="1">'3.ES-DataTable-Solver'!$G$3</definedName>
    <definedName name="solver_adj" localSheetId="7" hidden="1">'4.Regression'!$M$20:$M$21</definedName>
    <definedName name="solver_adj" localSheetId="11" hidden="1">TrAdES!$N$1:$N$2</definedName>
    <definedName name="solver_adj" localSheetId="12" hidden="1">TrAdES2!$P$1:$P$2</definedName>
    <definedName name="solver_cvg" localSheetId="17" hidden="1">0.0001</definedName>
    <definedName name="solver_cvg" localSheetId="16" hidden="1">0.0001</definedName>
    <definedName name="solver_cvg" localSheetId="15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11" hidden="1">0.0001</definedName>
    <definedName name="solver_cvg" localSheetId="12" hidden="1">0.0001</definedName>
    <definedName name="solver_drv" localSheetId="17" hidden="1">1</definedName>
    <definedName name="solver_drv" localSheetId="16" hidden="1">2</definedName>
    <definedName name="solver_drv" localSheetId="15" hidden="1">2</definedName>
    <definedName name="solver_drv" localSheetId="5" hidden="1">2</definedName>
    <definedName name="solver_drv" localSheetId="6" hidden="1">2</definedName>
    <definedName name="solver_drv" localSheetId="7" hidden="1">2</definedName>
    <definedName name="solver_drv" localSheetId="11" hidden="1">1</definedName>
    <definedName name="solver_drv" localSheetId="12" hidden="1">1</definedName>
    <definedName name="solver_eng" localSheetId="17" hidden="1">1</definedName>
    <definedName name="solver_eng" localSheetId="16" hidden="1">1</definedName>
    <definedName name="solver_eng" localSheetId="15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11" hidden="1">1</definedName>
    <definedName name="solver_eng" localSheetId="12" hidden="1">1</definedName>
    <definedName name="solver_est" localSheetId="17" hidden="1">1</definedName>
    <definedName name="solver_est" localSheetId="16" hidden="1">1</definedName>
    <definedName name="solver_est" localSheetId="15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11" hidden="1">1</definedName>
    <definedName name="solver_est" localSheetId="12" hidden="1">1</definedName>
    <definedName name="solver_itr" localSheetId="17" hidden="1">2147483647</definedName>
    <definedName name="solver_itr" localSheetId="16" hidden="1">2147483647</definedName>
    <definedName name="solver_itr" localSheetId="15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11" hidden="1">2147483647</definedName>
    <definedName name="solver_itr" localSheetId="12" hidden="1">2147483647</definedName>
    <definedName name="solver_lhs1" localSheetId="17" hidden="1">'2.2.Set2ES'!$L$1</definedName>
    <definedName name="solver_lhs1" localSheetId="11" hidden="1">TrAdES!$N$1</definedName>
    <definedName name="solver_lhs1" localSheetId="12" hidden="1">TrAdES2!$P$1</definedName>
    <definedName name="solver_lhs2" localSheetId="17" hidden="1">'2.2.Set2ES'!$L$1</definedName>
    <definedName name="solver_lhs2" localSheetId="11" hidden="1">TrAdES!$N$1</definedName>
    <definedName name="solver_lhs2" localSheetId="12" hidden="1">TrAdES2!$P$1</definedName>
    <definedName name="solver_mip" localSheetId="17" hidden="1">2147483647</definedName>
    <definedName name="solver_mip" localSheetId="16" hidden="1">2147483647</definedName>
    <definedName name="solver_mip" localSheetId="15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11" hidden="1">2147483647</definedName>
    <definedName name="solver_mip" localSheetId="12" hidden="1">2147483647</definedName>
    <definedName name="solver_mni" localSheetId="17" hidden="1">30</definedName>
    <definedName name="solver_mni" localSheetId="16" hidden="1">30</definedName>
    <definedName name="solver_mni" localSheetId="15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11" hidden="1">30</definedName>
    <definedName name="solver_mni" localSheetId="12" hidden="1">30</definedName>
    <definedName name="solver_mrt" localSheetId="17" hidden="1">0.075</definedName>
    <definedName name="solver_mrt" localSheetId="16" hidden="1">0.075</definedName>
    <definedName name="solver_mrt" localSheetId="15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11" hidden="1">0.075</definedName>
    <definedName name="solver_mrt" localSheetId="12" hidden="1">0.075</definedName>
    <definedName name="solver_msl" localSheetId="17" hidden="1">2</definedName>
    <definedName name="solver_msl" localSheetId="16" hidden="1">2</definedName>
    <definedName name="solver_msl" localSheetId="15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11" hidden="1">2</definedName>
    <definedName name="solver_msl" localSheetId="12" hidden="1">2</definedName>
    <definedName name="solver_neg" localSheetId="17" hidden="1">1</definedName>
    <definedName name="solver_neg" localSheetId="16" hidden="1">1</definedName>
    <definedName name="solver_neg" localSheetId="15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11" hidden="1">1</definedName>
    <definedName name="solver_neg" localSheetId="12" hidden="1">1</definedName>
    <definedName name="solver_nod" localSheetId="17" hidden="1">2147483647</definedName>
    <definedName name="solver_nod" localSheetId="16" hidden="1">2147483647</definedName>
    <definedName name="solver_nod" localSheetId="15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11" hidden="1">2147483647</definedName>
    <definedName name="solver_nod" localSheetId="12" hidden="1">2147483647</definedName>
    <definedName name="solver_num" localSheetId="17" hidden="1">0</definedName>
    <definedName name="solver_num" localSheetId="16" hidden="1">0</definedName>
    <definedName name="solver_num" localSheetId="15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11" hidden="1">0</definedName>
    <definedName name="solver_num" localSheetId="12" hidden="1">0</definedName>
    <definedName name="solver_nwt" localSheetId="17" hidden="1">1</definedName>
    <definedName name="solver_nwt" localSheetId="16" hidden="1">1</definedName>
    <definedName name="solver_nwt" localSheetId="15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11" hidden="1">1</definedName>
    <definedName name="solver_nwt" localSheetId="12" hidden="1">1</definedName>
    <definedName name="solver_opt" localSheetId="17" hidden="1">'2.2.Set2ES'!$P$4</definedName>
    <definedName name="solver_opt" localSheetId="16" hidden="1">'2.ESGameDatTabSolver'!$F$51</definedName>
    <definedName name="solver_opt" localSheetId="15" hidden="1">'2.ESGameDatTabSolver (2)'!$F$51</definedName>
    <definedName name="solver_opt" localSheetId="5" hidden="1">'2.ES-MAD-TS'!#REF!</definedName>
    <definedName name="solver_opt" localSheetId="6" hidden="1">'3.ES-DataTable-Solver'!$H$4</definedName>
    <definedName name="solver_opt" localSheetId="7" hidden="1">'4.Regression'!$M$22</definedName>
    <definedName name="solver_opt" localSheetId="11" hidden="1">TrAdES!$M$5</definedName>
    <definedName name="solver_opt" localSheetId="12" hidden="1">TrAdES2!$O$4</definedName>
    <definedName name="solver_pre" localSheetId="17" hidden="1">0.000001</definedName>
    <definedName name="solver_pre" localSheetId="16" hidden="1">0.000001</definedName>
    <definedName name="solver_pre" localSheetId="15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11" hidden="1">0.000001</definedName>
    <definedName name="solver_pre" localSheetId="12" hidden="1">0.000001</definedName>
    <definedName name="solver_rbv" localSheetId="17" hidden="1">1</definedName>
    <definedName name="solver_rbv" localSheetId="16" hidden="1">2</definedName>
    <definedName name="solver_rbv" localSheetId="15" hidden="1">2</definedName>
    <definedName name="solver_rbv" localSheetId="5" hidden="1">2</definedName>
    <definedName name="solver_rbv" localSheetId="6" hidden="1">2</definedName>
    <definedName name="solver_rbv" localSheetId="7" hidden="1">2</definedName>
    <definedName name="solver_rbv" localSheetId="11" hidden="1">1</definedName>
    <definedName name="solver_rbv" localSheetId="12" hidden="1">1</definedName>
    <definedName name="solver_rel1" localSheetId="17" hidden="1">1</definedName>
    <definedName name="solver_rel1" localSheetId="11" hidden="1">1</definedName>
    <definedName name="solver_rel1" localSheetId="12" hidden="1">1</definedName>
    <definedName name="solver_rel2" localSheetId="17" hidden="1">3</definedName>
    <definedName name="solver_rel2" localSheetId="11" hidden="1">3</definedName>
    <definedName name="solver_rel2" localSheetId="12" hidden="1">3</definedName>
    <definedName name="solver_rhs1" localSheetId="17" hidden="1">1</definedName>
    <definedName name="solver_rhs1" localSheetId="11" hidden="1">1</definedName>
    <definedName name="solver_rhs1" localSheetId="12" hidden="1">1</definedName>
    <definedName name="solver_rhs2" localSheetId="17" hidden="1">0</definedName>
    <definedName name="solver_rhs2" localSheetId="11" hidden="1">0</definedName>
    <definedName name="solver_rhs2" localSheetId="12" hidden="1">0</definedName>
    <definedName name="solver_rlx" localSheetId="17" hidden="1">2</definedName>
    <definedName name="solver_rlx" localSheetId="16" hidden="1">2</definedName>
    <definedName name="solver_rlx" localSheetId="15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11" hidden="1">2</definedName>
    <definedName name="solver_rlx" localSheetId="12" hidden="1">2</definedName>
    <definedName name="solver_rsd" localSheetId="17" hidden="1">0</definedName>
    <definedName name="solver_rsd" localSheetId="16" hidden="1">0</definedName>
    <definedName name="solver_rsd" localSheetId="15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11" hidden="1">0</definedName>
    <definedName name="solver_rsd" localSheetId="12" hidden="1">0</definedName>
    <definedName name="solver_scl" localSheetId="17" hidden="1">1</definedName>
    <definedName name="solver_scl" localSheetId="16" hidden="1">2</definedName>
    <definedName name="solver_scl" localSheetId="15" hidden="1">2</definedName>
    <definedName name="solver_scl" localSheetId="5" hidden="1">2</definedName>
    <definedName name="solver_scl" localSheetId="6" hidden="1">2</definedName>
    <definedName name="solver_scl" localSheetId="7" hidden="1">2</definedName>
    <definedName name="solver_scl" localSheetId="11" hidden="1">1</definedName>
    <definedName name="solver_scl" localSheetId="12" hidden="1">1</definedName>
    <definedName name="solver_sho" localSheetId="17" hidden="1">2</definedName>
    <definedName name="solver_sho" localSheetId="16" hidden="1">2</definedName>
    <definedName name="solver_sho" localSheetId="15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11" hidden="1">2</definedName>
    <definedName name="solver_sho" localSheetId="12" hidden="1">2</definedName>
    <definedName name="solver_ssz" localSheetId="17" hidden="1">100</definedName>
    <definedName name="solver_ssz" localSheetId="16" hidden="1">100</definedName>
    <definedName name="solver_ssz" localSheetId="15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11" hidden="1">100</definedName>
    <definedName name="solver_ssz" localSheetId="12" hidden="1">100</definedName>
    <definedName name="solver_tim" localSheetId="17" hidden="1">2147483647</definedName>
    <definedName name="solver_tim" localSheetId="16" hidden="1">2147483647</definedName>
    <definedName name="solver_tim" localSheetId="15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11" hidden="1">2147483647</definedName>
    <definedName name="solver_tim" localSheetId="12" hidden="1">2147483647</definedName>
    <definedName name="solver_tol" localSheetId="17" hidden="1">0.01</definedName>
    <definedName name="solver_tol" localSheetId="16" hidden="1">0.01</definedName>
    <definedName name="solver_tol" localSheetId="15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11" hidden="1">0.01</definedName>
    <definedName name="solver_tol" localSheetId="12" hidden="1">0.01</definedName>
    <definedName name="solver_typ" localSheetId="4" hidden="1">2</definedName>
    <definedName name="solver_typ" localSheetId="3" hidden="1">2</definedName>
    <definedName name="solver_typ" localSheetId="17" hidden="1">2</definedName>
    <definedName name="solver_typ" localSheetId="16" hidden="1">2</definedName>
    <definedName name="solver_typ" localSheetId="15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11" hidden="1">2</definedName>
    <definedName name="solver_typ" localSheetId="12" hidden="1">2</definedName>
    <definedName name="solver_val" localSheetId="17" hidden="1">0</definedName>
    <definedName name="solver_val" localSheetId="16" hidden="1">0</definedName>
    <definedName name="solver_val" localSheetId="15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11" hidden="1">0</definedName>
    <definedName name="solver_val" localSheetId="12" hidden="1">0</definedName>
    <definedName name="solver_ver" localSheetId="4" hidden="1">16</definedName>
    <definedName name="solver_ver" localSheetId="3" hidden="1">16</definedName>
    <definedName name="solver_ver" localSheetId="17" hidden="1">3</definedName>
    <definedName name="solver_ver" localSheetId="16" hidden="1">3</definedName>
    <definedName name="solver_ver" localSheetId="15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11" hidden="1">3</definedName>
    <definedName name="solver_ver" localSheetId="12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" i="22" l="1"/>
  <c r="Y29" i="22"/>
  <c r="Y28" i="22"/>
  <c r="Y27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E3" i="22"/>
  <c r="F3" i="22" s="1"/>
  <c r="G3" i="22" s="1"/>
  <c r="Y2" i="22"/>
  <c r="Y1" i="22"/>
  <c r="B1" i="22"/>
  <c r="M2" i="22"/>
  <c r="H3" i="22" l="1"/>
  <c r="I3" i="22" s="1"/>
  <c r="P6" i="1"/>
  <c r="K23" i="1"/>
  <c r="K24" i="1"/>
  <c r="K25" i="1"/>
  <c r="K26" i="1"/>
  <c r="D3" i="21" l="1"/>
  <c r="E3" i="21"/>
  <c r="F3" i="21"/>
  <c r="G3" i="21"/>
  <c r="C4" i="21"/>
  <c r="D4" i="21"/>
  <c r="E4" i="21"/>
  <c r="F4" i="21"/>
  <c r="G4" i="21"/>
  <c r="C5" i="21"/>
  <c r="D5" i="21"/>
  <c r="E5" i="21"/>
  <c r="F5" i="21"/>
  <c r="G5" i="21"/>
  <c r="C6" i="21"/>
  <c r="D6" i="21"/>
  <c r="E6" i="21"/>
  <c r="F6" i="21"/>
  <c r="G6" i="21"/>
  <c r="C7" i="21"/>
  <c r="D7" i="21"/>
  <c r="E7" i="21"/>
  <c r="F7" i="21"/>
  <c r="G7" i="2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D8" i="21"/>
  <c r="E8" i="21"/>
  <c r="F8" i="21"/>
  <c r="G8" i="21"/>
  <c r="D9" i="21"/>
  <c r="E9" i="21"/>
  <c r="F9" i="21"/>
  <c r="G9" i="21"/>
  <c r="D10" i="21"/>
  <c r="E10" i="21"/>
  <c r="F10" i="21"/>
  <c r="G10" i="21"/>
  <c r="D11" i="21"/>
  <c r="E11" i="21"/>
  <c r="F11" i="21"/>
  <c r="G11" i="21"/>
  <c r="D12" i="21"/>
  <c r="E12" i="21"/>
  <c r="F12" i="21"/>
  <c r="G12" i="21"/>
  <c r="D13" i="21"/>
  <c r="E13" i="21"/>
  <c r="F13" i="21"/>
  <c r="G13" i="21"/>
  <c r="D14" i="21"/>
  <c r="E14" i="21"/>
  <c r="F14" i="21"/>
  <c r="G14" i="21"/>
  <c r="D15" i="21"/>
  <c r="E15" i="21"/>
  <c r="F15" i="21"/>
  <c r="G15" i="21"/>
  <c r="D16" i="21"/>
  <c r="E16" i="21"/>
  <c r="F16" i="21"/>
  <c r="G16" i="21"/>
  <c r="D17" i="21"/>
  <c r="E17" i="21"/>
  <c r="F17" i="21"/>
  <c r="G17" i="21"/>
  <c r="D18" i="21"/>
  <c r="E18" i="21"/>
  <c r="F18" i="21"/>
  <c r="G18" i="21"/>
  <c r="D19" i="21"/>
  <c r="E19" i="21"/>
  <c r="F19" i="21"/>
  <c r="G19" i="21"/>
  <c r="D20" i="21"/>
  <c r="E20" i="21"/>
  <c r="F20" i="21"/>
  <c r="G20" i="21"/>
  <c r="D21" i="21"/>
  <c r="E21" i="21"/>
  <c r="F21" i="21"/>
  <c r="G21" i="21"/>
  <c r="D22" i="21"/>
  <c r="E22" i="21"/>
  <c r="F22" i="21"/>
  <c r="G22" i="21"/>
  <c r="D23" i="21"/>
  <c r="E23" i="21"/>
  <c r="F23" i="21"/>
  <c r="G23" i="21"/>
  <c r="D24" i="21"/>
  <c r="E24" i="21"/>
  <c r="F24" i="21"/>
  <c r="G24" i="21"/>
  <c r="D25" i="21"/>
  <c r="E25" i="21"/>
  <c r="F25" i="21"/>
  <c r="G25" i="21"/>
  <c r="D26" i="21"/>
  <c r="E26" i="21"/>
  <c r="F26" i="21"/>
  <c r="G26" i="21"/>
  <c r="D27" i="21"/>
  <c r="E27" i="21"/>
  <c r="F27" i="21"/>
  <c r="G27" i="21"/>
  <c r="D28" i="21"/>
  <c r="E28" i="21"/>
  <c r="F28" i="21"/>
  <c r="G28" i="21"/>
  <c r="D29" i="21"/>
  <c r="E29" i="21"/>
  <c r="F29" i="21"/>
  <c r="G29" i="21"/>
  <c r="D30" i="21"/>
  <c r="E30" i="21"/>
  <c r="F30" i="21"/>
  <c r="G30" i="21"/>
  <c r="D31" i="21"/>
  <c r="E31" i="21"/>
  <c r="F31" i="21"/>
  <c r="G31" i="21"/>
  <c r="D32" i="21"/>
  <c r="E32" i="21"/>
  <c r="F32" i="21"/>
  <c r="G32" i="21"/>
  <c r="D33" i="21"/>
  <c r="E33" i="21"/>
  <c r="F33" i="21"/>
  <c r="G33" i="21"/>
  <c r="D34" i="21"/>
  <c r="E34" i="21"/>
  <c r="F34" i="21"/>
  <c r="G34" i="21"/>
  <c r="D35" i="21"/>
  <c r="E35" i="21"/>
  <c r="F35" i="21"/>
  <c r="G35" i="21"/>
  <c r="D36" i="21"/>
  <c r="E36" i="21"/>
  <c r="F36" i="21"/>
  <c r="G36" i="21"/>
  <c r="D37" i="21"/>
  <c r="E37" i="21"/>
  <c r="F37" i="21"/>
  <c r="G37" i="21"/>
  <c r="D38" i="21"/>
  <c r="E38" i="21"/>
  <c r="F38" i="21"/>
  <c r="G38" i="21"/>
  <c r="D39" i="21"/>
  <c r="E39" i="21"/>
  <c r="F39" i="21"/>
  <c r="G39" i="21"/>
  <c r="D40" i="21"/>
  <c r="E40" i="21"/>
  <c r="F40" i="21"/>
  <c r="G40" i="21"/>
  <c r="D41" i="21"/>
  <c r="E41" i="21"/>
  <c r="F41" i="21"/>
  <c r="G41" i="21"/>
  <c r="D42" i="21"/>
  <c r="E42" i="21"/>
  <c r="F42" i="21"/>
  <c r="G42" i="21"/>
  <c r="D43" i="21"/>
  <c r="E43" i="21"/>
  <c r="F43" i="21"/>
  <c r="G43" i="21"/>
  <c r="D44" i="21"/>
  <c r="E44" i="21"/>
  <c r="F44" i="21"/>
  <c r="G44" i="21"/>
  <c r="D45" i="21"/>
  <c r="E45" i="21"/>
  <c r="F45" i="21"/>
  <c r="G45" i="21"/>
  <c r="D46" i="21"/>
  <c r="E46" i="21"/>
  <c r="F46" i="21"/>
  <c r="G46" i="21"/>
  <c r="D47" i="21"/>
  <c r="E47" i="21"/>
  <c r="F47" i="21"/>
  <c r="G47" i="21"/>
  <c r="D48" i="21"/>
  <c r="E48" i="21"/>
  <c r="F48" i="21"/>
  <c r="G48" i="21"/>
  <c r="D49" i="21"/>
  <c r="E49" i="21"/>
  <c r="F49" i="21"/>
  <c r="G49" i="21"/>
  <c r="D50" i="21"/>
  <c r="E50" i="21"/>
  <c r="F50" i="21"/>
  <c r="G50" i="21"/>
  <c r="D51" i="21"/>
  <c r="E51" i="21"/>
  <c r="F51" i="21"/>
  <c r="G51" i="21"/>
  <c r="D52" i="21"/>
  <c r="E52" i="21"/>
  <c r="F52" i="21"/>
  <c r="G52" i="21"/>
  <c r="M2" i="8"/>
  <c r="D4" i="11" l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3" i="11"/>
  <c r="M5" i="11"/>
  <c r="M6" i="11"/>
  <c r="F3" i="11"/>
  <c r="E3" i="11"/>
  <c r="D63" i="20"/>
  <c r="D62" i="16"/>
  <c r="L27" i="20"/>
  <c r="D13" i="20"/>
  <c r="E13" i="20" s="1"/>
  <c r="F13" i="20" s="1"/>
  <c r="D12" i="20"/>
  <c r="E12" i="20" s="1"/>
  <c r="F12" i="20" s="1"/>
  <c r="I14" i="19"/>
  <c r="H14" i="19" s="1"/>
  <c r="H5" i="19"/>
  <c r="H6" i="19" s="1"/>
  <c r="H7" i="19" s="1"/>
  <c r="J4" i="19"/>
  <c r="D2" i="19"/>
  <c r="I1" i="19"/>
  <c r="D12" i="16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H4" i="16" s="1"/>
  <c r="N1" i="14"/>
  <c r="D14" i="20" l="1"/>
  <c r="E14" i="20" s="1"/>
  <c r="F14" i="20" s="1"/>
  <c r="G14" i="20" s="1"/>
  <c r="H14" i="20" s="1"/>
  <c r="G12" i="20"/>
  <c r="H12" i="20" s="1"/>
  <c r="G13" i="20"/>
  <c r="H13" i="20" s="1"/>
  <c r="H8" i="19"/>
  <c r="J7" i="19"/>
  <c r="J6" i="19"/>
  <c r="D3" i="19"/>
  <c r="E2" i="19"/>
  <c r="J5" i="19"/>
  <c r="D3" i="18"/>
  <c r="E3" i="18" s="1"/>
  <c r="D4" i="18"/>
  <c r="E4" i="18" s="1"/>
  <c r="D5" i="18"/>
  <c r="E5" i="18" s="1"/>
  <c r="D6" i="18"/>
  <c r="E6" i="18" s="1"/>
  <c r="D7" i="18"/>
  <c r="E7" i="18" s="1"/>
  <c r="D8" i="18"/>
  <c r="E8" i="18" s="1"/>
  <c r="D9" i="18"/>
  <c r="F9" i="18" s="1"/>
  <c r="E9" i="18"/>
  <c r="D10" i="18"/>
  <c r="E10" i="18" s="1"/>
  <c r="F10" i="18"/>
  <c r="A1" i="17"/>
  <c r="B1" i="17"/>
  <c r="A2" i="17"/>
  <c r="A3" i="17"/>
  <c r="A4" i="17"/>
  <c r="F4" i="17" s="1"/>
  <c r="A5" i="17"/>
  <c r="F5" i="17" s="1"/>
  <c r="A6" i="17"/>
  <c r="F6" i="17" s="1"/>
  <c r="A7" i="17"/>
  <c r="A8" i="17"/>
  <c r="F8" i="17"/>
  <c r="A9" i="17"/>
  <c r="F9" i="17" s="1"/>
  <c r="A10" i="17"/>
  <c r="F10" i="17" s="1"/>
  <c r="A11" i="17"/>
  <c r="F11" i="17" s="1"/>
  <c r="A12" i="17"/>
  <c r="F12" i="17" s="1"/>
  <c r="A13" i="17"/>
  <c r="F13" i="17" s="1"/>
  <c r="A14" i="17"/>
  <c r="F14" i="17" s="1"/>
  <c r="A15" i="17"/>
  <c r="F15" i="17" s="1"/>
  <c r="A16" i="17"/>
  <c r="F16" i="17" s="1"/>
  <c r="A17" i="17"/>
  <c r="F17" i="17" s="1"/>
  <c r="A18" i="17"/>
  <c r="F18" i="17" s="1"/>
  <c r="A19" i="17"/>
  <c r="F19" i="17" s="1"/>
  <c r="A20" i="17"/>
  <c r="F20" i="17"/>
  <c r="A21" i="17"/>
  <c r="F21" i="17" s="1"/>
  <c r="A22" i="17"/>
  <c r="F22" i="17" s="1"/>
  <c r="A23" i="17"/>
  <c r="F23" i="17" s="1"/>
  <c r="A24" i="17"/>
  <c r="F24" i="17" s="1"/>
  <c r="A25" i="17"/>
  <c r="F25" i="17" s="1"/>
  <c r="A26" i="17"/>
  <c r="F26" i="17" s="1"/>
  <c r="A27" i="17"/>
  <c r="F27" i="17" s="1"/>
  <c r="A28" i="17"/>
  <c r="F28" i="17" s="1"/>
  <c r="A29" i="17"/>
  <c r="F29" i="17" s="1"/>
  <c r="A30" i="17"/>
  <c r="F30" i="17" s="1"/>
  <c r="A31" i="17"/>
  <c r="F31" i="17" s="1"/>
  <c r="A32" i="17"/>
  <c r="F32" i="17" s="1"/>
  <c r="A33" i="17"/>
  <c r="F33" i="17" s="1"/>
  <c r="A34" i="17"/>
  <c r="F34" i="17" s="1"/>
  <c r="A35" i="17"/>
  <c r="F35" i="17" s="1"/>
  <c r="A36" i="17"/>
  <c r="F36" i="17" s="1"/>
  <c r="A37" i="17"/>
  <c r="F37" i="17" s="1"/>
  <c r="A38" i="17"/>
  <c r="F38" i="17" s="1"/>
  <c r="A39" i="17"/>
  <c r="F39" i="17" s="1"/>
  <c r="A40" i="17"/>
  <c r="F40" i="17"/>
  <c r="A41" i="17"/>
  <c r="F41" i="17" s="1"/>
  <c r="A42" i="17"/>
  <c r="F42" i="17" s="1"/>
  <c r="A43" i="17"/>
  <c r="F43" i="17" s="1"/>
  <c r="A44" i="17"/>
  <c r="F44" i="17" s="1"/>
  <c r="A45" i="17"/>
  <c r="F45" i="17" s="1"/>
  <c r="A46" i="17"/>
  <c r="F46" i="17" s="1"/>
  <c r="A47" i="17"/>
  <c r="F47" i="17" s="1"/>
  <c r="A48" i="17"/>
  <c r="F48" i="17" s="1"/>
  <c r="A49" i="17"/>
  <c r="F49" i="17" s="1"/>
  <c r="A50" i="17"/>
  <c r="F50" i="17" s="1"/>
  <c r="A51" i="17"/>
  <c r="F51" i="17" s="1"/>
  <c r="A52" i="17"/>
  <c r="F52" i="17" s="1"/>
  <c r="A53" i="17"/>
  <c r="F53" i="17" s="1"/>
  <c r="A54" i="17"/>
  <c r="F54" i="17" s="1"/>
  <c r="A55" i="17"/>
  <c r="F55" i="17"/>
  <c r="A56" i="17"/>
  <c r="F56" i="17" s="1"/>
  <c r="A57" i="17"/>
  <c r="F57" i="17" s="1"/>
  <c r="A58" i="17"/>
  <c r="F58" i="17"/>
  <c r="A59" i="17"/>
  <c r="F59" i="17" s="1"/>
  <c r="A60" i="17"/>
  <c r="F60" i="17" s="1"/>
  <c r="A61" i="17"/>
  <c r="F61" i="17" s="1"/>
  <c r="A62" i="17"/>
  <c r="F62" i="17" s="1"/>
  <c r="A63" i="17"/>
  <c r="F63" i="17" s="1"/>
  <c r="A64" i="17"/>
  <c r="F64" i="17" s="1"/>
  <c r="A65" i="17"/>
  <c r="F65" i="17" s="1"/>
  <c r="A66" i="17"/>
  <c r="F66" i="17" s="1"/>
  <c r="A67" i="17"/>
  <c r="F67" i="17" s="1"/>
  <c r="A68" i="17"/>
  <c r="F68" i="17" s="1"/>
  <c r="A69" i="17"/>
  <c r="F69" i="17" s="1"/>
  <c r="A70" i="17"/>
  <c r="F70" i="17" s="1"/>
  <c r="A71" i="17"/>
  <c r="F71" i="17"/>
  <c r="A72" i="17"/>
  <c r="F72" i="17" s="1"/>
  <c r="A73" i="17"/>
  <c r="F73" i="17" s="1"/>
  <c r="A74" i="17"/>
  <c r="F74" i="17" s="1"/>
  <c r="A75" i="17"/>
  <c r="F75" i="17" s="1"/>
  <c r="A76" i="17"/>
  <c r="F76" i="17"/>
  <c r="D15" i="20" l="1"/>
  <c r="E15" i="20" s="1"/>
  <c r="F15" i="20" s="1"/>
  <c r="D4" i="19"/>
  <c r="E3" i="19"/>
  <c r="F3" i="19"/>
  <c r="F2" i="19"/>
  <c r="H9" i="19"/>
  <c r="J8" i="19"/>
  <c r="F3" i="18"/>
  <c r="F8" i="18"/>
  <c r="F7" i="18"/>
  <c r="G7" i="18" s="1"/>
  <c r="F6" i="18"/>
  <c r="G6" i="18" s="1"/>
  <c r="F5" i="18"/>
  <c r="G5" i="18" s="1"/>
  <c r="F4" i="18"/>
  <c r="G4" i="18" s="1"/>
  <c r="F7" i="17"/>
  <c r="D16" i="20" l="1"/>
  <c r="D17" i="20" s="1"/>
  <c r="G15" i="20"/>
  <c r="H15" i="20" s="1"/>
  <c r="H10" i="19"/>
  <c r="J9" i="19"/>
  <c r="D5" i="19"/>
  <c r="E4" i="19"/>
  <c r="A1" i="15"/>
  <c r="Q1" i="15"/>
  <c r="A3" i="15"/>
  <c r="A4" i="15"/>
  <c r="A5" i="15"/>
  <c r="N5" i="15"/>
  <c r="A6" i="15"/>
  <c r="A7" i="15"/>
  <c r="A8" i="15"/>
  <c r="A9" i="15"/>
  <c r="A10" i="15"/>
  <c r="A11" i="15"/>
  <c r="A12" i="15"/>
  <c r="A13" i="15"/>
  <c r="A14" i="15"/>
  <c r="A15" i="15"/>
  <c r="A16" i="15"/>
  <c r="N16" i="15"/>
  <c r="A17" i="15"/>
  <c r="A18" i="15"/>
  <c r="A19" i="15"/>
  <c r="A20" i="15"/>
  <c r="A21" i="15"/>
  <c r="A22" i="15"/>
  <c r="A23" i="15"/>
  <c r="Z29" i="15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X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E16" i="20" l="1"/>
  <c r="F16" i="20" s="1"/>
  <c r="G16" i="20" s="1"/>
  <c r="H16" i="20" s="1"/>
  <c r="E17" i="20"/>
  <c r="F17" i="20" s="1"/>
  <c r="D18" i="20"/>
  <c r="E5" i="19"/>
  <c r="F5" i="19" s="1"/>
  <c r="D6" i="19"/>
  <c r="F4" i="19"/>
  <c r="H11" i="19"/>
  <c r="J10" i="19"/>
  <c r="D2" i="14"/>
  <c r="E2" i="14"/>
  <c r="H77" i="13"/>
  <c r="E2" i="13"/>
  <c r="H2" i="13" s="1"/>
  <c r="D3" i="13"/>
  <c r="E3" i="13" s="1"/>
  <c r="F3" i="13" s="1"/>
  <c r="D2" i="13"/>
  <c r="A1" i="13"/>
  <c r="A2" i="13"/>
  <c r="F2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L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G17" i="20" l="1"/>
  <c r="H17" i="20" s="1"/>
  <c r="E18" i="20"/>
  <c r="F18" i="20" s="1"/>
  <c r="D19" i="20"/>
  <c r="H12" i="19"/>
  <c r="J11" i="19"/>
  <c r="D7" i="19"/>
  <c r="E6" i="19"/>
  <c r="F3" i="14"/>
  <c r="G3" i="14" s="1"/>
  <c r="H3" i="13"/>
  <c r="D4" i="13"/>
  <c r="E4" i="13" s="1"/>
  <c r="H4" i="13" s="1"/>
  <c r="G2" i="13"/>
  <c r="G3" i="13"/>
  <c r="F4" i="11"/>
  <c r="F5" i="11"/>
  <c r="F8" i="11"/>
  <c r="F9" i="11"/>
  <c r="F12" i="11"/>
  <c r="F13" i="11"/>
  <c r="F16" i="11"/>
  <c r="F17" i="11"/>
  <c r="F20" i="11"/>
  <c r="F21" i="11"/>
  <c r="F24" i="11"/>
  <c r="F25" i="11"/>
  <c r="F28" i="11"/>
  <c r="F29" i="11"/>
  <c r="F32" i="11"/>
  <c r="F33" i="11"/>
  <c r="F36" i="11"/>
  <c r="F37" i="11"/>
  <c r="F40" i="11"/>
  <c r="F41" i="11"/>
  <c r="F44" i="11"/>
  <c r="F45" i="11"/>
  <c r="F48" i="11"/>
  <c r="F49" i="11"/>
  <c r="F52" i="11"/>
  <c r="G2" i="11"/>
  <c r="F6" i="11" s="1"/>
  <c r="E19" i="20" l="1"/>
  <c r="F19" i="20" s="1"/>
  <c r="D20" i="20"/>
  <c r="G18" i="20"/>
  <c r="H18" i="20" s="1"/>
  <c r="D8" i="19"/>
  <c r="E7" i="19"/>
  <c r="F7" i="19" s="1"/>
  <c r="F6" i="19"/>
  <c r="H13" i="19"/>
  <c r="J13" i="19" s="1"/>
  <c r="J12" i="19"/>
  <c r="D3" i="14"/>
  <c r="E3" i="14" s="1"/>
  <c r="F4" i="14" s="1"/>
  <c r="F51" i="11"/>
  <c r="F47" i="11"/>
  <c r="F43" i="11"/>
  <c r="F39" i="11"/>
  <c r="F35" i="11"/>
  <c r="F31" i="11"/>
  <c r="F27" i="11"/>
  <c r="F23" i="11"/>
  <c r="F19" i="11"/>
  <c r="F15" i="11"/>
  <c r="F11" i="11"/>
  <c r="F7" i="11"/>
  <c r="I2" i="11" s="1"/>
  <c r="F50" i="11"/>
  <c r="F46" i="11"/>
  <c r="F42" i="11"/>
  <c r="F38" i="11"/>
  <c r="F34" i="11"/>
  <c r="F30" i="11"/>
  <c r="F26" i="11"/>
  <c r="F22" i="11"/>
  <c r="F18" i="11"/>
  <c r="F14" i="11"/>
  <c r="F10" i="11"/>
  <c r="H3" i="14"/>
  <c r="D5" i="13"/>
  <c r="E5" i="13" s="1"/>
  <c r="H5" i="13" s="1"/>
  <c r="F4" i="13"/>
  <c r="P77" i="12"/>
  <c r="L77" i="12"/>
  <c r="P76" i="12"/>
  <c r="L76" i="12"/>
  <c r="P75" i="12"/>
  <c r="L75" i="12"/>
  <c r="P74" i="12"/>
  <c r="L74" i="12"/>
  <c r="P73" i="12"/>
  <c r="L73" i="12"/>
  <c r="P72" i="12"/>
  <c r="L72" i="12"/>
  <c r="P71" i="12"/>
  <c r="L71" i="12"/>
  <c r="P70" i="12"/>
  <c r="L70" i="12"/>
  <c r="P69" i="12"/>
  <c r="L69" i="12"/>
  <c r="P68" i="12"/>
  <c r="L68" i="12"/>
  <c r="P67" i="12"/>
  <c r="L67" i="12"/>
  <c r="P66" i="12"/>
  <c r="L66" i="12"/>
  <c r="P65" i="12"/>
  <c r="L65" i="12"/>
  <c r="P64" i="12"/>
  <c r="L64" i="12"/>
  <c r="P63" i="12"/>
  <c r="L63" i="12"/>
  <c r="P62" i="12"/>
  <c r="L62" i="12"/>
  <c r="P61" i="12"/>
  <c r="L61" i="12"/>
  <c r="P60" i="12"/>
  <c r="L60" i="12"/>
  <c r="P59" i="12"/>
  <c r="L59" i="12"/>
  <c r="P58" i="12"/>
  <c r="L58" i="12"/>
  <c r="P57" i="12"/>
  <c r="L57" i="12"/>
  <c r="P56" i="12"/>
  <c r="L56" i="12"/>
  <c r="P55" i="12"/>
  <c r="L55" i="12"/>
  <c r="P54" i="12"/>
  <c r="L54" i="12"/>
  <c r="P53" i="12"/>
  <c r="L53" i="12"/>
  <c r="P52" i="12"/>
  <c r="L52" i="12"/>
  <c r="P51" i="12"/>
  <c r="L51" i="12"/>
  <c r="P50" i="12"/>
  <c r="L50" i="12"/>
  <c r="P49" i="12"/>
  <c r="L49" i="12"/>
  <c r="P48" i="12"/>
  <c r="L48" i="12"/>
  <c r="P47" i="12"/>
  <c r="L47" i="12"/>
  <c r="P46" i="12"/>
  <c r="L46" i="12"/>
  <c r="P45" i="12"/>
  <c r="L45" i="12"/>
  <c r="P44" i="12"/>
  <c r="L44" i="12"/>
  <c r="P43" i="12"/>
  <c r="L43" i="12"/>
  <c r="P42" i="12"/>
  <c r="L42" i="12"/>
  <c r="P41" i="12"/>
  <c r="L41" i="12"/>
  <c r="P40" i="12"/>
  <c r="L40" i="12"/>
  <c r="P39" i="12"/>
  <c r="L39" i="12"/>
  <c r="P38" i="12"/>
  <c r="L38" i="12"/>
  <c r="P37" i="12"/>
  <c r="L37" i="12"/>
  <c r="P36" i="12"/>
  <c r="L36" i="12"/>
  <c r="P35" i="12"/>
  <c r="L35" i="12"/>
  <c r="P34" i="12"/>
  <c r="L34" i="12"/>
  <c r="P33" i="12"/>
  <c r="L33" i="12"/>
  <c r="P32" i="12"/>
  <c r="L32" i="12"/>
  <c r="P31" i="12"/>
  <c r="L31" i="12"/>
  <c r="P30" i="12"/>
  <c r="L30" i="12"/>
  <c r="P29" i="12"/>
  <c r="L29" i="12"/>
  <c r="P28" i="12"/>
  <c r="L28" i="12"/>
  <c r="P27" i="12"/>
  <c r="L27" i="12"/>
  <c r="P26" i="12"/>
  <c r="L26" i="12"/>
  <c r="P25" i="12"/>
  <c r="L25" i="12"/>
  <c r="P24" i="12"/>
  <c r="L24" i="12"/>
  <c r="P23" i="12"/>
  <c r="L23" i="12"/>
  <c r="P22" i="12"/>
  <c r="L22" i="12"/>
  <c r="P21" i="12"/>
  <c r="L21" i="12"/>
  <c r="P20" i="12"/>
  <c r="L20" i="12"/>
  <c r="P19" i="12"/>
  <c r="L19" i="12"/>
  <c r="P18" i="12"/>
  <c r="L18" i="12"/>
  <c r="P17" i="12"/>
  <c r="L17" i="12"/>
  <c r="P16" i="12"/>
  <c r="L16" i="12"/>
  <c r="P15" i="12"/>
  <c r="L15" i="12"/>
  <c r="P14" i="12"/>
  <c r="L14" i="12"/>
  <c r="P13" i="12"/>
  <c r="L13" i="12"/>
  <c r="P12" i="12"/>
  <c r="L12" i="12"/>
  <c r="P11" i="12"/>
  <c r="L11" i="12"/>
  <c r="P10" i="12"/>
  <c r="L10" i="12"/>
  <c r="P9" i="12"/>
  <c r="L9" i="12"/>
  <c r="P8" i="12"/>
  <c r="L8" i="12"/>
  <c r="P7" i="12"/>
  <c r="L7" i="12"/>
  <c r="P6" i="12"/>
  <c r="L6" i="12"/>
  <c r="P5" i="12"/>
  <c r="L5" i="12"/>
  <c r="P4" i="12"/>
  <c r="L4" i="12"/>
  <c r="P3" i="12"/>
  <c r="L3" i="12"/>
  <c r="S1" i="12"/>
  <c r="R1" i="12"/>
  <c r="E20" i="20" l="1"/>
  <c r="F20" i="20" s="1"/>
  <c r="D21" i="20"/>
  <c r="G19" i="20"/>
  <c r="H19" i="20" s="1"/>
  <c r="D9" i="19"/>
  <c r="E8" i="19"/>
  <c r="G4" i="14"/>
  <c r="D4" i="14"/>
  <c r="I3" i="14"/>
  <c r="J3" i="14" s="1"/>
  <c r="D6" i="13"/>
  <c r="E6" i="13" s="1"/>
  <c r="H6" i="13" s="1"/>
  <c r="G4" i="13"/>
  <c r="F5" i="13"/>
  <c r="G5" i="13" s="1"/>
  <c r="O69" i="12"/>
  <c r="Q69" i="12" s="1"/>
  <c r="D69" i="12" s="1"/>
  <c r="B68" i="17" s="1"/>
  <c r="O6" i="12"/>
  <c r="Q6" i="12" s="1"/>
  <c r="D6" i="12" s="1"/>
  <c r="B5" i="17" s="1"/>
  <c r="O37" i="12"/>
  <c r="Q37" i="12" s="1"/>
  <c r="D37" i="12" s="1"/>
  <c r="B36" i="17" s="1"/>
  <c r="O53" i="12"/>
  <c r="Q53" i="12" s="1"/>
  <c r="D53" i="12" s="1"/>
  <c r="B52" i="17" s="1"/>
  <c r="O77" i="12"/>
  <c r="Q77" i="12" s="1"/>
  <c r="D77" i="12" s="1"/>
  <c r="B76" i="17" s="1"/>
  <c r="O21" i="12"/>
  <c r="Q21" i="12" s="1"/>
  <c r="D21" i="12" s="1"/>
  <c r="B20" i="17" s="1"/>
  <c r="O3" i="12"/>
  <c r="Q3" i="12" s="1"/>
  <c r="O4" i="12"/>
  <c r="Q4" i="12" s="1"/>
  <c r="D4" i="12" s="1"/>
  <c r="B3" i="17" s="1"/>
  <c r="O25" i="12"/>
  <c r="Q25" i="12" s="1"/>
  <c r="D25" i="12" s="1"/>
  <c r="B24" i="17" s="1"/>
  <c r="O73" i="12"/>
  <c r="Q73" i="12" s="1"/>
  <c r="D73" i="12" s="1"/>
  <c r="B72" i="17" s="1"/>
  <c r="O29" i="12"/>
  <c r="Q29" i="12" s="1"/>
  <c r="D29" i="12" s="1"/>
  <c r="B28" i="17" s="1"/>
  <c r="O45" i="12"/>
  <c r="Q45" i="12" s="1"/>
  <c r="D45" i="12" s="1"/>
  <c r="B44" i="17" s="1"/>
  <c r="O61" i="12"/>
  <c r="Q61" i="12" s="1"/>
  <c r="D61" i="12" s="1"/>
  <c r="B60" i="17" s="1"/>
  <c r="O75" i="12"/>
  <c r="Q75" i="12" s="1"/>
  <c r="D75" i="12" s="1"/>
  <c r="B74" i="17" s="1"/>
  <c r="O71" i="12"/>
  <c r="Q71" i="12" s="1"/>
  <c r="D71" i="12" s="1"/>
  <c r="B70" i="17" s="1"/>
  <c r="O67" i="12"/>
  <c r="Q67" i="12" s="1"/>
  <c r="D67" i="12" s="1"/>
  <c r="B66" i="17" s="1"/>
  <c r="O63" i="12"/>
  <c r="Q63" i="12" s="1"/>
  <c r="D63" i="12" s="1"/>
  <c r="B62" i="17" s="1"/>
  <c r="O59" i="12"/>
  <c r="Q59" i="12" s="1"/>
  <c r="D59" i="12" s="1"/>
  <c r="B58" i="17" s="1"/>
  <c r="O55" i="12"/>
  <c r="Q55" i="12" s="1"/>
  <c r="D55" i="12" s="1"/>
  <c r="B54" i="17" s="1"/>
  <c r="O51" i="12"/>
  <c r="Q51" i="12" s="1"/>
  <c r="D51" i="12" s="1"/>
  <c r="B50" i="17" s="1"/>
  <c r="O47" i="12"/>
  <c r="Q47" i="12" s="1"/>
  <c r="D47" i="12" s="1"/>
  <c r="B46" i="17" s="1"/>
  <c r="O43" i="12"/>
  <c r="Q43" i="12" s="1"/>
  <c r="D43" i="12" s="1"/>
  <c r="B42" i="17" s="1"/>
  <c r="O39" i="12"/>
  <c r="Q39" i="12" s="1"/>
  <c r="D39" i="12" s="1"/>
  <c r="B38" i="17" s="1"/>
  <c r="O35" i="12"/>
  <c r="Q35" i="12" s="1"/>
  <c r="D35" i="12" s="1"/>
  <c r="B34" i="17" s="1"/>
  <c r="O31" i="12"/>
  <c r="Q31" i="12" s="1"/>
  <c r="D31" i="12" s="1"/>
  <c r="B30" i="17" s="1"/>
  <c r="O27" i="12"/>
  <c r="Q27" i="12" s="1"/>
  <c r="D27" i="12" s="1"/>
  <c r="B26" i="17" s="1"/>
  <c r="O23" i="12"/>
  <c r="Q23" i="12" s="1"/>
  <c r="D23" i="12" s="1"/>
  <c r="B22" i="17" s="1"/>
  <c r="O19" i="12"/>
  <c r="Q19" i="12" s="1"/>
  <c r="D19" i="12" s="1"/>
  <c r="B18" i="17" s="1"/>
  <c r="O15" i="12"/>
  <c r="Q15" i="12" s="1"/>
  <c r="D15" i="12" s="1"/>
  <c r="B14" i="17" s="1"/>
  <c r="O76" i="12"/>
  <c r="Q76" i="12" s="1"/>
  <c r="D76" i="12" s="1"/>
  <c r="B75" i="17" s="1"/>
  <c r="O72" i="12"/>
  <c r="Q72" i="12" s="1"/>
  <c r="D72" i="12" s="1"/>
  <c r="B71" i="17" s="1"/>
  <c r="O68" i="12"/>
  <c r="Q68" i="12" s="1"/>
  <c r="D68" i="12" s="1"/>
  <c r="B67" i="17" s="1"/>
  <c r="O64" i="12"/>
  <c r="Q64" i="12" s="1"/>
  <c r="D64" i="12" s="1"/>
  <c r="B63" i="17" s="1"/>
  <c r="O60" i="12"/>
  <c r="Q60" i="12" s="1"/>
  <c r="D60" i="12" s="1"/>
  <c r="B59" i="17" s="1"/>
  <c r="O56" i="12"/>
  <c r="Q56" i="12" s="1"/>
  <c r="D56" i="12" s="1"/>
  <c r="B55" i="17" s="1"/>
  <c r="O52" i="12"/>
  <c r="Q52" i="12" s="1"/>
  <c r="D52" i="12" s="1"/>
  <c r="B51" i="17" s="1"/>
  <c r="O48" i="12"/>
  <c r="Q48" i="12" s="1"/>
  <c r="D48" i="12" s="1"/>
  <c r="B47" i="17" s="1"/>
  <c r="O44" i="12"/>
  <c r="Q44" i="12" s="1"/>
  <c r="D44" i="12" s="1"/>
  <c r="B43" i="17" s="1"/>
  <c r="O40" i="12"/>
  <c r="Q40" i="12" s="1"/>
  <c r="D40" i="12" s="1"/>
  <c r="B39" i="17" s="1"/>
  <c r="O36" i="12"/>
  <c r="Q36" i="12" s="1"/>
  <c r="D36" i="12" s="1"/>
  <c r="B35" i="17" s="1"/>
  <c r="O32" i="12"/>
  <c r="Q32" i="12" s="1"/>
  <c r="D32" i="12" s="1"/>
  <c r="B31" i="17" s="1"/>
  <c r="O28" i="12"/>
  <c r="Q28" i="12" s="1"/>
  <c r="D28" i="12" s="1"/>
  <c r="B27" i="17" s="1"/>
  <c r="O24" i="12"/>
  <c r="Q24" i="12" s="1"/>
  <c r="D24" i="12" s="1"/>
  <c r="B23" i="17" s="1"/>
  <c r="O20" i="12"/>
  <c r="Q20" i="12" s="1"/>
  <c r="D20" i="12" s="1"/>
  <c r="B19" i="17" s="1"/>
  <c r="O16" i="12"/>
  <c r="Q16" i="12" s="1"/>
  <c r="D16" i="12" s="1"/>
  <c r="B15" i="17" s="1"/>
  <c r="O14" i="12"/>
  <c r="Q14" i="12" s="1"/>
  <c r="D14" i="12" s="1"/>
  <c r="B13" i="17" s="1"/>
  <c r="O70" i="12"/>
  <c r="Q70" i="12" s="1"/>
  <c r="D70" i="12" s="1"/>
  <c r="B69" i="17" s="1"/>
  <c r="O62" i="12"/>
  <c r="Q62" i="12" s="1"/>
  <c r="D62" i="12" s="1"/>
  <c r="B61" i="17" s="1"/>
  <c r="O54" i="12"/>
  <c r="Q54" i="12" s="1"/>
  <c r="D54" i="12" s="1"/>
  <c r="B53" i="17" s="1"/>
  <c r="O46" i="12"/>
  <c r="Q46" i="12" s="1"/>
  <c r="D46" i="12" s="1"/>
  <c r="B45" i="17" s="1"/>
  <c r="O38" i="12"/>
  <c r="Q38" i="12" s="1"/>
  <c r="D38" i="12" s="1"/>
  <c r="B37" i="17" s="1"/>
  <c r="O30" i="12"/>
  <c r="Q30" i="12" s="1"/>
  <c r="D30" i="12" s="1"/>
  <c r="B29" i="17" s="1"/>
  <c r="O22" i="12"/>
  <c r="Q22" i="12" s="1"/>
  <c r="D22" i="12" s="1"/>
  <c r="B21" i="17" s="1"/>
  <c r="O13" i="12"/>
  <c r="Q13" i="12" s="1"/>
  <c r="D13" i="12" s="1"/>
  <c r="B12" i="17" s="1"/>
  <c r="O12" i="12"/>
  <c r="Q12" i="12" s="1"/>
  <c r="D12" i="12" s="1"/>
  <c r="B11" i="17" s="1"/>
  <c r="O10" i="12"/>
  <c r="Q10" i="12" s="1"/>
  <c r="D10" i="12" s="1"/>
  <c r="B9" i="17" s="1"/>
  <c r="O7" i="12"/>
  <c r="Q7" i="12" s="1"/>
  <c r="D7" i="12" s="1"/>
  <c r="B6" i="17" s="1"/>
  <c r="O74" i="12"/>
  <c r="Q74" i="12" s="1"/>
  <c r="D74" i="12" s="1"/>
  <c r="B73" i="17" s="1"/>
  <c r="O66" i="12"/>
  <c r="Q66" i="12" s="1"/>
  <c r="D66" i="12" s="1"/>
  <c r="B65" i="17" s="1"/>
  <c r="O58" i="12"/>
  <c r="Q58" i="12" s="1"/>
  <c r="D58" i="12" s="1"/>
  <c r="B57" i="17" s="1"/>
  <c r="O50" i="12"/>
  <c r="Q50" i="12" s="1"/>
  <c r="D50" i="12" s="1"/>
  <c r="B49" i="17" s="1"/>
  <c r="O42" i="12"/>
  <c r="Q42" i="12" s="1"/>
  <c r="D42" i="12" s="1"/>
  <c r="B41" i="17" s="1"/>
  <c r="O34" i="12"/>
  <c r="Q34" i="12" s="1"/>
  <c r="D34" i="12" s="1"/>
  <c r="B33" i="17" s="1"/>
  <c r="O26" i="12"/>
  <c r="Q26" i="12" s="1"/>
  <c r="D26" i="12" s="1"/>
  <c r="B25" i="17" s="1"/>
  <c r="O18" i="12"/>
  <c r="Q18" i="12" s="1"/>
  <c r="D18" i="12" s="1"/>
  <c r="B17" i="17" s="1"/>
  <c r="O11" i="12"/>
  <c r="Q11" i="12" s="1"/>
  <c r="D11" i="12" s="1"/>
  <c r="B10" i="17" s="1"/>
  <c r="O9" i="12"/>
  <c r="Q9" i="12" s="1"/>
  <c r="D9" i="12" s="1"/>
  <c r="B8" i="17" s="1"/>
  <c r="O5" i="12"/>
  <c r="Q5" i="12" s="1"/>
  <c r="D5" i="12" s="1"/>
  <c r="B4" i="17" s="1"/>
  <c r="O8" i="12"/>
  <c r="Q8" i="12" s="1"/>
  <c r="D8" i="12" s="1"/>
  <c r="B7" i="17" s="1"/>
  <c r="O41" i="12"/>
  <c r="Q41" i="12" s="1"/>
  <c r="D41" i="12" s="1"/>
  <c r="B40" i="17" s="1"/>
  <c r="O57" i="12"/>
  <c r="Q57" i="12" s="1"/>
  <c r="D57" i="12" s="1"/>
  <c r="B56" i="17" s="1"/>
  <c r="O17" i="12"/>
  <c r="Q17" i="12" s="1"/>
  <c r="D17" i="12" s="1"/>
  <c r="B16" i="17" s="1"/>
  <c r="O33" i="12"/>
  <c r="Q33" i="12" s="1"/>
  <c r="D33" i="12" s="1"/>
  <c r="B32" i="17" s="1"/>
  <c r="O49" i="12"/>
  <c r="Q49" i="12" s="1"/>
  <c r="D49" i="12" s="1"/>
  <c r="B48" i="17" s="1"/>
  <c r="O65" i="12"/>
  <c r="Q65" i="12" s="1"/>
  <c r="D65" i="12" s="1"/>
  <c r="B64" i="17" s="1"/>
  <c r="I14" i="10"/>
  <c r="H5" i="10"/>
  <c r="J5" i="10" s="1"/>
  <c r="J4" i="10"/>
  <c r="D2" i="10"/>
  <c r="D3" i="10" s="1"/>
  <c r="D4" i="10" s="1"/>
  <c r="I1" i="10"/>
  <c r="E21" i="20" l="1"/>
  <c r="F21" i="20" s="1"/>
  <c r="G21" i="20" s="1"/>
  <c r="H21" i="20" s="1"/>
  <c r="D22" i="20"/>
  <c r="G20" i="20"/>
  <c r="H20" i="20" s="1"/>
  <c r="F8" i="19"/>
  <c r="D10" i="19"/>
  <c r="E9" i="19"/>
  <c r="F9" i="19" s="1"/>
  <c r="E4" i="14"/>
  <c r="F5" i="14" s="1"/>
  <c r="H4" i="14"/>
  <c r="D7" i="13"/>
  <c r="E7" i="13" s="1"/>
  <c r="H7" i="13" s="1"/>
  <c r="F6" i="13"/>
  <c r="B22" i="12"/>
  <c r="B16" i="12"/>
  <c r="B36" i="12"/>
  <c r="B64" i="12"/>
  <c r="B28" i="12"/>
  <c r="B48" i="12"/>
  <c r="B70" i="12"/>
  <c r="B44" i="12"/>
  <c r="B46" i="12"/>
  <c r="B10" i="12"/>
  <c r="B26" i="12"/>
  <c r="B58" i="12"/>
  <c r="B72" i="12"/>
  <c r="B60" i="12"/>
  <c r="B54" i="12"/>
  <c r="B51" i="12"/>
  <c r="B47" i="12"/>
  <c r="B76" i="12"/>
  <c r="B7" i="12"/>
  <c r="B33" i="12"/>
  <c r="B42" i="12"/>
  <c r="B75" i="12"/>
  <c r="B65" i="12"/>
  <c r="B63" i="12"/>
  <c r="B32" i="12"/>
  <c r="B9" i="12"/>
  <c r="B62" i="12"/>
  <c r="B13" i="12"/>
  <c r="B30" i="12"/>
  <c r="B19" i="12"/>
  <c r="B67" i="12"/>
  <c r="B4" i="12"/>
  <c r="C76" i="12"/>
  <c r="C72" i="12"/>
  <c r="C68" i="12"/>
  <c r="C64" i="12"/>
  <c r="C60" i="12"/>
  <c r="C56" i="12"/>
  <c r="C52" i="12"/>
  <c r="C48" i="12"/>
  <c r="C44" i="12"/>
  <c r="C40" i="12"/>
  <c r="C36" i="12"/>
  <c r="C32" i="12"/>
  <c r="C28" i="12"/>
  <c r="C24" i="12"/>
  <c r="C20" i="12"/>
  <c r="C16" i="12"/>
  <c r="C77" i="12"/>
  <c r="C73" i="12"/>
  <c r="C69" i="12"/>
  <c r="C65" i="12"/>
  <c r="C61" i="12"/>
  <c r="C57" i="12"/>
  <c r="C53" i="12"/>
  <c r="C49" i="12"/>
  <c r="C45" i="12"/>
  <c r="C41" i="12"/>
  <c r="C37" i="12"/>
  <c r="C33" i="12"/>
  <c r="C29" i="12"/>
  <c r="C25" i="12"/>
  <c r="C21" i="12"/>
  <c r="C17" i="12"/>
  <c r="C15" i="12"/>
  <c r="C75" i="12"/>
  <c r="C74" i="12"/>
  <c r="C67" i="12"/>
  <c r="C66" i="12"/>
  <c r="C59" i="12"/>
  <c r="C58" i="12"/>
  <c r="C51" i="12"/>
  <c r="C50" i="12"/>
  <c r="C43" i="12"/>
  <c r="C42" i="12"/>
  <c r="C35" i="12"/>
  <c r="C34" i="12"/>
  <c r="C27" i="12"/>
  <c r="C26" i="12"/>
  <c r="C19" i="12"/>
  <c r="C18" i="12"/>
  <c r="C13" i="12"/>
  <c r="C11" i="12"/>
  <c r="C8" i="12"/>
  <c r="C71" i="12"/>
  <c r="C70" i="12"/>
  <c r="C63" i="12"/>
  <c r="C62" i="12"/>
  <c r="C55" i="12"/>
  <c r="C54" i="12"/>
  <c r="C47" i="12"/>
  <c r="C46" i="12"/>
  <c r="C39" i="12"/>
  <c r="C38" i="12"/>
  <c r="C31" i="12"/>
  <c r="C30" i="12"/>
  <c r="C23" i="12"/>
  <c r="C22" i="12"/>
  <c r="C12" i="12"/>
  <c r="C10" i="12"/>
  <c r="C6" i="12"/>
  <c r="C7" i="12"/>
  <c r="C5" i="12"/>
  <c r="C4" i="12"/>
  <c r="C9" i="12"/>
  <c r="D3" i="12"/>
  <c r="B2" i="17" s="1"/>
  <c r="C4" i="17" s="1"/>
  <c r="C14" i="12"/>
  <c r="C3" i="12"/>
  <c r="B11" i="12"/>
  <c r="B34" i="12"/>
  <c r="B6" i="12"/>
  <c r="B74" i="12"/>
  <c r="B27" i="12"/>
  <c r="B43" i="12"/>
  <c r="B59" i="12"/>
  <c r="B40" i="12"/>
  <c r="B52" i="12"/>
  <c r="B20" i="12"/>
  <c r="B12" i="12"/>
  <c r="B61" i="12"/>
  <c r="B17" i="12"/>
  <c r="B37" i="12"/>
  <c r="B69" i="12"/>
  <c r="B29" i="12"/>
  <c r="B50" i="12"/>
  <c r="B25" i="12"/>
  <c r="B57" i="12"/>
  <c r="B14" i="12"/>
  <c r="B31" i="12"/>
  <c r="B5" i="12"/>
  <c r="B15" i="12"/>
  <c r="B38" i="12"/>
  <c r="B66" i="12"/>
  <c r="B35" i="12"/>
  <c r="B56" i="12"/>
  <c r="B24" i="12"/>
  <c r="B68" i="12"/>
  <c r="B45" i="12"/>
  <c r="B77" i="12"/>
  <c r="B49" i="12"/>
  <c r="B21" i="12"/>
  <c r="B53" i="12"/>
  <c r="B8" i="12"/>
  <c r="B18" i="12"/>
  <c r="B3" i="12"/>
  <c r="B41" i="12"/>
  <c r="B73" i="12"/>
  <c r="B23" i="12"/>
  <c r="B39" i="12"/>
  <c r="B55" i="12"/>
  <c r="B71" i="12"/>
  <c r="E2" i="10"/>
  <c r="H14" i="10"/>
  <c r="F2" i="10"/>
  <c r="E4" i="10"/>
  <c r="D5" i="10"/>
  <c r="H6" i="10"/>
  <c r="E3" i="10"/>
  <c r="Y2" i="8"/>
  <c r="Y3" i="8"/>
  <c r="Y4" i="8"/>
  <c r="Y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1" i="8"/>
  <c r="A26" i="16" l="1"/>
  <c r="A27" i="20"/>
  <c r="A32" i="16"/>
  <c r="A33" i="20"/>
  <c r="A22" i="16"/>
  <c r="A23" i="20"/>
  <c r="A48" i="16"/>
  <c r="A49" i="20"/>
  <c r="A21" i="16"/>
  <c r="A22" i="20"/>
  <c r="A41" i="16"/>
  <c r="A42" i="20"/>
  <c r="A23" i="16"/>
  <c r="A24" i="20"/>
  <c r="A47" i="16"/>
  <c r="A48" i="20"/>
  <c r="A11" i="16"/>
  <c r="A12" i="20"/>
  <c r="A29" i="16"/>
  <c r="A30" i="20"/>
  <c r="A39" i="16"/>
  <c r="A40" i="20"/>
  <c r="A58" i="16"/>
  <c r="A59" i="20"/>
  <c r="A25" i="16"/>
  <c r="A26" i="20"/>
  <c r="A60" i="16"/>
  <c r="A61" i="20"/>
  <c r="A35" i="16"/>
  <c r="A36" i="20"/>
  <c r="A19" i="16"/>
  <c r="A20" i="20"/>
  <c r="A38" i="16"/>
  <c r="A39" i="20"/>
  <c r="A40" i="16"/>
  <c r="A41" i="20"/>
  <c r="A50" i="16"/>
  <c r="A51" i="20"/>
  <c r="A55" i="16"/>
  <c r="A56" i="20"/>
  <c r="A54" i="16"/>
  <c r="A55" i="20"/>
  <c r="A36" i="16"/>
  <c r="A37" i="20"/>
  <c r="A30" i="16"/>
  <c r="A31" i="20"/>
  <c r="A31" i="16"/>
  <c r="A32" i="20"/>
  <c r="A57" i="16"/>
  <c r="A58" i="20"/>
  <c r="A46" i="16"/>
  <c r="A47" i="20"/>
  <c r="A37" i="16"/>
  <c r="A38" i="20"/>
  <c r="A12" i="16"/>
  <c r="A13" i="20"/>
  <c r="A59" i="16"/>
  <c r="A60" i="20"/>
  <c r="A52" i="16"/>
  <c r="A53" i="20"/>
  <c r="A16" i="16"/>
  <c r="A17" i="20"/>
  <c r="A20" i="16"/>
  <c r="A21" i="20"/>
  <c r="A14" i="16"/>
  <c r="A15" i="20"/>
  <c r="A15" i="16"/>
  <c r="A16" i="20"/>
  <c r="A34" i="16"/>
  <c r="A35" i="20"/>
  <c r="A44" i="16"/>
  <c r="A45" i="20"/>
  <c r="E22" i="20"/>
  <c r="F22" i="20" s="1"/>
  <c r="G22" i="20" s="1"/>
  <c r="H22" i="20" s="1"/>
  <c r="D23" i="20"/>
  <c r="A49" i="16"/>
  <c r="A50" i="20"/>
  <c r="A53" i="16"/>
  <c r="A54" i="20"/>
  <c r="A43" i="16"/>
  <c r="A44" i="20"/>
  <c r="A13" i="16"/>
  <c r="A14" i="20"/>
  <c r="A33" i="16"/>
  <c r="A34" i="20"/>
  <c r="A45" i="16"/>
  <c r="A46" i="20"/>
  <c r="A28" i="16"/>
  <c r="A29" i="20"/>
  <c r="A51" i="16"/>
  <c r="A52" i="20"/>
  <c r="A42" i="16"/>
  <c r="A43" i="20"/>
  <c r="A27" i="16"/>
  <c r="A28" i="20"/>
  <c r="A17" i="16"/>
  <c r="A18" i="20"/>
  <c r="A18" i="16"/>
  <c r="A19" i="20"/>
  <c r="A56" i="16"/>
  <c r="A57" i="20"/>
  <c r="A24" i="16"/>
  <c r="A25" i="20"/>
  <c r="E10" i="19"/>
  <c r="D11" i="19"/>
  <c r="D5" i="14"/>
  <c r="G5" i="14"/>
  <c r="I4" i="14"/>
  <c r="J4" i="14" s="1"/>
  <c r="D8" i="13"/>
  <c r="E8" i="13" s="1"/>
  <c r="H8" i="13" s="1"/>
  <c r="F7" i="13"/>
  <c r="G6" i="13"/>
  <c r="H7" i="10"/>
  <c r="J6" i="10"/>
  <c r="F3" i="10"/>
  <c r="F4" i="10"/>
  <c r="D6" i="10"/>
  <c r="E5" i="10"/>
  <c r="G32" i="4"/>
  <c r="J34" i="4" s="1"/>
  <c r="C32" i="4"/>
  <c r="F34" i="4" s="1"/>
  <c r="G31" i="4"/>
  <c r="H32" i="4" s="1"/>
  <c r="I32" i="4" s="1"/>
  <c r="J32" i="4" s="1"/>
  <c r="C31" i="4"/>
  <c r="D32" i="4" s="1"/>
  <c r="E32" i="4" s="1"/>
  <c r="F32" i="4" s="1"/>
  <c r="G30" i="4"/>
  <c r="H31" i="4" s="1"/>
  <c r="I31" i="4" s="1"/>
  <c r="J31" i="4" s="1"/>
  <c r="C30" i="4"/>
  <c r="D31" i="4" s="1"/>
  <c r="E31" i="4" s="1"/>
  <c r="F31" i="4" s="1"/>
  <c r="G29" i="4"/>
  <c r="H30" i="4" s="1"/>
  <c r="I30" i="4" s="1"/>
  <c r="J30" i="4" s="1"/>
  <c r="C29" i="4"/>
  <c r="D30" i="4" s="1"/>
  <c r="E30" i="4" s="1"/>
  <c r="F30" i="4" s="1"/>
  <c r="G28" i="4"/>
  <c r="H29" i="4" s="1"/>
  <c r="I29" i="4" s="1"/>
  <c r="J29" i="4" s="1"/>
  <c r="C28" i="4"/>
  <c r="D29" i="4" s="1"/>
  <c r="E29" i="4" s="1"/>
  <c r="F29" i="4" s="1"/>
  <c r="G27" i="4"/>
  <c r="H28" i="4" s="1"/>
  <c r="I28" i="4" s="1"/>
  <c r="J28" i="4" s="1"/>
  <c r="C27" i="4"/>
  <c r="D28" i="4" s="1"/>
  <c r="E28" i="4" s="1"/>
  <c r="F28" i="4" s="1"/>
  <c r="G26" i="4"/>
  <c r="H27" i="4" s="1"/>
  <c r="I27" i="4" s="1"/>
  <c r="J27" i="4" s="1"/>
  <c r="C26" i="4"/>
  <c r="D27" i="4" s="1"/>
  <c r="E27" i="4" s="1"/>
  <c r="F27" i="4" s="1"/>
  <c r="C25" i="4"/>
  <c r="D26" i="4" s="1"/>
  <c r="E26" i="4" s="1"/>
  <c r="F26" i="4" s="1"/>
  <c r="C24" i="4"/>
  <c r="D25" i="4" s="1"/>
  <c r="E25" i="4" s="1"/>
  <c r="F25" i="4" s="1"/>
  <c r="C23" i="4"/>
  <c r="D24" i="4" s="1"/>
  <c r="E24" i="4" s="1"/>
  <c r="F24" i="4" s="1"/>
  <c r="E23" i="20" l="1"/>
  <c r="F23" i="20" s="1"/>
  <c r="G23" i="20" s="1"/>
  <c r="H23" i="20" s="1"/>
  <c r="D24" i="20"/>
  <c r="F10" i="19"/>
  <c r="D12" i="19"/>
  <c r="E11" i="19"/>
  <c r="F11" i="19" s="1"/>
  <c r="D11" i="16"/>
  <c r="H5" i="14"/>
  <c r="E5" i="14"/>
  <c r="F6" i="14" s="1"/>
  <c r="D9" i="13"/>
  <c r="E9" i="13" s="1"/>
  <c r="H9" i="13" s="1"/>
  <c r="F8" i="13"/>
  <c r="G7" i="13"/>
  <c r="D7" i="10"/>
  <c r="E6" i="10"/>
  <c r="F5" i="10"/>
  <c r="H8" i="10"/>
  <c r="J7" i="10"/>
  <c r="F33" i="4"/>
  <c r="J33" i="4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3" i="9"/>
  <c r="E24" i="20" l="1"/>
  <c r="F24" i="20" s="1"/>
  <c r="G24" i="20" s="1"/>
  <c r="H24" i="20" s="1"/>
  <c r="D25" i="20"/>
  <c r="D13" i="19"/>
  <c r="E12" i="19"/>
  <c r="F12" i="19" s="1"/>
  <c r="E12" i="16"/>
  <c r="E11" i="16"/>
  <c r="E13" i="16"/>
  <c r="D6" i="14"/>
  <c r="G6" i="14"/>
  <c r="I5" i="14"/>
  <c r="J5" i="14" s="1"/>
  <c r="D10" i="13"/>
  <c r="E10" i="13" s="1"/>
  <c r="H10" i="13" s="1"/>
  <c r="F9" i="13"/>
  <c r="G8" i="13"/>
  <c r="F6" i="10"/>
  <c r="H9" i="10"/>
  <c r="J8" i="10"/>
  <c r="D8" i="10"/>
  <c r="E7" i="10"/>
  <c r="F7" i="10" s="1"/>
  <c r="A4" i="1"/>
  <c r="A5" i="1"/>
  <c r="A6" i="1"/>
  <c r="A7" i="1"/>
  <c r="A8" i="1"/>
  <c r="A9" i="1"/>
  <c r="A10" i="1"/>
  <c r="A11" i="1"/>
  <c r="A12" i="1"/>
  <c r="A13" i="1"/>
  <c r="A14" i="1"/>
  <c r="A3" i="1"/>
  <c r="G9" i="4"/>
  <c r="G10" i="4"/>
  <c r="G11" i="4"/>
  <c r="G12" i="4"/>
  <c r="G13" i="4"/>
  <c r="G14" i="4"/>
  <c r="E25" i="20" l="1"/>
  <c r="F25" i="20" s="1"/>
  <c r="G25" i="20" s="1"/>
  <c r="H25" i="20" s="1"/>
  <c r="D26" i="20"/>
  <c r="D14" i="19"/>
  <c r="E13" i="19"/>
  <c r="F13" i="19" s="1"/>
  <c r="F11" i="16"/>
  <c r="G11" i="16" s="1"/>
  <c r="H11" i="16"/>
  <c r="F12" i="16"/>
  <c r="F13" i="16"/>
  <c r="E14" i="16"/>
  <c r="H6" i="14"/>
  <c r="E6" i="14"/>
  <c r="F7" i="14" s="1"/>
  <c r="D11" i="13"/>
  <c r="E11" i="13" s="1"/>
  <c r="H11" i="13" s="1"/>
  <c r="F10" i="13"/>
  <c r="G9" i="13"/>
  <c r="E8" i="10"/>
  <c r="D9" i="10"/>
  <c r="J9" i="10"/>
  <c r="H10" i="10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AI1" i="9"/>
  <c r="AH1" i="9"/>
  <c r="E3" i="8"/>
  <c r="F3" i="8" s="1"/>
  <c r="B1" i="8"/>
  <c r="Q9" i="6"/>
  <c r="P9" i="6"/>
  <c r="O9" i="6"/>
  <c r="Q6" i="6"/>
  <c r="P6" i="6"/>
  <c r="O6" i="6"/>
  <c r="Q4" i="6"/>
  <c r="P4" i="6"/>
  <c r="O4" i="6"/>
  <c r="Q3" i="6"/>
  <c r="P3" i="6"/>
  <c r="O3" i="6"/>
  <c r="O5" i="6" s="1"/>
  <c r="Q2" i="6"/>
  <c r="P2" i="6"/>
  <c r="O2" i="6"/>
  <c r="O7" i="6" s="1"/>
  <c r="H2" i="6"/>
  <c r="C5" i="4"/>
  <c r="D6" i="4" s="1"/>
  <c r="E6" i="4" s="1"/>
  <c r="F6" i="4" s="1"/>
  <c r="C6" i="4"/>
  <c r="D7" i="4" s="1"/>
  <c r="E7" i="4" s="1"/>
  <c r="F7" i="4" s="1"/>
  <c r="C7" i="4"/>
  <c r="D8" i="4" s="1"/>
  <c r="E8" i="4" s="1"/>
  <c r="F8" i="4" s="1"/>
  <c r="C8" i="4"/>
  <c r="D9" i="4" s="1"/>
  <c r="E9" i="4" s="1"/>
  <c r="F9" i="4" s="1"/>
  <c r="G8" i="4"/>
  <c r="C9" i="4"/>
  <c r="H10" i="4"/>
  <c r="I10" i="4" s="1"/>
  <c r="J10" i="4" s="1"/>
  <c r="H9" i="4"/>
  <c r="I9" i="4"/>
  <c r="J9" i="4" s="1"/>
  <c r="C10" i="4"/>
  <c r="H11" i="4"/>
  <c r="I11" i="4" s="1"/>
  <c r="J11" i="4" s="1"/>
  <c r="C11" i="4"/>
  <c r="H12" i="4"/>
  <c r="I12" i="4" s="1"/>
  <c r="J12" i="4" s="1"/>
  <c r="C12" i="4"/>
  <c r="H13" i="4"/>
  <c r="I13" i="4" s="1"/>
  <c r="J13" i="4" s="1"/>
  <c r="C13" i="4"/>
  <c r="H14" i="4"/>
  <c r="I14" i="4" s="1"/>
  <c r="J14" i="4" s="1"/>
  <c r="C14" i="4"/>
  <c r="F16" i="4" s="1"/>
  <c r="J16" i="4"/>
  <c r="E26" i="20" l="1"/>
  <c r="F26" i="20" s="1"/>
  <c r="G26" i="20" s="1"/>
  <c r="H26" i="20" s="1"/>
  <c r="D27" i="20"/>
  <c r="E14" i="19"/>
  <c r="F14" i="19" s="1"/>
  <c r="D15" i="19"/>
  <c r="G12" i="16"/>
  <c r="H12" i="16" s="1"/>
  <c r="F14" i="16"/>
  <c r="G14" i="16" s="1"/>
  <c r="H14" i="16" s="1"/>
  <c r="E15" i="16"/>
  <c r="F15" i="16" s="1"/>
  <c r="G13" i="16"/>
  <c r="H13" i="16" s="1"/>
  <c r="P5" i="6"/>
  <c r="P8" i="6" s="1"/>
  <c r="P7" i="6"/>
  <c r="G7" i="14"/>
  <c r="D7" i="14"/>
  <c r="I6" i="14"/>
  <c r="J6" i="14" s="1"/>
  <c r="D12" i="13"/>
  <c r="E12" i="13" s="1"/>
  <c r="H12" i="13" s="1"/>
  <c r="F11" i="13"/>
  <c r="G10" i="13"/>
  <c r="O8" i="6"/>
  <c r="H11" i="10"/>
  <c r="J10" i="10"/>
  <c r="D10" i="10"/>
  <c r="E9" i="10"/>
  <c r="F9" i="10"/>
  <c r="F8" i="10"/>
  <c r="G3" i="8"/>
  <c r="H3" i="8" s="1"/>
  <c r="I3" i="8" s="1"/>
  <c r="D13" i="4"/>
  <c r="E13" i="4" s="1"/>
  <c r="F13" i="4" s="1"/>
  <c r="D11" i="4"/>
  <c r="E11" i="4" s="1"/>
  <c r="F11" i="4" s="1"/>
  <c r="D10" i="4"/>
  <c r="E10" i="4" s="1"/>
  <c r="F10" i="4" s="1"/>
  <c r="D14" i="4"/>
  <c r="E14" i="4" s="1"/>
  <c r="F14" i="4" s="1"/>
  <c r="D12" i="4"/>
  <c r="E12" i="4" s="1"/>
  <c r="F12" i="4" s="1"/>
  <c r="AE10" i="9"/>
  <c r="AE5" i="9"/>
  <c r="AE9" i="9"/>
  <c r="AE13" i="9"/>
  <c r="AE17" i="9"/>
  <c r="AE21" i="9"/>
  <c r="AG21" i="9" s="1"/>
  <c r="AE25" i="9"/>
  <c r="AE29" i="9"/>
  <c r="AE33" i="9"/>
  <c r="AG33" i="9" s="1"/>
  <c r="AE37" i="9"/>
  <c r="AG37" i="9" s="1"/>
  <c r="AE41" i="9"/>
  <c r="AE45" i="9"/>
  <c r="AE49" i="9"/>
  <c r="AE53" i="9"/>
  <c r="AE57" i="9"/>
  <c r="AE61" i="9"/>
  <c r="AG61" i="9" s="1"/>
  <c r="AE65" i="9"/>
  <c r="AE69" i="9"/>
  <c r="AE73" i="9"/>
  <c r="AE77" i="9"/>
  <c r="AG77" i="9" s="1"/>
  <c r="AE6" i="9"/>
  <c r="AE14" i="9"/>
  <c r="AE18" i="9"/>
  <c r="AE22" i="9"/>
  <c r="AE26" i="9"/>
  <c r="AE30" i="9"/>
  <c r="AG30" i="9" s="1"/>
  <c r="AE34" i="9"/>
  <c r="AE38" i="9"/>
  <c r="AE42" i="9"/>
  <c r="AE46" i="9"/>
  <c r="AE50" i="9"/>
  <c r="AE54" i="9"/>
  <c r="AE58" i="9"/>
  <c r="AE62" i="9"/>
  <c r="AE66" i="9"/>
  <c r="AE70" i="9"/>
  <c r="AE74" i="9"/>
  <c r="AE7" i="9"/>
  <c r="AE11" i="9"/>
  <c r="AE15" i="9"/>
  <c r="AE19" i="9"/>
  <c r="AE23" i="9"/>
  <c r="AE27" i="9"/>
  <c r="AE31" i="9"/>
  <c r="AE35" i="9"/>
  <c r="AE39" i="9"/>
  <c r="AE43" i="9"/>
  <c r="AE47" i="9"/>
  <c r="AG47" i="9" s="1"/>
  <c r="AE51" i="9"/>
  <c r="AE55" i="9"/>
  <c r="AE59" i="9"/>
  <c r="AG59" i="9" s="1"/>
  <c r="AE63" i="9"/>
  <c r="AE67" i="9"/>
  <c r="AE71" i="9"/>
  <c r="AE75" i="9"/>
  <c r="AE4" i="9"/>
  <c r="AE8" i="9"/>
  <c r="AE12" i="9"/>
  <c r="AE16" i="9"/>
  <c r="AE20" i="9"/>
  <c r="AE24" i="9"/>
  <c r="AE28" i="9"/>
  <c r="AE32" i="9"/>
  <c r="AE36" i="9"/>
  <c r="AE40" i="9"/>
  <c r="AE44" i="9"/>
  <c r="AE48" i="9"/>
  <c r="AE52" i="9"/>
  <c r="AE56" i="9"/>
  <c r="AE60" i="9"/>
  <c r="AE64" i="9"/>
  <c r="AE68" i="9"/>
  <c r="AE72" i="9"/>
  <c r="AG72" i="9" s="1"/>
  <c r="AE76" i="9"/>
  <c r="AE3" i="9"/>
  <c r="AG3" i="9" s="1"/>
  <c r="Q7" i="6"/>
  <c r="G3" i="6"/>
  <c r="I2" i="6"/>
  <c r="F2" i="6"/>
  <c r="Q5" i="6"/>
  <c r="Q8" i="6" s="1"/>
  <c r="J15" i="4"/>
  <c r="E27" i="20" l="1"/>
  <c r="F27" i="20" s="1"/>
  <c r="G27" i="20" s="1"/>
  <c r="H27" i="20" s="1"/>
  <c r="D28" i="20"/>
  <c r="E15" i="19"/>
  <c r="F15" i="19" s="1"/>
  <c r="D16" i="19"/>
  <c r="G15" i="16"/>
  <c r="H15" i="16" s="1"/>
  <c r="E16" i="16"/>
  <c r="E7" i="14"/>
  <c r="F8" i="14" s="1"/>
  <c r="H7" i="14"/>
  <c r="D13" i="13"/>
  <c r="E13" i="13" s="1"/>
  <c r="H13" i="13" s="1"/>
  <c r="G11" i="13"/>
  <c r="F12" i="13"/>
  <c r="G12" i="13" s="1"/>
  <c r="F15" i="4"/>
  <c r="D11" i="10"/>
  <c r="E10" i="10"/>
  <c r="F10" i="10"/>
  <c r="H12" i="10"/>
  <c r="J11" i="10"/>
  <c r="AG5" i="9"/>
  <c r="D5" i="9" s="1"/>
  <c r="AG60" i="9"/>
  <c r="D60" i="9" s="1"/>
  <c r="AG44" i="9"/>
  <c r="D44" i="9" s="1"/>
  <c r="AG28" i="9"/>
  <c r="D28" i="9" s="1"/>
  <c r="AG74" i="9"/>
  <c r="D74" i="9" s="1"/>
  <c r="AG50" i="9"/>
  <c r="D50" i="9" s="1"/>
  <c r="AG22" i="9"/>
  <c r="D22" i="9" s="1"/>
  <c r="AG65" i="9"/>
  <c r="D65" i="9" s="1"/>
  <c r="AG49" i="9"/>
  <c r="D49" i="9" s="1"/>
  <c r="AG42" i="9"/>
  <c r="D42" i="9" s="1"/>
  <c r="AG31" i="9"/>
  <c r="D31" i="9" s="1"/>
  <c r="AG27" i="9"/>
  <c r="D27" i="9" s="1"/>
  <c r="AG23" i="9"/>
  <c r="D23" i="9" s="1"/>
  <c r="AG76" i="9"/>
  <c r="D76" i="9" s="1"/>
  <c r="AG56" i="9"/>
  <c r="D56" i="9" s="1"/>
  <c r="AG40" i="9"/>
  <c r="D40" i="9" s="1"/>
  <c r="AG24" i="9"/>
  <c r="D24" i="9" s="1"/>
  <c r="AG70" i="9"/>
  <c r="D70" i="9" s="1"/>
  <c r="AG38" i="9"/>
  <c r="D38" i="9" s="1"/>
  <c r="AG45" i="9"/>
  <c r="D45" i="9" s="1"/>
  <c r="AG29" i="9"/>
  <c r="D29" i="9" s="1"/>
  <c r="AG66" i="9"/>
  <c r="D66" i="9" s="1"/>
  <c r="AG34" i="9"/>
  <c r="D34" i="9" s="1"/>
  <c r="AG75" i="9"/>
  <c r="D75" i="9" s="1"/>
  <c r="AG71" i="9"/>
  <c r="D71" i="9" s="1"/>
  <c r="AG67" i="9"/>
  <c r="D67" i="9" s="1"/>
  <c r="AG68" i="9"/>
  <c r="D68" i="9" s="1"/>
  <c r="AG52" i="9"/>
  <c r="D52" i="9" s="1"/>
  <c r="AG36" i="9"/>
  <c r="D36" i="9" s="1"/>
  <c r="AG20" i="9"/>
  <c r="D20" i="9" s="1"/>
  <c r="AG62" i="9"/>
  <c r="D62" i="9" s="1"/>
  <c r="AG73" i="9"/>
  <c r="D73" i="9" s="1"/>
  <c r="AG57" i="9"/>
  <c r="D57" i="9" s="1"/>
  <c r="AG41" i="9"/>
  <c r="D41" i="9" s="1"/>
  <c r="AG25" i="9"/>
  <c r="D25" i="9" s="1"/>
  <c r="AG54" i="9"/>
  <c r="D54" i="9" s="1"/>
  <c r="AG63" i="9"/>
  <c r="D63" i="9" s="1"/>
  <c r="AG55" i="9"/>
  <c r="D55" i="9" s="1"/>
  <c r="AG51" i="9"/>
  <c r="D51" i="9" s="1"/>
  <c r="AG64" i="9"/>
  <c r="D64" i="9" s="1"/>
  <c r="AG48" i="9"/>
  <c r="D48" i="9" s="1"/>
  <c r="AG32" i="9"/>
  <c r="D32" i="9" s="1"/>
  <c r="AG4" i="9"/>
  <c r="D4" i="9" s="1"/>
  <c r="AG58" i="9"/>
  <c r="D58" i="9" s="1"/>
  <c r="AG26" i="9"/>
  <c r="D26" i="9" s="1"/>
  <c r="AG69" i="9"/>
  <c r="D69" i="9" s="1"/>
  <c r="AG53" i="9"/>
  <c r="D53" i="9" s="1"/>
  <c r="AG46" i="9"/>
  <c r="D46" i="9" s="1"/>
  <c r="AG43" i="9"/>
  <c r="AG39" i="9"/>
  <c r="D39" i="9" s="1"/>
  <c r="AG35" i="9"/>
  <c r="D35" i="9" s="1"/>
  <c r="D61" i="9"/>
  <c r="D72" i="9"/>
  <c r="D30" i="9"/>
  <c r="D37" i="9"/>
  <c r="D21" i="9"/>
  <c r="D47" i="9"/>
  <c r="D59" i="9"/>
  <c r="D33" i="9"/>
  <c r="D77" i="9"/>
  <c r="H3" i="6"/>
  <c r="F3" i="6"/>
  <c r="J2" i="6"/>
  <c r="E4" i="1"/>
  <c r="E5" i="1"/>
  <c r="E6" i="1"/>
  <c r="E7" i="1"/>
  <c r="E8" i="1"/>
  <c r="E9" i="1"/>
  <c r="E10" i="1"/>
  <c r="E11" i="1"/>
  <c r="E12" i="1"/>
  <c r="E13" i="1"/>
  <c r="E14" i="1"/>
  <c r="E3" i="1"/>
  <c r="E28" i="20" l="1"/>
  <c r="F28" i="20" s="1"/>
  <c r="G28" i="20" s="1"/>
  <c r="H28" i="20" s="1"/>
  <c r="D29" i="20"/>
  <c r="D17" i="19"/>
  <c r="E16" i="19"/>
  <c r="F16" i="19" s="1"/>
  <c r="E17" i="16"/>
  <c r="F16" i="16"/>
  <c r="G8" i="14"/>
  <c r="D8" i="14"/>
  <c r="I7" i="14"/>
  <c r="J7" i="14" s="1"/>
  <c r="D14" i="13"/>
  <c r="E14" i="13" s="1"/>
  <c r="H14" i="13" s="1"/>
  <c r="F13" i="13"/>
  <c r="G13" i="13" s="1"/>
  <c r="H13" i="10"/>
  <c r="J13" i="10" s="1"/>
  <c r="J12" i="10"/>
  <c r="D12" i="10"/>
  <c r="E11" i="10"/>
  <c r="F11" i="10" s="1"/>
  <c r="D43" i="9"/>
  <c r="D3" i="9"/>
  <c r="AG6" i="9"/>
  <c r="AG7" i="9"/>
  <c r="AG10" i="9"/>
  <c r="AG11" i="9"/>
  <c r="I3" i="6"/>
  <c r="G4" i="6"/>
  <c r="E29" i="20" l="1"/>
  <c r="F29" i="20" s="1"/>
  <c r="G29" i="20" s="1"/>
  <c r="H29" i="20" s="1"/>
  <c r="D30" i="20"/>
  <c r="D18" i="19"/>
  <c r="E17" i="19"/>
  <c r="F17" i="19" s="1"/>
  <c r="F17" i="16"/>
  <c r="G17" i="16" s="1"/>
  <c r="H17" i="16" s="1"/>
  <c r="E18" i="16"/>
  <c r="G16" i="16"/>
  <c r="H16" i="16" s="1"/>
  <c r="E8" i="14"/>
  <c r="F9" i="14" s="1"/>
  <c r="H8" i="14"/>
  <c r="I8" i="14" s="1"/>
  <c r="J8" i="14" s="1"/>
  <c r="D15" i="13"/>
  <c r="E15" i="13" s="1"/>
  <c r="H15" i="13" s="1"/>
  <c r="F14" i="13"/>
  <c r="G14" i="13" s="1"/>
  <c r="E12" i="10"/>
  <c r="D13" i="10"/>
  <c r="AG8" i="9"/>
  <c r="D6" i="9"/>
  <c r="AG14" i="9"/>
  <c r="AG16" i="9"/>
  <c r="H4" i="6"/>
  <c r="F4" i="6" s="1"/>
  <c r="J3" i="6"/>
  <c r="G15" i="1"/>
  <c r="I15" i="1"/>
  <c r="H15" i="1"/>
  <c r="F15" i="1"/>
  <c r="E30" i="20" l="1"/>
  <c r="F30" i="20" s="1"/>
  <c r="G30" i="20" s="1"/>
  <c r="H30" i="20" s="1"/>
  <c r="D31" i="20"/>
  <c r="E18" i="19"/>
  <c r="F18" i="19" s="1"/>
  <c r="D19" i="19"/>
  <c r="F18" i="16"/>
  <c r="E19" i="16"/>
  <c r="G9" i="14"/>
  <c r="D9" i="14"/>
  <c r="D16" i="13"/>
  <c r="E16" i="13" s="1"/>
  <c r="H16" i="13" s="1"/>
  <c r="F15" i="13"/>
  <c r="G15" i="13" s="1"/>
  <c r="D14" i="10"/>
  <c r="E13" i="10"/>
  <c r="F13" i="10" s="1"/>
  <c r="F12" i="10"/>
  <c r="D8" i="9"/>
  <c r="AG12" i="9"/>
  <c r="AG13" i="9"/>
  <c r="AG9" i="9"/>
  <c r="D7" i="9"/>
  <c r="D10" i="9"/>
  <c r="D11" i="9"/>
  <c r="G5" i="6"/>
  <c r="I4" i="6"/>
  <c r="G5" i="1"/>
  <c r="K5" i="1" s="1"/>
  <c r="G6" i="1"/>
  <c r="U6" i="1" s="1"/>
  <c r="G12" i="1"/>
  <c r="U12" i="1" s="1"/>
  <c r="G14" i="1"/>
  <c r="E31" i="20" l="1"/>
  <c r="F31" i="20" s="1"/>
  <c r="G31" i="20" s="1"/>
  <c r="H31" i="20" s="1"/>
  <c r="D32" i="20"/>
  <c r="E19" i="19"/>
  <c r="F19" i="19" s="1"/>
  <c r="D20" i="19"/>
  <c r="F19" i="16"/>
  <c r="G19" i="16" s="1"/>
  <c r="H19" i="16" s="1"/>
  <c r="E20" i="16"/>
  <c r="G18" i="16"/>
  <c r="H18" i="16" s="1"/>
  <c r="E9" i="14"/>
  <c r="F10" i="14" s="1"/>
  <c r="H9" i="14"/>
  <c r="I9" i="14" s="1"/>
  <c r="J9" i="14" s="1"/>
  <c r="D17" i="13"/>
  <c r="E17" i="13" s="1"/>
  <c r="H17" i="13" s="1"/>
  <c r="F16" i="13"/>
  <c r="G16" i="13" s="1"/>
  <c r="E14" i="10"/>
  <c r="F14" i="10" s="1"/>
  <c r="D15" i="10"/>
  <c r="AG15" i="9"/>
  <c r="D9" i="9"/>
  <c r="D13" i="9"/>
  <c r="D12" i="9"/>
  <c r="D14" i="9"/>
  <c r="D16" i="9"/>
  <c r="J4" i="6"/>
  <c r="H5" i="6"/>
  <c r="F5" i="6" s="1"/>
  <c r="K14" i="1"/>
  <c r="U14" i="1"/>
  <c r="K12" i="1"/>
  <c r="K6" i="1"/>
  <c r="G8" i="1"/>
  <c r="U8" i="1" s="1"/>
  <c r="G10" i="1"/>
  <c r="U10" i="1" s="1"/>
  <c r="G11" i="1"/>
  <c r="U11" i="1" s="1"/>
  <c r="G13" i="1"/>
  <c r="U13" i="1" s="1"/>
  <c r="G9" i="1"/>
  <c r="U9" i="1" s="1"/>
  <c r="I6" i="1"/>
  <c r="W6" i="1" s="1"/>
  <c r="I14" i="1"/>
  <c r="I10" i="1"/>
  <c r="I8" i="1"/>
  <c r="P14" i="1"/>
  <c r="H13" i="1"/>
  <c r="V13" i="1" s="1"/>
  <c r="I7" i="1"/>
  <c r="G7" i="1"/>
  <c r="U7" i="1" s="1"/>
  <c r="H9" i="1"/>
  <c r="V9" i="1" s="1"/>
  <c r="P12" i="1"/>
  <c r="H12" i="1"/>
  <c r="V12" i="1" s="1"/>
  <c r="H8" i="1"/>
  <c r="V8" i="1" s="1"/>
  <c r="I13" i="1"/>
  <c r="I9" i="1"/>
  <c r="H11" i="1"/>
  <c r="V11" i="1" s="1"/>
  <c r="H7" i="1"/>
  <c r="V7" i="1" s="1"/>
  <c r="I12" i="1"/>
  <c r="W12" i="1" s="1"/>
  <c r="H14" i="1"/>
  <c r="V14" i="1" s="1"/>
  <c r="H10" i="1"/>
  <c r="V10" i="1" s="1"/>
  <c r="H6" i="1"/>
  <c r="V6" i="1" s="1"/>
  <c r="I11" i="1"/>
  <c r="F13" i="1"/>
  <c r="T13" i="1" s="1"/>
  <c r="F9" i="1"/>
  <c r="T9" i="1" s="1"/>
  <c r="F5" i="1"/>
  <c r="J5" i="1" s="1"/>
  <c r="F12" i="1"/>
  <c r="T12" i="1" s="1"/>
  <c r="F8" i="1"/>
  <c r="T8" i="1" s="1"/>
  <c r="F4" i="1"/>
  <c r="J4" i="1" s="1"/>
  <c r="H5" i="1"/>
  <c r="L5" i="1" s="1"/>
  <c r="F3" i="1"/>
  <c r="J3" i="1" s="1"/>
  <c r="F11" i="1"/>
  <c r="T11" i="1" s="1"/>
  <c r="F7" i="1"/>
  <c r="T7" i="1" s="1"/>
  <c r="G4" i="1"/>
  <c r="K4" i="1" s="1"/>
  <c r="F14" i="1"/>
  <c r="T14" i="1" s="1"/>
  <c r="F10" i="1"/>
  <c r="T10" i="1" s="1"/>
  <c r="F6" i="1"/>
  <c r="T6" i="1" s="1"/>
  <c r="E32" i="20" l="1"/>
  <c r="F32" i="20" s="1"/>
  <c r="G32" i="20" s="1"/>
  <c r="H32" i="20" s="1"/>
  <c r="D33" i="20"/>
  <c r="D21" i="19"/>
  <c r="E20" i="19"/>
  <c r="F20" i="19" s="1"/>
  <c r="F20" i="16"/>
  <c r="E21" i="16"/>
  <c r="V16" i="1"/>
  <c r="U16" i="1"/>
  <c r="T16" i="1"/>
  <c r="D18" i="13"/>
  <c r="E18" i="13" s="1"/>
  <c r="H18" i="13" s="1"/>
  <c r="G10" i="14"/>
  <c r="D10" i="14"/>
  <c r="F17" i="13"/>
  <c r="G17" i="13" s="1"/>
  <c r="D19" i="13"/>
  <c r="E19" i="13" s="1"/>
  <c r="H19" i="13" s="1"/>
  <c r="E15" i="10"/>
  <c r="F15" i="10" s="1"/>
  <c r="D16" i="10"/>
  <c r="AG18" i="9"/>
  <c r="D15" i="9"/>
  <c r="G6" i="6"/>
  <c r="I5" i="6"/>
  <c r="R9" i="1"/>
  <c r="W9" i="1"/>
  <c r="R14" i="1"/>
  <c r="W14" i="1"/>
  <c r="M11" i="1"/>
  <c r="W11" i="1"/>
  <c r="M13" i="1"/>
  <c r="W13" i="1"/>
  <c r="R8" i="1"/>
  <c r="W8" i="1"/>
  <c r="R7" i="1"/>
  <c r="W7" i="1"/>
  <c r="R10" i="1"/>
  <c r="W10" i="1"/>
  <c r="R6" i="1"/>
  <c r="Q6" i="1"/>
  <c r="L10" i="1"/>
  <c r="L11" i="1"/>
  <c r="Q14" i="1"/>
  <c r="L13" i="1"/>
  <c r="L9" i="1"/>
  <c r="L7" i="1"/>
  <c r="K9" i="1"/>
  <c r="K8" i="1"/>
  <c r="J10" i="1"/>
  <c r="J11" i="1"/>
  <c r="J8" i="1"/>
  <c r="J13" i="1"/>
  <c r="J14" i="1"/>
  <c r="J12" i="1"/>
  <c r="J7" i="1"/>
  <c r="O6" i="1"/>
  <c r="J9" i="1"/>
  <c r="O9" i="1"/>
  <c r="L6" i="1"/>
  <c r="J6" i="1"/>
  <c r="M6" i="1"/>
  <c r="P11" i="1"/>
  <c r="K11" i="1"/>
  <c r="P10" i="1"/>
  <c r="K10" i="1"/>
  <c r="P13" i="1"/>
  <c r="K13" i="1"/>
  <c r="P7" i="1"/>
  <c r="K7" i="1"/>
  <c r="P8" i="1"/>
  <c r="Q9" i="1"/>
  <c r="M7" i="1"/>
  <c r="P9" i="1"/>
  <c r="Q13" i="1"/>
  <c r="M10" i="1"/>
  <c r="M14" i="1"/>
  <c r="L14" i="1"/>
  <c r="R13" i="1"/>
  <c r="M8" i="1"/>
  <c r="Q7" i="1"/>
  <c r="Q11" i="1"/>
  <c r="Q8" i="1"/>
  <c r="L8" i="1"/>
  <c r="M9" i="1"/>
  <c r="Q10" i="1"/>
  <c r="R12" i="1"/>
  <c r="M12" i="1"/>
  <c r="R11" i="1"/>
  <c r="Q12" i="1"/>
  <c r="L12" i="1"/>
  <c r="O11" i="1"/>
  <c r="O13" i="1"/>
  <c r="O7" i="1"/>
  <c r="O8" i="1"/>
  <c r="O14" i="1"/>
  <c r="O12" i="1"/>
  <c r="O10" i="1"/>
  <c r="E33" i="20" l="1"/>
  <c r="F33" i="20" s="1"/>
  <c r="G33" i="20" s="1"/>
  <c r="H33" i="20" s="1"/>
  <c r="D34" i="20"/>
  <c r="E21" i="19"/>
  <c r="F21" i="19" s="1"/>
  <c r="D22" i="19"/>
  <c r="F21" i="16"/>
  <c r="G21" i="16" s="1"/>
  <c r="H21" i="16" s="1"/>
  <c r="E22" i="16"/>
  <c r="G20" i="16"/>
  <c r="H20" i="16" s="1"/>
  <c r="R16" i="1"/>
  <c r="Q16" i="1"/>
  <c r="P16" i="1"/>
  <c r="O16" i="1"/>
  <c r="M16" i="1"/>
  <c r="L16" i="1"/>
  <c r="K16" i="1"/>
  <c r="J16" i="1"/>
  <c r="E10" i="14"/>
  <c r="F11" i="14" s="1"/>
  <c r="H10" i="14"/>
  <c r="I10" i="14" s="1"/>
  <c r="J10" i="14" s="1"/>
  <c r="F18" i="13"/>
  <c r="G18" i="13" s="1"/>
  <c r="D20" i="13"/>
  <c r="E20" i="13" s="1"/>
  <c r="H20" i="13" s="1"/>
  <c r="D17" i="10"/>
  <c r="E16" i="10"/>
  <c r="F16" i="10" s="1"/>
  <c r="AG17" i="9"/>
  <c r="AG19" i="9"/>
  <c r="H6" i="6"/>
  <c r="J5" i="6"/>
  <c r="W16" i="1"/>
  <c r="T18" i="1" s="1"/>
  <c r="U17" i="1" s="1"/>
  <c r="E34" i="20" l="1"/>
  <c r="F34" i="20" s="1"/>
  <c r="G34" i="20" s="1"/>
  <c r="H34" i="20" s="1"/>
  <c r="D35" i="20"/>
  <c r="E22" i="19"/>
  <c r="F22" i="19" s="1"/>
  <c r="D23" i="19"/>
  <c r="F22" i="16"/>
  <c r="G22" i="16" s="1"/>
  <c r="H22" i="16" s="1"/>
  <c r="E23" i="16"/>
  <c r="D11" i="14"/>
  <c r="G11" i="14"/>
  <c r="D21" i="13"/>
  <c r="E21" i="13" s="1"/>
  <c r="H21" i="13" s="1"/>
  <c r="F19" i="13"/>
  <c r="G19" i="13" s="1"/>
  <c r="D18" i="10"/>
  <c r="E17" i="10"/>
  <c r="F17" i="10" s="1"/>
  <c r="B67" i="9"/>
  <c r="B30" i="9"/>
  <c r="B3" i="9"/>
  <c r="C3" i="9"/>
  <c r="C35" i="9"/>
  <c r="C67" i="9"/>
  <c r="C58" i="9"/>
  <c r="C73" i="9"/>
  <c r="C29" i="9"/>
  <c r="C60" i="9"/>
  <c r="C32" i="9"/>
  <c r="C30" i="9"/>
  <c r="C61" i="9"/>
  <c r="C17" i="9"/>
  <c r="C64" i="9"/>
  <c r="C68" i="9"/>
  <c r="C24" i="9"/>
  <c r="C59" i="9"/>
  <c r="C15" i="9"/>
  <c r="C53" i="9"/>
  <c r="C26" i="9"/>
  <c r="C9" i="9"/>
  <c r="C33" i="9"/>
  <c r="C57" i="9"/>
  <c r="C54" i="9"/>
  <c r="C4" i="9"/>
  <c r="C43" i="9"/>
  <c r="C14" i="9"/>
  <c r="C36" i="9"/>
  <c r="C39" i="9"/>
  <c r="C70" i="9"/>
  <c r="C23" i="9"/>
  <c r="C65" i="9"/>
  <c r="C41" i="9"/>
  <c r="C49" i="9"/>
  <c r="C19" i="9"/>
  <c r="C37" i="9"/>
  <c r="C72" i="9"/>
  <c r="C21" i="9"/>
  <c r="C48" i="9"/>
  <c r="C31" i="9"/>
  <c r="C55" i="9"/>
  <c r="C16" i="9"/>
  <c r="C25" i="9"/>
  <c r="C74" i="9"/>
  <c r="C11" i="9"/>
  <c r="C51" i="9"/>
  <c r="C47" i="9"/>
  <c r="C69" i="9"/>
  <c r="C77" i="9"/>
  <c r="C50" i="9"/>
  <c r="C13" i="9"/>
  <c r="C62" i="9"/>
  <c r="C52" i="9"/>
  <c r="C42" i="9"/>
  <c r="C5" i="9"/>
  <c r="C38" i="9"/>
  <c r="C28" i="9"/>
  <c r="C66" i="9"/>
  <c r="C40" i="9"/>
  <c r="C7" i="9"/>
  <c r="C71" i="9"/>
  <c r="C56" i="9"/>
  <c r="C45" i="9"/>
  <c r="C6" i="9"/>
  <c r="C44" i="9"/>
  <c r="C18" i="9"/>
  <c r="C8" i="9"/>
  <c r="C46" i="9"/>
  <c r="C20" i="9"/>
  <c r="C10" i="9"/>
  <c r="C63" i="9"/>
  <c r="C22" i="9"/>
  <c r="C75" i="9"/>
  <c r="C34" i="9"/>
  <c r="C27" i="9"/>
  <c r="C12" i="9"/>
  <c r="C76" i="9"/>
  <c r="B51" i="9"/>
  <c r="B58" i="9"/>
  <c r="B16" i="9"/>
  <c r="B16" i="22" s="1"/>
  <c r="C16" i="22" s="1"/>
  <c r="B33" i="9"/>
  <c r="B25" i="9"/>
  <c r="B25" i="22" s="1"/>
  <c r="C25" i="22" s="1"/>
  <c r="B24" i="9"/>
  <c r="B24" i="22" s="1"/>
  <c r="C24" i="22" s="1"/>
  <c r="B55" i="9"/>
  <c r="B17" i="9"/>
  <c r="B17" i="22" s="1"/>
  <c r="C17" i="22" s="1"/>
  <c r="B34" i="9"/>
  <c r="B31" i="9"/>
  <c r="B31" i="22" s="1"/>
  <c r="C31" i="22" s="1"/>
  <c r="B57" i="9"/>
  <c r="B18" i="9"/>
  <c r="B18" i="22" s="1"/>
  <c r="C18" i="22" s="1"/>
  <c r="B48" i="9"/>
  <c r="B29" i="9"/>
  <c r="B29" i="22" s="1"/>
  <c r="C29" i="22" s="1"/>
  <c r="B22" i="9"/>
  <c r="B22" i="22" s="1"/>
  <c r="C22" i="22" s="1"/>
  <c r="B68" i="9"/>
  <c r="B41" i="9"/>
  <c r="B77" i="9"/>
  <c r="B7" i="9"/>
  <c r="B7" i="22" s="1"/>
  <c r="C7" i="22" s="1"/>
  <c r="B8" i="9"/>
  <c r="B8" i="22" s="1"/>
  <c r="C8" i="22" s="1"/>
  <c r="B49" i="9"/>
  <c r="B36" i="9"/>
  <c r="B26" i="9"/>
  <c r="B26" i="22" s="1"/>
  <c r="C26" i="22" s="1"/>
  <c r="B21" i="9"/>
  <c r="B21" i="22" s="1"/>
  <c r="C21" i="22" s="1"/>
  <c r="B64" i="9"/>
  <c r="B28" i="9"/>
  <c r="B28" i="22" s="1"/>
  <c r="C28" i="22" s="1"/>
  <c r="B37" i="9"/>
  <c r="B10" i="9"/>
  <c r="B10" i="22" s="1"/>
  <c r="C10" i="22" s="1"/>
  <c r="B70" i="9"/>
  <c r="B53" i="9"/>
  <c r="B61" i="9"/>
  <c r="B23" i="9"/>
  <c r="B23" i="22" s="1"/>
  <c r="C23" i="22" s="1"/>
  <c r="B20" i="9"/>
  <c r="B20" i="22" s="1"/>
  <c r="C20" i="22" s="1"/>
  <c r="B44" i="9"/>
  <c r="B62" i="9"/>
  <c r="B69" i="9"/>
  <c r="B15" i="9"/>
  <c r="B15" i="22" s="1"/>
  <c r="C15" i="22" s="1"/>
  <c r="B74" i="9"/>
  <c r="B60" i="9"/>
  <c r="B5" i="9"/>
  <c r="B5" i="22" s="1"/>
  <c r="C5" i="22" s="1"/>
  <c r="B9" i="9"/>
  <c r="B9" i="22" s="1"/>
  <c r="C9" i="22" s="1"/>
  <c r="B39" i="9"/>
  <c r="B42" i="9"/>
  <c r="B75" i="9"/>
  <c r="B47" i="9"/>
  <c r="B50" i="9"/>
  <c r="B72" i="9"/>
  <c r="B71" i="9"/>
  <c r="B40" i="9"/>
  <c r="B13" i="9"/>
  <c r="B13" i="22" s="1"/>
  <c r="C13" i="22" s="1"/>
  <c r="D19" i="9"/>
  <c r="B76" i="9"/>
  <c r="B14" i="9"/>
  <c r="B14" i="22" s="1"/>
  <c r="C14" i="22" s="1"/>
  <c r="B32" i="9"/>
  <c r="B32" i="22" s="1"/>
  <c r="C32" i="22" s="1"/>
  <c r="B6" i="9"/>
  <c r="B6" i="22" s="1"/>
  <c r="C6" i="22" s="1"/>
  <c r="B38" i="9"/>
  <c r="B56" i="9"/>
  <c r="B45" i="9"/>
  <c r="B11" i="9"/>
  <c r="B11" i="22" s="1"/>
  <c r="C11" i="22" s="1"/>
  <c r="B52" i="9"/>
  <c r="B43" i="9"/>
  <c r="B46" i="9"/>
  <c r="B73" i="9"/>
  <c r="B54" i="9"/>
  <c r="B4" i="9"/>
  <c r="B4" i="22" s="1"/>
  <c r="C4" i="22" s="1"/>
  <c r="B66" i="9"/>
  <c r="B27" i="9"/>
  <c r="B27" i="22" s="1"/>
  <c r="C27" i="22" s="1"/>
  <c r="B65" i="9"/>
  <c r="B59" i="9"/>
  <c r="D17" i="9"/>
  <c r="B63" i="9"/>
  <c r="B35" i="9"/>
  <c r="B19" i="9"/>
  <c r="B19" i="22" s="1"/>
  <c r="C19" i="22" s="1"/>
  <c r="B12" i="9"/>
  <c r="D18" i="9"/>
  <c r="G7" i="6"/>
  <c r="I6" i="6"/>
  <c r="F6" i="6"/>
  <c r="V17" i="1"/>
  <c r="W17" i="1"/>
  <c r="O18" i="1"/>
  <c r="J18" i="1"/>
  <c r="B3" i="8" l="1"/>
  <c r="B3" i="22"/>
  <c r="C3" i="22" s="1"/>
  <c r="D3" i="22" s="1"/>
  <c r="B30" i="8"/>
  <c r="C30" i="8" s="1"/>
  <c r="B30" i="22"/>
  <c r="C30" i="22" s="1"/>
  <c r="B12" i="8"/>
  <c r="B12" i="22"/>
  <c r="C12" i="22" s="1"/>
  <c r="E35" i="20"/>
  <c r="F35" i="20" s="1"/>
  <c r="G35" i="20" s="1"/>
  <c r="H35" i="20" s="1"/>
  <c r="D36" i="20"/>
  <c r="D24" i="19"/>
  <c r="E23" i="19"/>
  <c r="F23" i="19" s="1"/>
  <c r="F23" i="16"/>
  <c r="G23" i="16" s="1"/>
  <c r="H23" i="16" s="1"/>
  <c r="E24" i="16"/>
  <c r="B28" i="14"/>
  <c r="B41" i="14"/>
  <c r="B46" i="14"/>
  <c r="B38" i="14"/>
  <c r="B31" i="14"/>
  <c r="B37" i="14"/>
  <c r="B36" i="14"/>
  <c r="B26" i="14"/>
  <c r="B24" i="14"/>
  <c r="B29" i="14"/>
  <c r="B35" i="14"/>
  <c r="B44" i="14"/>
  <c r="B52" i="14"/>
  <c r="B27" i="14"/>
  <c r="B45" i="14"/>
  <c r="B40" i="14"/>
  <c r="B47" i="14"/>
  <c r="B25" i="14"/>
  <c r="B48" i="14"/>
  <c r="B30" i="14"/>
  <c r="B39" i="14"/>
  <c r="B34" i="14"/>
  <c r="B42" i="14"/>
  <c r="B50" i="14"/>
  <c r="B51" i="14"/>
  <c r="B49" i="14"/>
  <c r="B43" i="14"/>
  <c r="B33" i="14"/>
  <c r="B32" i="14"/>
  <c r="P9" i="9"/>
  <c r="B20" i="14"/>
  <c r="B20" i="15"/>
  <c r="B9" i="14"/>
  <c r="B9" i="15"/>
  <c r="B12" i="14"/>
  <c r="B12" i="15"/>
  <c r="B22" i="14"/>
  <c r="B22" i="15"/>
  <c r="B6" i="14"/>
  <c r="B6" i="15"/>
  <c r="B7" i="14"/>
  <c r="B7" i="15"/>
  <c r="B11" i="14"/>
  <c r="B11" i="15"/>
  <c r="B4" i="14"/>
  <c r="B4" i="15"/>
  <c r="B8" i="14"/>
  <c r="B8" i="15"/>
  <c r="B5" i="14"/>
  <c r="B5" i="15"/>
  <c r="B13" i="14"/>
  <c r="B13" i="15"/>
  <c r="B19" i="14"/>
  <c r="B19" i="15"/>
  <c r="B23" i="14"/>
  <c r="B23" i="15"/>
  <c r="B14" i="14"/>
  <c r="B14" i="15"/>
  <c r="B17" i="14"/>
  <c r="B17" i="15"/>
  <c r="B10" i="14"/>
  <c r="B10" i="15"/>
  <c r="B18" i="14"/>
  <c r="B18" i="15"/>
  <c r="B16" i="14"/>
  <c r="B16" i="15"/>
  <c r="B21" i="14"/>
  <c r="B21" i="15"/>
  <c r="B15" i="14"/>
  <c r="B15" i="15"/>
  <c r="B3" i="14"/>
  <c r="B3" i="15"/>
  <c r="B75" i="13"/>
  <c r="B76" i="14"/>
  <c r="B54" i="13"/>
  <c r="B55" i="14"/>
  <c r="B58" i="13"/>
  <c r="B59" i="14"/>
  <c r="B66" i="13"/>
  <c r="B67" i="14"/>
  <c r="B61" i="13"/>
  <c r="B62" i="14"/>
  <c r="B68" i="13"/>
  <c r="B69" i="14"/>
  <c r="B73" i="13"/>
  <c r="B74" i="14"/>
  <c r="B64" i="13"/>
  <c r="B65" i="14"/>
  <c r="B53" i="13"/>
  <c r="B54" i="14"/>
  <c r="B60" i="13"/>
  <c r="B61" i="14"/>
  <c r="B70" i="13"/>
  <c r="B71" i="14"/>
  <c r="B71" i="13"/>
  <c r="B72" i="14"/>
  <c r="B62" i="13"/>
  <c r="B63" i="14"/>
  <c r="B56" i="13"/>
  <c r="B57" i="14"/>
  <c r="B52" i="13"/>
  <c r="B53" i="14"/>
  <c r="B67" i="13"/>
  <c r="B68" i="14"/>
  <c r="B72" i="13"/>
  <c r="B73" i="14"/>
  <c r="B74" i="13"/>
  <c r="B75" i="14"/>
  <c r="B76" i="13"/>
  <c r="B77" i="14"/>
  <c r="B59" i="13"/>
  <c r="B60" i="14"/>
  <c r="B55" i="13"/>
  <c r="B56" i="14"/>
  <c r="B65" i="13"/>
  <c r="B66" i="14"/>
  <c r="B69" i="13"/>
  <c r="B70" i="14"/>
  <c r="B63" i="13"/>
  <c r="B64" i="14"/>
  <c r="B57" i="13"/>
  <c r="B58" i="14"/>
  <c r="H11" i="14"/>
  <c r="I11" i="14" s="1"/>
  <c r="J11" i="14" s="1"/>
  <c r="E11" i="14"/>
  <c r="F12" i="14" s="1"/>
  <c r="A20" i="11"/>
  <c r="B19" i="13"/>
  <c r="A44" i="11"/>
  <c r="B43" i="13"/>
  <c r="A28" i="11"/>
  <c r="B27" i="13"/>
  <c r="A52" i="11"/>
  <c r="B51" i="13"/>
  <c r="A11" i="11"/>
  <c r="B10" i="13"/>
  <c r="A41" i="11"/>
  <c r="B40" i="13"/>
  <c r="A39" i="11"/>
  <c r="B38" i="13"/>
  <c r="A4" i="11"/>
  <c r="B3" i="13"/>
  <c r="A9" i="11"/>
  <c r="B8" i="13"/>
  <c r="A17" i="11"/>
  <c r="B16" i="13"/>
  <c r="A12" i="11"/>
  <c r="B11" i="13"/>
  <c r="A22" i="11"/>
  <c r="B21" i="13"/>
  <c r="A46" i="11"/>
  <c r="B45" i="13"/>
  <c r="A6" i="11"/>
  <c r="B5" i="13"/>
  <c r="A7" i="11"/>
  <c r="B6" i="13"/>
  <c r="A38" i="11"/>
  <c r="B37" i="13"/>
  <c r="A31" i="11"/>
  <c r="B30" i="13"/>
  <c r="A37" i="11"/>
  <c r="B36" i="13"/>
  <c r="A36" i="11"/>
  <c r="B35" i="13"/>
  <c r="A26" i="11"/>
  <c r="B25" i="13"/>
  <c r="A24" i="11"/>
  <c r="B23" i="13"/>
  <c r="A29" i="11"/>
  <c r="B28" i="13"/>
  <c r="A35" i="11"/>
  <c r="B34" i="13"/>
  <c r="A27" i="11"/>
  <c r="B26" i="13"/>
  <c r="A8" i="11"/>
  <c r="B7" i="13"/>
  <c r="A45" i="11"/>
  <c r="B44" i="13"/>
  <c r="A40" i="11"/>
  <c r="B39" i="13"/>
  <c r="A5" i="11"/>
  <c r="B4" i="13"/>
  <c r="A13" i="11"/>
  <c r="B12" i="13"/>
  <c r="A47" i="11"/>
  <c r="B46" i="13"/>
  <c r="A25" i="11"/>
  <c r="B24" i="13"/>
  <c r="A48" i="11"/>
  <c r="B47" i="13"/>
  <c r="A19" i="11"/>
  <c r="B18" i="13"/>
  <c r="A23" i="11"/>
  <c r="B22" i="13"/>
  <c r="A14" i="11"/>
  <c r="B13" i="13"/>
  <c r="A30" i="11"/>
  <c r="B29" i="13"/>
  <c r="A34" i="11"/>
  <c r="B33" i="13"/>
  <c r="A10" i="11"/>
  <c r="B9" i="13"/>
  <c r="A18" i="11"/>
  <c r="B17" i="13"/>
  <c r="A42" i="11"/>
  <c r="B41" i="13"/>
  <c r="A50" i="11"/>
  <c r="B49" i="13"/>
  <c r="A51" i="11"/>
  <c r="B50" i="13"/>
  <c r="A16" i="11"/>
  <c r="B15" i="13"/>
  <c r="A21" i="11"/>
  <c r="B20" i="13"/>
  <c r="A49" i="11"/>
  <c r="B48" i="13"/>
  <c r="A43" i="11"/>
  <c r="B42" i="13"/>
  <c r="A33" i="11"/>
  <c r="B32" i="13"/>
  <c r="A15" i="11"/>
  <c r="B14" i="13"/>
  <c r="A32" i="11"/>
  <c r="B31" i="13"/>
  <c r="A3" i="11"/>
  <c r="B2" i="13"/>
  <c r="F20" i="13"/>
  <c r="G20" i="13" s="1"/>
  <c r="D22" i="13"/>
  <c r="E22" i="13" s="1"/>
  <c r="H22" i="13" s="1"/>
  <c r="L20" i="11"/>
  <c r="M9" i="11"/>
  <c r="L21" i="11"/>
  <c r="E18" i="10"/>
  <c r="F18" i="10" s="1"/>
  <c r="D19" i="10"/>
  <c r="B5" i="8"/>
  <c r="C5" i="8" s="1"/>
  <c r="B23" i="8"/>
  <c r="C23" i="8" s="1"/>
  <c r="B10" i="8"/>
  <c r="C10" i="8" s="1"/>
  <c r="B21" i="8"/>
  <c r="C21" i="8" s="1"/>
  <c r="B8" i="8"/>
  <c r="C8" i="8" s="1"/>
  <c r="B18" i="8"/>
  <c r="C18" i="8" s="1"/>
  <c r="B17" i="8"/>
  <c r="C17" i="8" s="1"/>
  <c r="B27" i="8"/>
  <c r="C27" i="8" s="1"/>
  <c r="B11" i="8"/>
  <c r="C11" i="8" s="1"/>
  <c r="B6" i="8"/>
  <c r="C6" i="8" s="1"/>
  <c r="B26" i="8"/>
  <c r="C26" i="8" s="1"/>
  <c r="B7" i="8"/>
  <c r="C7" i="8" s="1"/>
  <c r="B22" i="8"/>
  <c r="C22" i="8" s="1"/>
  <c r="B16" i="8"/>
  <c r="C16" i="8" s="1"/>
  <c r="B32" i="8"/>
  <c r="C32" i="8" s="1"/>
  <c r="B13" i="8"/>
  <c r="C13" i="8" s="1"/>
  <c r="B28" i="8"/>
  <c r="C28" i="8" s="1"/>
  <c r="B29" i="8"/>
  <c r="C29" i="8" s="1"/>
  <c r="B31" i="8"/>
  <c r="C31" i="8" s="1"/>
  <c r="B24" i="8"/>
  <c r="C24" i="8" s="1"/>
  <c r="B19" i="8"/>
  <c r="C19" i="8" s="1"/>
  <c r="B4" i="8"/>
  <c r="C4" i="8" s="1"/>
  <c r="B14" i="8"/>
  <c r="C14" i="8" s="1"/>
  <c r="B9" i="8"/>
  <c r="C9" i="8" s="1"/>
  <c r="B15" i="8"/>
  <c r="C15" i="8" s="1"/>
  <c r="B20" i="8"/>
  <c r="C20" i="8" s="1"/>
  <c r="B25" i="8"/>
  <c r="C25" i="8" s="1"/>
  <c r="P2" i="9"/>
  <c r="O2" i="9"/>
  <c r="C3" i="8"/>
  <c r="Q2" i="9"/>
  <c r="P4" i="9"/>
  <c r="P6" i="9"/>
  <c r="P3" i="9"/>
  <c r="Q6" i="9"/>
  <c r="Q4" i="9"/>
  <c r="Q3" i="9"/>
  <c r="Q9" i="9"/>
  <c r="C12" i="8"/>
  <c r="O6" i="9"/>
  <c r="O9" i="9"/>
  <c r="O4" i="9"/>
  <c r="O3" i="9"/>
  <c r="J6" i="6"/>
  <c r="H7" i="6"/>
  <c r="F7" i="6"/>
  <c r="T17" i="1"/>
  <c r="O17" i="1"/>
  <c r="R17" i="1"/>
  <c r="P17" i="1"/>
  <c r="Q17" i="1"/>
  <c r="L17" i="1"/>
  <c r="M17" i="1"/>
  <c r="K17" i="1"/>
  <c r="J17" i="1"/>
  <c r="E4" i="22" l="1"/>
  <c r="F4" i="22" s="1"/>
  <c r="G4" i="22" s="1"/>
  <c r="J4" i="22"/>
  <c r="D4" i="22"/>
  <c r="E36" i="20"/>
  <c r="F36" i="20" s="1"/>
  <c r="G36" i="20" s="1"/>
  <c r="H36" i="20" s="1"/>
  <c r="D37" i="20"/>
  <c r="D25" i="19"/>
  <c r="E24" i="19"/>
  <c r="F24" i="19" s="1"/>
  <c r="F24" i="16"/>
  <c r="G24" i="16" s="1"/>
  <c r="H24" i="16" s="1"/>
  <c r="E25" i="16"/>
  <c r="T4" i="9"/>
  <c r="T9" i="9"/>
  <c r="G12" i="14"/>
  <c r="D12" i="14"/>
  <c r="F21" i="13"/>
  <c r="G21" i="13" s="1"/>
  <c r="D23" i="13"/>
  <c r="E23" i="13" s="1"/>
  <c r="H23" i="13" s="1"/>
  <c r="E51" i="11"/>
  <c r="E35" i="11"/>
  <c r="E17" i="11"/>
  <c r="E5" i="11"/>
  <c r="E48" i="11"/>
  <c r="E32" i="11"/>
  <c r="E14" i="11"/>
  <c r="E49" i="11"/>
  <c r="E38" i="11"/>
  <c r="E22" i="11"/>
  <c r="E12" i="11"/>
  <c r="E29" i="11"/>
  <c r="E11" i="11"/>
  <c r="E47" i="11"/>
  <c r="E31" i="11"/>
  <c r="E13" i="11"/>
  <c r="E37" i="11"/>
  <c r="E44" i="11"/>
  <c r="E28" i="11"/>
  <c r="E10" i="11"/>
  <c r="E50" i="11"/>
  <c r="E34" i="11"/>
  <c r="E21" i="11"/>
  <c r="E4" i="11"/>
  <c r="E25" i="11"/>
  <c r="E43" i="11"/>
  <c r="E27" i="11"/>
  <c r="E7" i="11"/>
  <c r="E33" i="11"/>
  <c r="E40" i="11"/>
  <c r="E24" i="11"/>
  <c r="E9" i="11"/>
  <c r="E46" i="11"/>
  <c r="E30" i="11"/>
  <c r="E20" i="11"/>
  <c r="E45" i="11"/>
  <c r="E15" i="11"/>
  <c r="E39" i="11"/>
  <c r="E23" i="11"/>
  <c r="E6" i="11"/>
  <c r="E52" i="11"/>
  <c r="E36" i="11"/>
  <c r="E18" i="11"/>
  <c r="E8" i="11"/>
  <c r="E42" i="11"/>
  <c r="E26" i="11"/>
  <c r="E16" i="11"/>
  <c r="E41" i="11"/>
  <c r="E19" i="11"/>
  <c r="T6" i="9"/>
  <c r="E19" i="10"/>
  <c r="F19" i="10" s="1"/>
  <c r="D20" i="10"/>
  <c r="D3" i="8"/>
  <c r="T3" i="9"/>
  <c r="U4" i="9"/>
  <c r="T2" i="9"/>
  <c r="U9" i="9"/>
  <c r="U3" i="9"/>
  <c r="U6" i="9"/>
  <c r="U2" i="9"/>
  <c r="Q7" i="9"/>
  <c r="Q5" i="9"/>
  <c r="Q8" i="9" s="1"/>
  <c r="P5" i="9"/>
  <c r="P7" i="9"/>
  <c r="O5" i="9"/>
  <c r="O8" i="9" s="1"/>
  <c r="O7" i="9"/>
  <c r="G8" i="6"/>
  <c r="I7" i="6"/>
  <c r="D5" i="22" l="1"/>
  <c r="E5" i="22"/>
  <c r="F5" i="22" s="1"/>
  <c r="G5" i="22" s="1"/>
  <c r="J5" i="22"/>
  <c r="H4" i="22"/>
  <c r="I4" i="22" s="1"/>
  <c r="M8" i="11"/>
  <c r="H2" i="11"/>
  <c r="N6" i="11" s="1"/>
  <c r="E37" i="20"/>
  <c r="F37" i="20" s="1"/>
  <c r="G37" i="20" s="1"/>
  <c r="H37" i="20" s="1"/>
  <c r="D38" i="20"/>
  <c r="E25" i="19"/>
  <c r="F25" i="19" s="1"/>
  <c r="D26" i="19"/>
  <c r="F25" i="16"/>
  <c r="G25" i="16" s="1"/>
  <c r="H25" i="16" s="1"/>
  <c r="E26" i="16"/>
  <c r="E12" i="14"/>
  <c r="F13" i="14" s="1"/>
  <c r="H12" i="14"/>
  <c r="I12" i="14" s="1"/>
  <c r="J12" i="14" s="1"/>
  <c r="F22" i="13"/>
  <c r="G22" i="13" s="1"/>
  <c r="D24" i="13"/>
  <c r="E24" i="13" s="1"/>
  <c r="H24" i="13" s="1"/>
  <c r="E4" i="8"/>
  <c r="F4" i="8" s="1"/>
  <c r="J4" i="8"/>
  <c r="D4" i="8"/>
  <c r="J5" i="8" s="1"/>
  <c r="D21" i="10"/>
  <c r="E20" i="10"/>
  <c r="F20" i="10" s="1"/>
  <c r="U7" i="9"/>
  <c r="T5" i="9"/>
  <c r="U5" i="9"/>
  <c r="T7" i="9"/>
  <c r="P8" i="9"/>
  <c r="U8" i="9" s="1"/>
  <c r="R5" i="9"/>
  <c r="S5" i="9" s="1"/>
  <c r="J7" i="6"/>
  <c r="H8" i="6"/>
  <c r="H5" i="22" l="1"/>
  <c r="I5" i="22" s="1"/>
  <c r="E6" i="22"/>
  <c r="F6" i="22" s="1"/>
  <c r="G6" i="22" s="1"/>
  <c r="J6" i="22"/>
  <c r="D6" i="22"/>
  <c r="E38" i="20"/>
  <c r="F38" i="20" s="1"/>
  <c r="G38" i="20" s="1"/>
  <c r="H38" i="20" s="1"/>
  <c r="D39" i="20"/>
  <c r="E26" i="19"/>
  <c r="F26" i="19" s="1"/>
  <c r="D27" i="19"/>
  <c r="F26" i="16"/>
  <c r="G26" i="16" s="1"/>
  <c r="H26" i="16" s="1"/>
  <c r="E27" i="16"/>
  <c r="J2" i="11"/>
  <c r="M22" i="11"/>
  <c r="J53" i="11"/>
  <c r="G13" i="14"/>
  <c r="D13" i="14"/>
  <c r="F23" i="13"/>
  <c r="G23" i="13" s="1"/>
  <c r="D25" i="13"/>
  <c r="E25" i="13" s="1"/>
  <c r="H25" i="13" s="1"/>
  <c r="E5" i="8"/>
  <c r="F5" i="8" s="1"/>
  <c r="E21" i="10"/>
  <c r="F21" i="10" s="1"/>
  <c r="D22" i="10"/>
  <c r="D5" i="8"/>
  <c r="J6" i="8" s="1"/>
  <c r="G4" i="8"/>
  <c r="T8" i="9"/>
  <c r="R3" i="9"/>
  <c r="S3" i="9" s="1"/>
  <c r="R4" i="9"/>
  <c r="G2" i="9" s="1"/>
  <c r="G9" i="6"/>
  <c r="I8" i="6"/>
  <c r="F8" i="6"/>
  <c r="E7" i="22" l="1"/>
  <c r="F7" i="22" s="1"/>
  <c r="G7" i="22" s="1"/>
  <c r="D7" i="22"/>
  <c r="H6" i="22"/>
  <c r="I6" i="22" s="1"/>
  <c r="E39" i="20"/>
  <c r="F39" i="20" s="1"/>
  <c r="G39" i="20" s="1"/>
  <c r="H39" i="20" s="1"/>
  <c r="D40" i="20"/>
  <c r="D28" i="19"/>
  <c r="E27" i="19"/>
  <c r="F27" i="19" s="1"/>
  <c r="F27" i="16"/>
  <c r="G27" i="16" s="1"/>
  <c r="H27" i="16" s="1"/>
  <c r="E28" i="16"/>
  <c r="E13" i="14"/>
  <c r="F14" i="14" s="1"/>
  <c r="H13" i="14"/>
  <c r="I13" i="14" s="1"/>
  <c r="J13" i="14" s="1"/>
  <c r="F24" i="13"/>
  <c r="G24" i="13" s="1"/>
  <c r="D26" i="13"/>
  <c r="E26" i="13" s="1"/>
  <c r="H26" i="13" s="1"/>
  <c r="D6" i="8"/>
  <c r="E22" i="10"/>
  <c r="F22" i="10" s="1"/>
  <c r="D23" i="10"/>
  <c r="E6" i="8"/>
  <c r="F6" i="8" s="1"/>
  <c r="G6" i="8" s="1"/>
  <c r="H4" i="8"/>
  <c r="I4" i="8" s="1"/>
  <c r="G5" i="8"/>
  <c r="H2" i="9"/>
  <c r="J8" i="6"/>
  <c r="H9" i="6"/>
  <c r="H7" i="22" l="1"/>
  <c r="I7" i="22" s="1"/>
  <c r="E8" i="22"/>
  <c r="F8" i="22" s="1"/>
  <c r="G8" i="22" s="1"/>
  <c r="H8" i="22" s="1"/>
  <c r="I8" i="22" s="1"/>
  <c r="D8" i="22"/>
  <c r="E40" i="20"/>
  <c r="F40" i="20" s="1"/>
  <c r="G40" i="20" s="1"/>
  <c r="H40" i="20" s="1"/>
  <c r="D41" i="20"/>
  <c r="D29" i="19"/>
  <c r="E28" i="19"/>
  <c r="F28" i="19" s="1"/>
  <c r="F28" i="16"/>
  <c r="G28" i="16" s="1"/>
  <c r="H28" i="16" s="1"/>
  <c r="E29" i="16"/>
  <c r="G14" i="14"/>
  <c r="D14" i="14"/>
  <c r="F25" i="13"/>
  <c r="G25" i="13" s="1"/>
  <c r="D27" i="13"/>
  <c r="E27" i="13" s="1"/>
  <c r="H27" i="13" s="1"/>
  <c r="D7" i="8"/>
  <c r="E7" i="8"/>
  <c r="F7" i="8" s="1"/>
  <c r="G7" i="8" s="1"/>
  <c r="E23" i="10"/>
  <c r="F23" i="10" s="1"/>
  <c r="D24" i="10"/>
  <c r="H6" i="8"/>
  <c r="I6" i="8" s="1"/>
  <c r="H5" i="8"/>
  <c r="I5" i="8" s="1"/>
  <c r="G3" i="9"/>
  <c r="I2" i="9"/>
  <c r="J2" i="9" s="1"/>
  <c r="F2" i="9"/>
  <c r="G10" i="6"/>
  <c r="I9" i="6"/>
  <c r="F9" i="6"/>
  <c r="E9" i="22" l="1"/>
  <c r="F9" i="22" s="1"/>
  <c r="G9" i="22" s="1"/>
  <c r="D9" i="22"/>
  <c r="E41" i="20"/>
  <c r="F41" i="20" s="1"/>
  <c r="G41" i="20" s="1"/>
  <c r="H41" i="20" s="1"/>
  <c r="D42" i="20"/>
  <c r="D30" i="19"/>
  <c r="E29" i="19"/>
  <c r="F29" i="19" s="1"/>
  <c r="F29" i="16"/>
  <c r="G29" i="16" s="1"/>
  <c r="H29" i="16" s="1"/>
  <c r="E30" i="16"/>
  <c r="E14" i="14"/>
  <c r="F15" i="14" s="1"/>
  <c r="H14" i="14"/>
  <c r="I14" i="14" s="1"/>
  <c r="J14" i="14" s="1"/>
  <c r="F26" i="13"/>
  <c r="G26" i="13" s="1"/>
  <c r="D28" i="13"/>
  <c r="E28" i="13" s="1"/>
  <c r="H28" i="13" s="1"/>
  <c r="E8" i="8"/>
  <c r="F8" i="8" s="1"/>
  <c r="G8" i="8" s="1"/>
  <c r="D8" i="8"/>
  <c r="D25" i="10"/>
  <c r="E24" i="10"/>
  <c r="F24" i="10" s="1"/>
  <c r="H7" i="8"/>
  <c r="I7" i="8" s="1"/>
  <c r="H3" i="9"/>
  <c r="J9" i="6"/>
  <c r="H10" i="6"/>
  <c r="F10" i="6" s="1"/>
  <c r="E10" i="22" l="1"/>
  <c r="F10" i="22" s="1"/>
  <c r="G10" i="22" s="1"/>
  <c r="H10" i="22" s="1"/>
  <c r="I10" i="22" s="1"/>
  <c r="D10" i="22"/>
  <c r="H9" i="22"/>
  <c r="I9" i="22" s="1"/>
  <c r="E42" i="20"/>
  <c r="F42" i="20" s="1"/>
  <c r="G42" i="20" s="1"/>
  <c r="H42" i="20" s="1"/>
  <c r="D43" i="20"/>
  <c r="E30" i="19"/>
  <c r="F30" i="19" s="1"/>
  <c r="D31" i="19"/>
  <c r="F30" i="16"/>
  <c r="G30" i="16" s="1"/>
  <c r="H30" i="16" s="1"/>
  <c r="E31" i="16"/>
  <c r="D15" i="14"/>
  <c r="G15" i="14"/>
  <c r="D29" i="13"/>
  <c r="E29" i="13" s="1"/>
  <c r="H29" i="13" s="1"/>
  <c r="F27" i="13"/>
  <c r="G27" i="13" s="1"/>
  <c r="D9" i="8"/>
  <c r="E9" i="8"/>
  <c r="F9" i="8" s="1"/>
  <c r="G9" i="8" s="1"/>
  <c r="H9" i="8" s="1"/>
  <c r="I9" i="8" s="1"/>
  <c r="D26" i="10"/>
  <c r="E25" i="10"/>
  <c r="F25" i="10" s="1"/>
  <c r="H8" i="8"/>
  <c r="I8" i="8" s="1"/>
  <c r="I3" i="9"/>
  <c r="J3" i="9" s="1"/>
  <c r="G4" i="9"/>
  <c r="F3" i="9"/>
  <c r="G11" i="6"/>
  <c r="I10" i="6"/>
  <c r="E11" i="22" l="1"/>
  <c r="F11" i="22" s="1"/>
  <c r="G11" i="22" s="1"/>
  <c r="H11" i="22" s="1"/>
  <c r="I11" i="22" s="1"/>
  <c r="D11" i="22"/>
  <c r="E43" i="20"/>
  <c r="F43" i="20" s="1"/>
  <c r="G43" i="20" s="1"/>
  <c r="H43" i="20" s="1"/>
  <c r="D44" i="20"/>
  <c r="E31" i="19"/>
  <c r="F31" i="19" s="1"/>
  <c r="D32" i="19"/>
  <c r="F31" i="16"/>
  <c r="G31" i="16" s="1"/>
  <c r="H31" i="16" s="1"/>
  <c r="E32" i="16"/>
  <c r="H15" i="14"/>
  <c r="I15" i="14" s="1"/>
  <c r="J15" i="14" s="1"/>
  <c r="E15" i="14"/>
  <c r="F16" i="14" s="1"/>
  <c r="F28" i="13"/>
  <c r="G28" i="13" s="1"/>
  <c r="D30" i="13"/>
  <c r="E30" i="13" s="1"/>
  <c r="H30" i="13" s="1"/>
  <c r="E10" i="8"/>
  <c r="F10" i="8" s="1"/>
  <c r="G10" i="8" s="1"/>
  <c r="D10" i="8"/>
  <c r="E26" i="10"/>
  <c r="F26" i="10" s="1"/>
  <c r="D27" i="10"/>
  <c r="H4" i="9"/>
  <c r="H11" i="6"/>
  <c r="F11" i="6" s="1"/>
  <c r="J10" i="6"/>
  <c r="E12" i="22" l="1"/>
  <c r="F12" i="22" s="1"/>
  <c r="G12" i="22" s="1"/>
  <c r="H12" i="22" s="1"/>
  <c r="I12" i="22" s="1"/>
  <c r="D12" i="22"/>
  <c r="E44" i="20"/>
  <c r="F44" i="20" s="1"/>
  <c r="G44" i="20" s="1"/>
  <c r="H44" i="20" s="1"/>
  <c r="D45" i="20"/>
  <c r="D33" i="19"/>
  <c r="E32" i="19"/>
  <c r="F32" i="19" s="1"/>
  <c r="F32" i="16"/>
  <c r="G32" i="16" s="1"/>
  <c r="H32" i="16" s="1"/>
  <c r="E33" i="16"/>
  <c r="G16" i="14"/>
  <c r="D16" i="14"/>
  <c r="F29" i="13"/>
  <c r="G29" i="13" s="1"/>
  <c r="D31" i="13"/>
  <c r="E31" i="13" s="1"/>
  <c r="H31" i="13" s="1"/>
  <c r="E11" i="8"/>
  <c r="F11" i="8" s="1"/>
  <c r="G11" i="8" s="1"/>
  <c r="D11" i="8"/>
  <c r="E27" i="10"/>
  <c r="F27" i="10" s="1"/>
  <c r="D28" i="10"/>
  <c r="H10" i="8"/>
  <c r="I10" i="8" s="1"/>
  <c r="I4" i="9"/>
  <c r="J4" i="9" s="1"/>
  <c r="G5" i="9"/>
  <c r="F4" i="9"/>
  <c r="G12" i="6"/>
  <c r="I11" i="6"/>
  <c r="E13" i="22" l="1"/>
  <c r="F13" i="22" s="1"/>
  <c r="G13" i="22" s="1"/>
  <c r="H13" i="22" s="1"/>
  <c r="I13" i="22" s="1"/>
  <c r="D13" i="22"/>
  <c r="E45" i="20"/>
  <c r="F45" i="20" s="1"/>
  <c r="G45" i="20" s="1"/>
  <c r="H45" i="20" s="1"/>
  <c r="D46" i="20"/>
  <c r="E33" i="19"/>
  <c r="F33" i="19" s="1"/>
  <c r="D34" i="19"/>
  <c r="F33" i="16"/>
  <c r="G33" i="16" s="1"/>
  <c r="H33" i="16" s="1"/>
  <c r="E34" i="16"/>
  <c r="E16" i="14"/>
  <c r="F17" i="14" s="1"/>
  <c r="H16" i="14"/>
  <c r="I16" i="14" s="1"/>
  <c r="J16" i="14" s="1"/>
  <c r="F30" i="13"/>
  <c r="G30" i="13" s="1"/>
  <c r="D32" i="13"/>
  <c r="E32" i="13" s="1"/>
  <c r="H32" i="13" s="1"/>
  <c r="D12" i="8"/>
  <c r="E12" i="8"/>
  <c r="F12" i="8" s="1"/>
  <c r="G12" i="8" s="1"/>
  <c r="H12" i="8" s="1"/>
  <c r="I12" i="8" s="1"/>
  <c r="D29" i="10"/>
  <c r="E28" i="10"/>
  <c r="F28" i="10" s="1"/>
  <c r="H11" i="8"/>
  <c r="I11" i="8" s="1"/>
  <c r="H5" i="9"/>
  <c r="J11" i="6"/>
  <c r="H12" i="6"/>
  <c r="F12" i="6" s="1"/>
  <c r="E14" i="22" l="1"/>
  <c r="F14" i="22" s="1"/>
  <c r="G14" i="22" s="1"/>
  <c r="H14" i="22" s="1"/>
  <c r="I14" i="22" s="1"/>
  <c r="D14" i="22"/>
  <c r="E46" i="20"/>
  <c r="F46" i="20" s="1"/>
  <c r="G46" i="20" s="1"/>
  <c r="H46" i="20" s="1"/>
  <c r="D47" i="20"/>
  <c r="E34" i="19"/>
  <c r="F34" i="19" s="1"/>
  <c r="D35" i="19"/>
  <c r="F34" i="16"/>
  <c r="G34" i="16" s="1"/>
  <c r="H34" i="16" s="1"/>
  <c r="E35" i="16"/>
  <c r="G17" i="14"/>
  <c r="D17" i="14"/>
  <c r="D33" i="13"/>
  <c r="E33" i="13" s="1"/>
  <c r="H33" i="13" s="1"/>
  <c r="F31" i="13"/>
  <c r="G31" i="13" s="1"/>
  <c r="E13" i="8"/>
  <c r="F13" i="8" s="1"/>
  <c r="G13" i="8" s="1"/>
  <c r="H13" i="8" s="1"/>
  <c r="I13" i="8" s="1"/>
  <c r="D13" i="8"/>
  <c r="D30" i="10"/>
  <c r="E29" i="10"/>
  <c r="F29" i="10" s="1"/>
  <c r="I5" i="9"/>
  <c r="J5" i="9" s="1"/>
  <c r="G6" i="9"/>
  <c r="F5" i="9"/>
  <c r="G13" i="6"/>
  <c r="I12" i="6"/>
  <c r="E15" i="22" l="1"/>
  <c r="F15" i="22" s="1"/>
  <c r="G15" i="22" s="1"/>
  <c r="H15" i="22" s="1"/>
  <c r="I15" i="22" s="1"/>
  <c r="D15" i="22"/>
  <c r="E47" i="20"/>
  <c r="F47" i="20" s="1"/>
  <c r="G47" i="20" s="1"/>
  <c r="H47" i="20" s="1"/>
  <c r="D48" i="20"/>
  <c r="D36" i="19"/>
  <c r="E35" i="19"/>
  <c r="F35" i="19" s="1"/>
  <c r="F35" i="16"/>
  <c r="G35" i="16" s="1"/>
  <c r="H35" i="16" s="1"/>
  <c r="E36" i="16"/>
  <c r="E17" i="14"/>
  <c r="F18" i="14" s="1"/>
  <c r="H17" i="14"/>
  <c r="I17" i="14" s="1"/>
  <c r="J17" i="14" s="1"/>
  <c r="F32" i="13"/>
  <c r="G32" i="13" s="1"/>
  <c r="D34" i="13"/>
  <c r="E34" i="13" s="1"/>
  <c r="H34" i="13" s="1"/>
  <c r="E14" i="8"/>
  <c r="F14" i="8" s="1"/>
  <c r="G14" i="8" s="1"/>
  <c r="H14" i="8" s="1"/>
  <c r="I14" i="8" s="1"/>
  <c r="D14" i="8"/>
  <c r="E30" i="10"/>
  <c r="F30" i="10" s="1"/>
  <c r="D31" i="10"/>
  <c r="H6" i="9"/>
  <c r="J12" i="6"/>
  <c r="H13" i="6"/>
  <c r="E16" i="22" l="1"/>
  <c r="F16" i="22" s="1"/>
  <c r="G16" i="22" s="1"/>
  <c r="H16" i="22" s="1"/>
  <c r="I16" i="22" s="1"/>
  <c r="D16" i="22"/>
  <c r="E48" i="20"/>
  <c r="F48" i="20" s="1"/>
  <c r="G48" i="20" s="1"/>
  <c r="H48" i="20" s="1"/>
  <c r="D49" i="20"/>
  <c r="D37" i="19"/>
  <c r="E36" i="19"/>
  <c r="F36" i="19" s="1"/>
  <c r="F36" i="16"/>
  <c r="G36" i="16" s="1"/>
  <c r="H36" i="16" s="1"/>
  <c r="E37" i="16"/>
  <c r="G18" i="14"/>
  <c r="D18" i="14"/>
  <c r="D35" i="13"/>
  <c r="E35" i="13" s="1"/>
  <c r="H35" i="13" s="1"/>
  <c r="F33" i="13"/>
  <c r="G33" i="13" s="1"/>
  <c r="D15" i="8"/>
  <c r="E16" i="8" s="1"/>
  <c r="F16" i="8" s="1"/>
  <c r="G16" i="8" s="1"/>
  <c r="E15" i="8"/>
  <c r="F15" i="8" s="1"/>
  <c r="G15" i="8" s="1"/>
  <c r="H15" i="8" s="1"/>
  <c r="I15" i="8" s="1"/>
  <c r="E31" i="10"/>
  <c r="F31" i="10" s="1"/>
  <c r="D32" i="10"/>
  <c r="I6" i="9"/>
  <c r="J6" i="9" s="1"/>
  <c r="G7" i="9"/>
  <c r="F6" i="9"/>
  <c r="G14" i="6"/>
  <c r="I13" i="6"/>
  <c r="F13" i="6"/>
  <c r="E17" i="22" l="1"/>
  <c r="F17" i="22" s="1"/>
  <c r="G17" i="22" s="1"/>
  <c r="H17" i="22" s="1"/>
  <c r="I17" i="22" s="1"/>
  <c r="D17" i="22"/>
  <c r="E49" i="20"/>
  <c r="F49" i="20" s="1"/>
  <c r="G49" i="20" s="1"/>
  <c r="H49" i="20" s="1"/>
  <c r="D50" i="20"/>
  <c r="D38" i="19"/>
  <c r="E37" i="19"/>
  <c r="F37" i="19" s="1"/>
  <c r="F37" i="16"/>
  <c r="G37" i="16" s="1"/>
  <c r="H37" i="16" s="1"/>
  <c r="E38" i="16"/>
  <c r="E18" i="14"/>
  <c r="F19" i="14" s="1"/>
  <c r="H18" i="14"/>
  <c r="I18" i="14" s="1"/>
  <c r="J18" i="14" s="1"/>
  <c r="F34" i="13"/>
  <c r="G34" i="13" s="1"/>
  <c r="D36" i="13"/>
  <c r="E36" i="13" s="1"/>
  <c r="H36" i="13" s="1"/>
  <c r="D16" i="8"/>
  <c r="E17" i="8" s="1"/>
  <c r="F17" i="8" s="1"/>
  <c r="D33" i="10"/>
  <c r="E32" i="10"/>
  <c r="F32" i="10" s="1"/>
  <c r="H16" i="8"/>
  <c r="I16" i="8" s="1"/>
  <c r="H7" i="9"/>
  <c r="J13" i="6"/>
  <c r="H14" i="6"/>
  <c r="I14" i="6" s="1"/>
  <c r="E18" i="22" l="1"/>
  <c r="F18" i="22" s="1"/>
  <c r="G18" i="22" s="1"/>
  <c r="H18" i="22" s="1"/>
  <c r="I18" i="22" s="1"/>
  <c r="D18" i="22"/>
  <c r="E50" i="20"/>
  <c r="F50" i="20" s="1"/>
  <c r="G50" i="20" s="1"/>
  <c r="H50" i="20" s="1"/>
  <c r="D51" i="20"/>
  <c r="E38" i="19"/>
  <c r="F38" i="19" s="1"/>
  <c r="D39" i="19"/>
  <c r="F38" i="16"/>
  <c r="G38" i="16" s="1"/>
  <c r="H38" i="16" s="1"/>
  <c r="E39" i="16"/>
  <c r="G19" i="14"/>
  <c r="D19" i="14"/>
  <c r="F35" i="13"/>
  <c r="G35" i="13" s="1"/>
  <c r="D37" i="13"/>
  <c r="E37" i="13" s="1"/>
  <c r="H37" i="13" s="1"/>
  <c r="D17" i="8"/>
  <c r="E18" i="8" s="1"/>
  <c r="F18" i="8" s="1"/>
  <c r="G18" i="8" s="1"/>
  <c r="F14" i="6"/>
  <c r="D34" i="10"/>
  <c r="E33" i="10"/>
  <c r="F33" i="10" s="1"/>
  <c r="G17" i="8"/>
  <c r="H17" i="8" s="1"/>
  <c r="I17" i="8" s="1"/>
  <c r="I7" i="9"/>
  <c r="J7" i="9" s="1"/>
  <c r="G8" i="9"/>
  <c r="F7" i="9"/>
  <c r="J14" i="6"/>
  <c r="E19" i="22" l="1"/>
  <c r="F19" i="22" s="1"/>
  <c r="G19" i="22" s="1"/>
  <c r="H19" i="22" s="1"/>
  <c r="I19" i="22" s="1"/>
  <c r="D19" i="22"/>
  <c r="E51" i="20"/>
  <c r="F51" i="20" s="1"/>
  <c r="G51" i="20" s="1"/>
  <c r="H51" i="20" s="1"/>
  <c r="D52" i="20"/>
  <c r="D40" i="19"/>
  <c r="E39" i="19"/>
  <c r="F39" i="19" s="1"/>
  <c r="F39" i="16"/>
  <c r="G39" i="16" s="1"/>
  <c r="H39" i="16" s="1"/>
  <c r="E40" i="16"/>
  <c r="E19" i="14"/>
  <c r="F20" i="14" s="1"/>
  <c r="H19" i="14"/>
  <c r="I19" i="14" s="1"/>
  <c r="J19" i="14" s="1"/>
  <c r="F36" i="13"/>
  <c r="G36" i="13" s="1"/>
  <c r="D38" i="13"/>
  <c r="E38" i="13" s="1"/>
  <c r="H38" i="13" s="1"/>
  <c r="D18" i="8"/>
  <c r="E19" i="8" s="1"/>
  <c r="F19" i="8" s="1"/>
  <c r="G19" i="8" s="1"/>
  <c r="H19" i="8" s="1"/>
  <c r="I19" i="8" s="1"/>
  <c r="E34" i="10"/>
  <c r="F34" i="10" s="1"/>
  <c r="D35" i="10"/>
  <c r="H18" i="8"/>
  <c r="I18" i="8" s="1"/>
  <c r="H8" i="9"/>
  <c r="J15" i="6"/>
  <c r="E20" i="22" l="1"/>
  <c r="F20" i="22" s="1"/>
  <c r="G20" i="22" s="1"/>
  <c r="H20" i="22" s="1"/>
  <c r="I20" i="22" s="1"/>
  <c r="D20" i="22"/>
  <c r="E52" i="20"/>
  <c r="F52" i="20" s="1"/>
  <c r="G52" i="20" s="1"/>
  <c r="H52" i="20" s="1"/>
  <c r="D53" i="20"/>
  <c r="D41" i="19"/>
  <c r="E40" i="19"/>
  <c r="F40" i="19" s="1"/>
  <c r="F40" i="16"/>
  <c r="G40" i="16" s="1"/>
  <c r="H40" i="16" s="1"/>
  <c r="E41" i="16"/>
  <c r="D20" i="14"/>
  <c r="G20" i="14"/>
  <c r="F37" i="13"/>
  <c r="G37" i="13" s="1"/>
  <c r="D39" i="13"/>
  <c r="E39" i="13" s="1"/>
  <c r="H39" i="13" s="1"/>
  <c r="D19" i="8"/>
  <c r="E35" i="10"/>
  <c r="F35" i="10" s="1"/>
  <c r="D36" i="10"/>
  <c r="I8" i="9"/>
  <c r="J8" i="9" s="1"/>
  <c r="G9" i="9"/>
  <c r="F8" i="9"/>
  <c r="L2" i="6"/>
  <c r="K2" i="6"/>
  <c r="L3" i="6"/>
  <c r="K3" i="6"/>
  <c r="L4" i="6"/>
  <c r="K4" i="6"/>
  <c r="L5" i="6"/>
  <c r="K5" i="6"/>
  <c r="L6" i="6"/>
  <c r="K6" i="6"/>
  <c r="L7" i="6"/>
  <c r="K7" i="6"/>
  <c r="L8" i="6"/>
  <c r="K8" i="6"/>
  <c r="L9" i="6"/>
  <c r="K9" i="6"/>
  <c r="L10" i="6"/>
  <c r="K10" i="6"/>
  <c r="L11" i="6"/>
  <c r="K11" i="6"/>
  <c r="L12" i="6"/>
  <c r="K12" i="6"/>
  <c r="L13" i="6"/>
  <c r="L14" i="6"/>
  <c r="K13" i="6"/>
  <c r="K14" i="6"/>
  <c r="E21" i="22" l="1"/>
  <c r="F21" i="22" s="1"/>
  <c r="G21" i="22" s="1"/>
  <c r="H21" i="22" s="1"/>
  <c r="I21" i="22" s="1"/>
  <c r="D21" i="22"/>
  <c r="E53" i="20"/>
  <c r="F53" i="20" s="1"/>
  <c r="G53" i="20" s="1"/>
  <c r="H53" i="20" s="1"/>
  <c r="D54" i="20"/>
  <c r="D42" i="19"/>
  <c r="E41" i="19"/>
  <c r="F41" i="19" s="1"/>
  <c r="F41" i="16"/>
  <c r="G41" i="16" s="1"/>
  <c r="H41" i="16" s="1"/>
  <c r="E42" i="16"/>
  <c r="H20" i="14"/>
  <c r="I20" i="14" s="1"/>
  <c r="J20" i="14" s="1"/>
  <c r="E20" i="14"/>
  <c r="F21" i="14" s="1"/>
  <c r="F38" i="13"/>
  <c r="G38" i="13" s="1"/>
  <c r="D40" i="13"/>
  <c r="E40" i="13" s="1"/>
  <c r="H40" i="13" s="1"/>
  <c r="E20" i="8"/>
  <c r="F20" i="8" s="1"/>
  <c r="G20" i="8" s="1"/>
  <c r="H20" i="8" s="1"/>
  <c r="I20" i="8" s="1"/>
  <c r="D20" i="8"/>
  <c r="D37" i="10"/>
  <c r="E36" i="10"/>
  <c r="F36" i="10" s="1"/>
  <c r="H9" i="9"/>
  <c r="K15" i="6"/>
  <c r="E22" i="22" l="1"/>
  <c r="F22" i="22" s="1"/>
  <c r="G22" i="22" s="1"/>
  <c r="H22" i="22" s="1"/>
  <c r="I22" i="22" s="1"/>
  <c r="D22" i="22"/>
  <c r="E54" i="20"/>
  <c r="F54" i="20" s="1"/>
  <c r="G54" i="20" s="1"/>
  <c r="H54" i="20" s="1"/>
  <c r="D55" i="20"/>
  <c r="E42" i="19"/>
  <c r="F42" i="19" s="1"/>
  <c r="D43" i="19"/>
  <c r="F42" i="16"/>
  <c r="G42" i="16" s="1"/>
  <c r="H42" i="16" s="1"/>
  <c r="E43" i="16"/>
  <c r="G21" i="14"/>
  <c r="D21" i="14"/>
  <c r="F39" i="13"/>
  <c r="G39" i="13" s="1"/>
  <c r="D41" i="13"/>
  <c r="E41" i="13" s="1"/>
  <c r="H41" i="13" s="1"/>
  <c r="E21" i="8"/>
  <c r="F21" i="8" s="1"/>
  <c r="G21" i="8" s="1"/>
  <c r="H21" i="8" s="1"/>
  <c r="I21" i="8" s="1"/>
  <c r="D21" i="8"/>
  <c r="D38" i="10"/>
  <c r="E37" i="10"/>
  <c r="F37" i="10" s="1"/>
  <c r="I9" i="9"/>
  <c r="J9" i="9" s="1"/>
  <c r="G10" i="9"/>
  <c r="F9" i="9"/>
  <c r="E23" i="22" l="1"/>
  <c r="F23" i="22" s="1"/>
  <c r="G23" i="22" s="1"/>
  <c r="H23" i="22" s="1"/>
  <c r="I23" i="22" s="1"/>
  <c r="D23" i="22"/>
  <c r="E55" i="20"/>
  <c r="F55" i="20" s="1"/>
  <c r="G55" i="20" s="1"/>
  <c r="H55" i="20" s="1"/>
  <c r="D56" i="20"/>
  <c r="D44" i="19"/>
  <c r="E43" i="19"/>
  <c r="F43" i="19" s="1"/>
  <c r="F43" i="16"/>
  <c r="G43" i="16" s="1"/>
  <c r="H43" i="16" s="1"/>
  <c r="E44" i="16"/>
  <c r="E21" i="14"/>
  <c r="F22" i="14" s="1"/>
  <c r="H21" i="14"/>
  <c r="I21" i="14" s="1"/>
  <c r="J21" i="14" s="1"/>
  <c r="D42" i="13"/>
  <c r="E42" i="13" s="1"/>
  <c r="H42" i="13" s="1"/>
  <c r="F40" i="13"/>
  <c r="G40" i="13" s="1"/>
  <c r="E22" i="8"/>
  <c r="F22" i="8" s="1"/>
  <c r="G22" i="8" s="1"/>
  <c r="H22" i="8" s="1"/>
  <c r="I22" i="8" s="1"/>
  <c r="D22" i="8"/>
  <c r="E38" i="10"/>
  <c r="F38" i="10" s="1"/>
  <c r="D39" i="10"/>
  <c r="H10" i="9"/>
  <c r="E24" i="22" l="1"/>
  <c r="F24" i="22" s="1"/>
  <c r="G24" i="22" s="1"/>
  <c r="H24" i="22" s="1"/>
  <c r="I24" i="22" s="1"/>
  <c r="D24" i="22"/>
  <c r="E56" i="20"/>
  <c r="F56" i="20" s="1"/>
  <c r="G56" i="20" s="1"/>
  <c r="H56" i="20" s="1"/>
  <c r="D57" i="20"/>
  <c r="D45" i="19"/>
  <c r="E44" i="19"/>
  <c r="F44" i="19" s="1"/>
  <c r="F44" i="16"/>
  <c r="G44" i="16" s="1"/>
  <c r="H44" i="16" s="1"/>
  <c r="E45" i="16"/>
  <c r="G22" i="14"/>
  <c r="D22" i="14"/>
  <c r="F41" i="13"/>
  <c r="G41" i="13" s="1"/>
  <c r="D43" i="13"/>
  <c r="E43" i="13" s="1"/>
  <c r="H43" i="13" s="1"/>
  <c r="E23" i="8"/>
  <c r="F23" i="8" s="1"/>
  <c r="G23" i="8" s="1"/>
  <c r="H23" i="8" s="1"/>
  <c r="I23" i="8" s="1"/>
  <c r="D23" i="8"/>
  <c r="E39" i="10"/>
  <c r="F39" i="10" s="1"/>
  <c r="D40" i="10"/>
  <c r="I10" i="9"/>
  <c r="J10" i="9" s="1"/>
  <c r="G11" i="9"/>
  <c r="F10" i="9"/>
  <c r="E25" i="22" l="1"/>
  <c r="F25" i="22" s="1"/>
  <c r="G25" i="22" s="1"/>
  <c r="H25" i="22" s="1"/>
  <c r="I25" i="22" s="1"/>
  <c r="D25" i="22"/>
  <c r="E57" i="20"/>
  <c r="F57" i="20" s="1"/>
  <c r="G57" i="20" s="1"/>
  <c r="H57" i="20" s="1"/>
  <c r="D58" i="20"/>
  <c r="E45" i="19"/>
  <c r="F45" i="19" s="1"/>
  <c r="D46" i="19"/>
  <c r="F45" i="16"/>
  <c r="G45" i="16" s="1"/>
  <c r="H45" i="16" s="1"/>
  <c r="E46" i="16"/>
  <c r="E22" i="14"/>
  <c r="F23" i="14" s="1"/>
  <c r="H22" i="14"/>
  <c r="I22" i="14" s="1"/>
  <c r="J22" i="14" s="1"/>
  <c r="F42" i="13"/>
  <c r="G42" i="13" s="1"/>
  <c r="D44" i="13"/>
  <c r="E44" i="13" s="1"/>
  <c r="H44" i="13" s="1"/>
  <c r="E24" i="8"/>
  <c r="F24" i="8" s="1"/>
  <c r="G24" i="8" s="1"/>
  <c r="H24" i="8" s="1"/>
  <c r="I24" i="8" s="1"/>
  <c r="D24" i="8"/>
  <c r="D41" i="10"/>
  <c r="E40" i="10"/>
  <c r="F40" i="10" s="1"/>
  <c r="H11" i="9"/>
  <c r="E26" i="22" l="1"/>
  <c r="F26" i="22" s="1"/>
  <c r="G26" i="22" s="1"/>
  <c r="H26" i="22" s="1"/>
  <c r="I26" i="22" s="1"/>
  <c r="D26" i="22"/>
  <c r="E58" i="20"/>
  <c r="F58" i="20" s="1"/>
  <c r="G58" i="20" s="1"/>
  <c r="H58" i="20" s="1"/>
  <c r="D59" i="20"/>
  <c r="E46" i="19"/>
  <c r="F46" i="19" s="1"/>
  <c r="D47" i="19"/>
  <c r="F46" i="16"/>
  <c r="G46" i="16" s="1"/>
  <c r="H46" i="16" s="1"/>
  <c r="E47" i="16"/>
  <c r="D23" i="14"/>
  <c r="G23" i="14"/>
  <c r="F43" i="13"/>
  <c r="G43" i="13" s="1"/>
  <c r="D45" i="13"/>
  <c r="E45" i="13" s="1"/>
  <c r="H45" i="13" s="1"/>
  <c r="E25" i="8"/>
  <c r="F25" i="8" s="1"/>
  <c r="G25" i="8" s="1"/>
  <c r="H25" i="8" s="1"/>
  <c r="I25" i="8" s="1"/>
  <c r="D25" i="8"/>
  <c r="D42" i="10"/>
  <c r="E41" i="10"/>
  <c r="F41" i="10" s="1"/>
  <c r="I11" i="9"/>
  <c r="J11" i="9" s="1"/>
  <c r="G12" i="9"/>
  <c r="F11" i="9"/>
  <c r="E27" i="22" l="1"/>
  <c r="F27" i="22" s="1"/>
  <c r="G27" i="22" s="1"/>
  <c r="H27" i="22" s="1"/>
  <c r="I27" i="22" s="1"/>
  <c r="D27" i="22"/>
  <c r="E59" i="20"/>
  <c r="F59" i="20" s="1"/>
  <c r="G59" i="20" s="1"/>
  <c r="H59" i="20" s="1"/>
  <c r="D60" i="20"/>
  <c r="D48" i="19"/>
  <c r="E47" i="19"/>
  <c r="F47" i="19" s="1"/>
  <c r="F47" i="16"/>
  <c r="E48" i="16"/>
  <c r="H23" i="14"/>
  <c r="I23" i="14" s="1"/>
  <c r="J23" i="14" s="1"/>
  <c r="E23" i="14"/>
  <c r="F24" i="14" s="1"/>
  <c r="D46" i="13"/>
  <c r="E46" i="13" s="1"/>
  <c r="H46" i="13" s="1"/>
  <c r="F44" i="13"/>
  <c r="G44" i="13" s="1"/>
  <c r="E26" i="8"/>
  <c r="F26" i="8" s="1"/>
  <c r="G26" i="8" s="1"/>
  <c r="H26" i="8" s="1"/>
  <c r="I26" i="8" s="1"/>
  <c r="D26" i="8"/>
  <c r="E42" i="10"/>
  <c r="F42" i="10" s="1"/>
  <c r="D43" i="10"/>
  <c r="H12" i="9"/>
  <c r="E28" i="22" l="1"/>
  <c r="F28" i="22" s="1"/>
  <c r="G28" i="22" s="1"/>
  <c r="H28" i="22" s="1"/>
  <c r="I28" i="22" s="1"/>
  <c r="D28" i="22"/>
  <c r="E60" i="20"/>
  <c r="F60" i="20" s="1"/>
  <c r="G60" i="20" s="1"/>
  <c r="H60" i="20" s="1"/>
  <c r="D61" i="20"/>
  <c r="D49" i="19"/>
  <c r="E48" i="19"/>
  <c r="F48" i="19" s="1"/>
  <c r="G47" i="16"/>
  <c r="H47" i="16" s="1"/>
  <c r="F48" i="16"/>
  <c r="G48" i="16" s="1"/>
  <c r="H48" i="16" s="1"/>
  <c r="E49" i="16"/>
  <c r="D24" i="14"/>
  <c r="G24" i="14"/>
  <c r="D47" i="13"/>
  <c r="E47" i="13" s="1"/>
  <c r="H47" i="13" s="1"/>
  <c r="F45" i="13"/>
  <c r="G45" i="13" s="1"/>
  <c r="E27" i="8"/>
  <c r="F27" i="8" s="1"/>
  <c r="G27" i="8" s="1"/>
  <c r="H27" i="8" s="1"/>
  <c r="I27" i="8" s="1"/>
  <c r="D27" i="8"/>
  <c r="E43" i="10"/>
  <c r="F43" i="10" s="1"/>
  <c r="D44" i="10"/>
  <c r="I12" i="9"/>
  <c r="J12" i="9" s="1"/>
  <c r="G13" i="9"/>
  <c r="F12" i="9"/>
  <c r="E29" i="22" l="1"/>
  <c r="F29" i="22" s="1"/>
  <c r="G29" i="22" s="1"/>
  <c r="H29" i="22" s="1"/>
  <c r="I29" i="22" s="1"/>
  <c r="D29" i="22"/>
  <c r="D62" i="20"/>
  <c r="H5" i="20" s="1"/>
  <c r="E61" i="20"/>
  <c r="F61" i="20" s="1"/>
  <c r="G61" i="20" s="1"/>
  <c r="E49" i="19"/>
  <c r="F49" i="19" s="1"/>
  <c r="D50" i="19"/>
  <c r="F49" i="16"/>
  <c r="G49" i="16" s="1"/>
  <c r="H49" i="16" s="1"/>
  <c r="E50" i="16"/>
  <c r="H24" i="14"/>
  <c r="I24" i="14" s="1"/>
  <c r="J24" i="14" s="1"/>
  <c r="E24" i="14"/>
  <c r="F25" i="14" s="1"/>
  <c r="D48" i="13"/>
  <c r="E48" i="13" s="1"/>
  <c r="H48" i="13" s="1"/>
  <c r="F46" i="13"/>
  <c r="G46" i="13" s="1"/>
  <c r="E28" i="8"/>
  <c r="F28" i="8" s="1"/>
  <c r="G28" i="8" s="1"/>
  <c r="H28" i="8" s="1"/>
  <c r="I28" i="8" s="1"/>
  <c r="D28" i="8"/>
  <c r="D45" i="10"/>
  <c r="E44" i="10"/>
  <c r="F44" i="10" s="1"/>
  <c r="H13" i="9"/>
  <c r="E30" i="22" l="1"/>
  <c r="F30" i="22" s="1"/>
  <c r="G30" i="22" s="1"/>
  <c r="H30" i="22" s="1"/>
  <c r="I30" i="22" s="1"/>
  <c r="D30" i="22"/>
  <c r="H61" i="20"/>
  <c r="H4" i="20"/>
  <c r="E50" i="19"/>
  <c r="F50" i="19" s="1"/>
  <c r="D51" i="19"/>
  <c r="E51" i="19" s="1"/>
  <c r="F51" i="19" s="1"/>
  <c r="I3" i="19" s="1"/>
  <c r="F50" i="16"/>
  <c r="G50" i="16" s="1"/>
  <c r="H50" i="16" s="1"/>
  <c r="E51" i="16"/>
  <c r="G25" i="14"/>
  <c r="D25" i="14"/>
  <c r="D49" i="13"/>
  <c r="E49" i="13" s="1"/>
  <c r="H49" i="13" s="1"/>
  <c r="F47" i="13"/>
  <c r="G47" i="13" s="1"/>
  <c r="E29" i="8"/>
  <c r="F29" i="8" s="1"/>
  <c r="G29" i="8" s="1"/>
  <c r="H29" i="8" s="1"/>
  <c r="I29" i="8" s="1"/>
  <c r="D29" i="8"/>
  <c r="D46" i="10"/>
  <c r="E45" i="10"/>
  <c r="F45" i="10" s="1"/>
  <c r="I13" i="9"/>
  <c r="J13" i="9" s="1"/>
  <c r="G14" i="9"/>
  <c r="F13" i="9"/>
  <c r="E31" i="22" l="1"/>
  <c r="F31" i="22" s="1"/>
  <c r="G31" i="22" s="1"/>
  <c r="H31" i="22" s="1"/>
  <c r="I31" i="22" s="1"/>
  <c r="D31" i="22"/>
  <c r="I6" i="20"/>
  <c r="K16" i="20"/>
  <c r="F51" i="16"/>
  <c r="G51" i="16" s="1"/>
  <c r="H51" i="16" s="1"/>
  <c r="E52" i="16"/>
  <c r="E25" i="14"/>
  <c r="F26" i="14" s="1"/>
  <c r="H25" i="14"/>
  <c r="I25" i="14" s="1"/>
  <c r="J25" i="14" s="1"/>
  <c r="D50" i="13"/>
  <c r="E50" i="13" s="1"/>
  <c r="H50" i="13" s="1"/>
  <c r="F48" i="13"/>
  <c r="G48" i="13" s="1"/>
  <c r="E30" i="8"/>
  <c r="F30" i="8" s="1"/>
  <c r="G30" i="8" s="1"/>
  <c r="H30" i="8" s="1"/>
  <c r="I30" i="8" s="1"/>
  <c r="D30" i="8"/>
  <c r="E46" i="10"/>
  <c r="F46" i="10" s="1"/>
  <c r="D47" i="10"/>
  <c r="H14" i="9"/>
  <c r="I14" i="9" s="1"/>
  <c r="E32" i="22" l="1"/>
  <c r="F32" i="22" s="1"/>
  <c r="G32" i="22" s="1"/>
  <c r="H32" i="22" s="1"/>
  <c r="I32" i="22" s="1"/>
  <c r="D32" i="22"/>
  <c r="E33" i="22" s="1"/>
  <c r="F52" i="16"/>
  <c r="G52" i="16" s="1"/>
  <c r="H52" i="16" s="1"/>
  <c r="E53" i="16"/>
  <c r="G26" i="14"/>
  <c r="D26" i="14"/>
  <c r="D51" i="13"/>
  <c r="E51" i="13" s="1"/>
  <c r="H51" i="13" s="1"/>
  <c r="F49" i="13"/>
  <c r="G49" i="13" s="1"/>
  <c r="E31" i="8"/>
  <c r="F31" i="8" s="1"/>
  <c r="G31" i="8" s="1"/>
  <c r="D31" i="8"/>
  <c r="E47" i="10"/>
  <c r="F47" i="10" s="1"/>
  <c r="D48" i="10"/>
  <c r="F14" i="9"/>
  <c r="J14" i="9"/>
  <c r="M1" i="22" l="1"/>
  <c r="F53" i="16"/>
  <c r="G53" i="16" s="1"/>
  <c r="H53" i="16" s="1"/>
  <c r="E54" i="16"/>
  <c r="E26" i="14"/>
  <c r="F27" i="14" s="1"/>
  <c r="H26" i="14"/>
  <c r="I26" i="14" s="1"/>
  <c r="J26" i="14" s="1"/>
  <c r="D52" i="13"/>
  <c r="E52" i="13" s="1"/>
  <c r="H52" i="13" s="1"/>
  <c r="F50" i="13"/>
  <c r="G50" i="13" s="1"/>
  <c r="E32" i="8"/>
  <c r="F32" i="8" s="1"/>
  <c r="G32" i="8" s="1"/>
  <c r="H32" i="8" s="1"/>
  <c r="I32" i="8" s="1"/>
  <c r="D32" i="8"/>
  <c r="E33" i="8" s="1"/>
  <c r="D49" i="10"/>
  <c r="E48" i="10"/>
  <c r="F48" i="10" s="1"/>
  <c r="H31" i="8"/>
  <c r="I31" i="8" s="1"/>
  <c r="J15" i="9"/>
  <c r="F54" i="16" l="1"/>
  <c r="E55" i="16"/>
  <c r="D27" i="14"/>
  <c r="G27" i="14"/>
  <c r="D53" i="13"/>
  <c r="E53" i="13" s="1"/>
  <c r="H53" i="13" s="1"/>
  <c r="F51" i="13"/>
  <c r="G51" i="13" s="1"/>
  <c r="D50" i="10"/>
  <c r="E49" i="10"/>
  <c r="F49" i="10" s="1"/>
  <c r="M1" i="8"/>
  <c r="K2" i="9"/>
  <c r="K6" i="9"/>
  <c r="K10" i="9"/>
  <c r="L4" i="9"/>
  <c r="L8" i="9"/>
  <c r="L12" i="9"/>
  <c r="K3" i="9"/>
  <c r="K7" i="9"/>
  <c r="K11" i="9"/>
  <c r="L5" i="9"/>
  <c r="L9" i="9"/>
  <c r="K12" i="9"/>
  <c r="K4" i="9"/>
  <c r="K8" i="9"/>
  <c r="L6" i="9"/>
  <c r="L10" i="9"/>
  <c r="K13" i="9"/>
  <c r="K5" i="9"/>
  <c r="K9" i="9"/>
  <c r="L3" i="9"/>
  <c r="L7" i="9"/>
  <c r="L11" i="9"/>
  <c r="L2" i="9"/>
  <c r="L13" i="9"/>
  <c r="L14" i="9"/>
  <c r="K14" i="9"/>
  <c r="G54" i="16" l="1"/>
  <c r="H54" i="16" s="1"/>
  <c r="F55" i="16"/>
  <c r="G55" i="16" s="1"/>
  <c r="H55" i="16" s="1"/>
  <c r="E56" i="16"/>
  <c r="H27" i="14"/>
  <c r="I27" i="14" s="1"/>
  <c r="J27" i="14" s="1"/>
  <c r="E27" i="14"/>
  <c r="F28" i="14" s="1"/>
  <c r="D54" i="13"/>
  <c r="E54" i="13" s="1"/>
  <c r="H54" i="13" s="1"/>
  <c r="F52" i="13"/>
  <c r="G52" i="13" s="1"/>
  <c r="E50" i="10"/>
  <c r="F50" i="10" s="1"/>
  <c r="D51" i="10"/>
  <c r="E51" i="10" s="1"/>
  <c r="K15" i="9"/>
  <c r="F56" i="16" l="1"/>
  <c r="G56" i="16" s="1"/>
  <c r="H56" i="16" s="1"/>
  <c r="E57" i="16"/>
  <c r="D28" i="14"/>
  <c r="G28" i="14"/>
  <c r="D55" i="13"/>
  <c r="E55" i="13" s="1"/>
  <c r="H55" i="13" s="1"/>
  <c r="F53" i="13"/>
  <c r="G53" i="13" s="1"/>
  <c r="F51" i="10"/>
  <c r="I3" i="10" s="1"/>
  <c r="F57" i="16" l="1"/>
  <c r="G57" i="16" s="1"/>
  <c r="H57" i="16" s="1"/>
  <c r="E58" i="16"/>
  <c r="H28" i="14"/>
  <c r="I28" i="14" s="1"/>
  <c r="J28" i="14" s="1"/>
  <c r="E28" i="14"/>
  <c r="F29" i="14" s="1"/>
  <c r="D56" i="13"/>
  <c r="E56" i="13" s="1"/>
  <c r="H56" i="13" s="1"/>
  <c r="F54" i="13"/>
  <c r="G54" i="13" s="1"/>
  <c r="F58" i="16" l="1"/>
  <c r="G58" i="16" s="1"/>
  <c r="H58" i="16" s="1"/>
  <c r="E60" i="16"/>
  <c r="E59" i="16"/>
  <c r="G29" i="14"/>
  <c r="D29" i="14"/>
  <c r="D57" i="13"/>
  <c r="E57" i="13" s="1"/>
  <c r="H57" i="13" s="1"/>
  <c r="F55" i="13"/>
  <c r="G55" i="13" s="1"/>
  <c r="F59" i="16" l="1"/>
  <c r="G59" i="16" s="1"/>
  <c r="H59" i="16" s="1"/>
  <c r="F60" i="16"/>
  <c r="G60" i="16" s="1"/>
  <c r="G3" i="16" s="1"/>
  <c r="I5" i="16" s="1"/>
  <c r="E29" i="14"/>
  <c r="F30" i="14" s="1"/>
  <c r="H29" i="14"/>
  <c r="I29" i="14" s="1"/>
  <c r="J29" i="14" s="1"/>
  <c r="D58" i="13"/>
  <c r="E58" i="13" s="1"/>
  <c r="H58" i="13" s="1"/>
  <c r="F56" i="13"/>
  <c r="G56" i="13" s="1"/>
  <c r="H60" i="16" l="1"/>
  <c r="G30" i="14"/>
  <c r="D30" i="14"/>
  <c r="D59" i="13"/>
  <c r="E59" i="13" s="1"/>
  <c r="H59" i="13" s="1"/>
  <c r="F57" i="13"/>
  <c r="G57" i="13" s="1"/>
  <c r="E30" i="14" l="1"/>
  <c r="F31" i="14" s="1"/>
  <c r="H30" i="14"/>
  <c r="I30" i="14" s="1"/>
  <c r="J30" i="14" s="1"/>
  <c r="D60" i="13"/>
  <c r="E60" i="13" s="1"/>
  <c r="H60" i="13" s="1"/>
  <c r="F58" i="13"/>
  <c r="G58" i="13" s="1"/>
  <c r="D31" i="14" l="1"/>
  <c r="G31" i="14"/>
  <c r="D61" i="13"/>
  <c r="E61" i="13" s="1"/>
  <c r="H61" i="13" s="1"/>
  <c r="F59" i="13"/>
  <c r="G59" i="13" s="1"/>
  <c r="H31" i="14" l="1"/>
  <c r="I31" i="14" s="1"/>
  <c r="J31" i="14" s="1"/>
  <c r="E31" i="14"/>
  <c r="F32" i="14" s="1"/>
  <c r="D62" i="13"/>
  <c r="E62" i="13" s="1"/>
  <c r="H62" i="13" s="1"/>
  <c r="F60" i="13"/>
  <c r="G60" i="13" s="1"/>
  <c r="D32" i="14" l="1"/>
  <c r="G32" i="14"/>
  <c r="D63" i="13"/>
  <c r="E63" i="13" s="1"/>
  <c r="H63" i="13" s="1"/>
  <c r="F61" i="13"/>
  <c r="G61" i="13" s="1"/>
  <c r="H32" i="14" l="1"/>
  <c r="I32" i="14" s="1"/>
  <c r="J32" i="14" s="1"/>
  <c r="E32" i="14"/>
  <c r="F33" i="14" s="1"/>
  <c r="D64" i="13"/>
  <c r="E64" i="13" s="1"/>
  <c r="H64" i="13" s="1"/>
  <c r="F62" i="13"/>
  <c r="G62" i="13" s="1"/>
  <c r="D33" i="14" l="1"/>
  <c r="G33" i="14"/>
  <c r="D65" i="13"/>
  <c r="E65" i="13" s="1"/>
  <c r="H65" i="13" s="1"/>
  <c r="F63" i="13"/>
  <c r="G63" i="13" s="1"/>
  <c r="H33" i="14" l="1"/>
  <c r="I33" i="14" s="1"/>
  <c r="J33" i="14" s="1"/>
  <c r="E33" i="14"/>
  <c r="F34" i="14" s="1"/>
  <c r="D66" i="13"/>
  <c r="E66" i="13" s="1"/>
  <c r="H66" i="13" s="1"/>
  <c r="F64" i="13"/>
  <c r="G64" i="13" s="1"/>
  <c r="G34" i="14" l="1"/>
  <c r="D34" i="14"/>
  <c r="D67" i="13"/>
  <c r="E67" i="13" s="1"/>
  <c r="H67" i="13" s="1"/>
  <c r="F65" i="13"/>
  <c r="G65" i="13" s="1"/>
  <c r="E34" i="14" l="1"/>
  <c r="F35" i="14" s="1"/>
  <c r="H34" i="14"/>
  <c r="I34" i="14" s="1"/>
  <c r="J34" i="14" s="1"/>
  <c r="D68" i="13"/>
  <c r="E68" i="13" s="1"/>
  <c r="H68" i="13" s="1"/>
  <c r="F66" i="13"/>
  <c r="G66" i="13" s="1"/>
  <c r="G35" i="14" l="1"/>
  <c r="D35" i="14"/>
  <c r="D69" i="13"/>
  <c r="E69" i="13" s="1"/>
  <c r="H69" i="13" s="1"/>
  <c r="F67" i="13"/>
  <c r="G67" i="13" s="1"/>
  <c r="E35" i="14" l="1"/>
  <c r="F36" i="14" s="1"/>
  <c r="H35" i="14"/>
  <c r="I35" i="14" s="1"/>
  <c r="J35" i="14" s="1"/>
  <c r="D70" i="13"/>
  <c r="E70" i="13" s="1"/>
  <c r="H70" i="13" s="1"/>
  <c r="F68" i="13"/>
  <c r="G68" i="13" s="1"/>
  <c r="G36" i="14" l="1"/>
  <c r="D36" i="14"/>
  <c r="D71" i="13"/>
  <c r="E71" i="13" s="1"/>
  <c r="H71" i="13" s="1"/>
  <c r="F69" i="13"/>
  <c r="G69" i="13" s="1"/>
  <c r="E36" i="14" l="1"/>
  <c r="F37" i="14" s="1"/>
  <c r="H36" i="14"/>
  <c r="I36" i="14" s="1"/>
  <c r="J36" i="14" s="1"/>
  <c r="D72" i="13"/>
  <c r="E72" i="13" s="1"/>
  <c r="H72" i="13" s="1"/>
  <c r="F70" i="13"/>
  <c r="G70" i="13" s="1"/>
  <c r="D37" i="14" l="1"/>
  <c r="G37" i="14"/>
  <c r="D73" i="13"/>
  <c r="E73" i="13" s="1"/>
  <c r="H73" i="13" s="1"/>
  <c r="F71" i="13"/>
  <c r="G71" i="13" s="1"/>
  <c r="H37" i="14" l="1"/>
  <c r="I37" i="14" s="1"/>
  <c r="J37" i="14" s="1"/>
  <c r="E37" i="14"/>
  <c r="F38" i="14" s="1"/>
  <c r="D74" i="13"/>
  <c r="E74" i="13" s="1"/>
  <c r="H74" i="13" s="1"/>
  <c r="F72" i="13"/>
  <c r="G72" i="13" s="1"/>
  <c r="G38" i="14" l="1"/>
  <c r="D38" i="14"/>
  <c r="D75" i="13"/>
  <c r="E75" i="13" s="1"/>
  <c r="H75" i="13" s="1"/>
  <c r="F73" i="13"/>
  <c r="G73" i="13" s="1"/>
  <c r="E38" i="14" l="1"/>
  <c r="F39" i="14" s="1"/>
  <c r="H38" i="14"/>
  <c r="I38" i="14" s="1"/>
  <c r="J38" i="14" s="1"/>
  <c r="D76" i="13"/>
  <c r="D77" i="13" s="1"/>
  <c r="F74" i="13"/>
  <c r="G74" i="13" s="1"/>
  <c r="G39" i="14" l="1"/>
  <c r="D39" i="14"/>
  <c r="E76" i="13"/>
  <c r="H76" i="13" s="1"/>
  <c r="P4" i="13" s="1"/>
  <c r="F75" i="13"/>
  <c r="G75" i="13" s="1"/>
  <c r="E39" i="14" l="1"/>
  <c r="F40" i="14" s="1"/>
  <c r="H39" i="14"/>
  <c r="I39" i="14" s="1"/>
  <c r="J39" i="14" s="1"/>
  <c r="P1" i="13"/>
  <c r="F76" i="13"/>
  <c r="L77" i="13"/>
  <c r="D40" i="14" l="1"/>
  <c r="G40" i="14"/>
  <c r="I2" i="13"/>
  <c r="I4" i="13"/>
  <c r="I3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G76" i="13"/>
  <c r="N1" i="13" s="1"/>
  <c r="H40" i="14" l="1"/>
  <c r="I40" i="14" s="1"/>
  <c r="J40" i="14" s="1"/>
  <c r="E40" i="14"/>
  <c r="F41" i="14" s="1"/>
  <c r="J5" i="13"/>
  <c r="P3" i="13"/>
  <c r="J6" i="13"/>
  <c r="J4" i="13"/>
  <c r="J3" i="13"/>
  <c r="J2" i="13"/>
  <c r="J8" i="13"/>
  <c r="J7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P2" i="13" s="1"/>
  <c r="L3" i="13"/>
  <c r="Q1" i="13"/>
  <c r="D41" i="14" l="1"/>
  <c r="G41" i="14"/>
  <c r="H41" i="14" l="1"/>
  <c r="I41" i="14" s="1"/>
  <c r="J41" i="14" s="1"/>
  <c r="E41" i="14"/>
  <c r="F42" i="14" s="1"/>
  <c r="G42" i="14" l="1"/>
  <c r="D42" i="14"/>
  <c r="E42" i="14" l="1"/>
  <c r="F43" i="14" s="1"/>
  <c r="H42" i="14"/>
  <c r="I42" i="14" s="1"/>
  <c r="J42" i="14" s="1"/>
  <c r="G43" i="14" l="1"/>
  <c r="D43" i="14"/>
  <c r="E43" i="14" l="1"/>
  <c r="F44" i="14" s="1"/>
  <c r="H43" i="14"/>
  <c r="I43" i="14" s="1"/>
  <c r="J43" i="14" s="1"/>
  <c r="D44" i="14" l="1"/>
  <c r="G44" i="14"/>
  <c r="C3" i="15"/>
  <c r="C4" i="15" s="1"/>
  <c r="C5" i="15" s="1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D23" i="15" s="1"/>
  <c r="E23" i="15" s="1"/>
  <c r="G3" i="15"/>
  <c r="H3" i="15"/>
  <c r="H4" i="15" s="1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D11" i="15" l="1"/>
  <c r="E11" i="15" s="1"/>
  <c r="D13" i="15"/>
  <c r="E13" i="15" s="1"/>
  <c r="D10" i="15"/>
  <c r="E10" i="15" s="1"/>
  <c r="D9" i="15"/>
  <c r="E9" i="15" s="1"/>
  <c r="I3" i="15"/>
  <c r="D8" i="15"/>
  <c r="E8" i="15" s="1"/>
  <c r="D16" i="15"/>
  <c r="E16" i="15" s="1"/>
  <c r="D15" i="15"/>
  <c r="E15" i="15" s="1"/>
  <c r="D12" i="15"/>
  <c r="E12" i="15" s="1"/>
  <c r="D20" i="15"/>
  <c r="E20" i="15" s="1"/>
  <c r="D17" i="15"/>
  <c r="E17" i="15" s="1"/>
  <c r="D19" i="15"/>
  <c r="E19" i="15" s="1"/>
  <c r="D4" i="15"/>
  <c r="E4" i="15" s="1"/>
  <c r="D14" i="15"/>
  <c r="E14" i="15" s="1"/>
  <c r="D6" i="15"/>
  <c r="E6" i="15" s="1"/>
  <c r="H44" i="14"/>
  <c r="I44" i="14" s="1"/>
  <c r="J44" i="14" s="1"/>
  <c r="D5" i="15"/>
  <c r="E5" i="15" s="1"/>
  <c r="D22" i="15"/>
  <c r="E22" i="15" s="1"/>
  <c r="D7" i="15"/>
  <c r="E7" i="15" s="1"/>
  <c r="D18" i="15"/>
  <c r="E18" i="15" s="1"/>
  <c r="D21" i="15"/>
  <c r="E21" i="15" s="1"/>
  <c r="E44" i="14"/>
  <c r="F45" i="14" s="1"/>
  <c r="D45" i="14" l="1"/>
  <c r="G45" i="14"/>
  <c r="F9" i="15"/>
  <c r="F13" i="15"/>
  <c r="F19" i="15"/>
  <c r="F23" i="15"/>
  <c r="O4" i="15" s="1"/>
  <c r="F4" i="15"/>
  <c r="F6" i="15"/>
  <c r="F10" i="15"/>
  <c r="F14" i="15"/>
  <c r="F17" i="15"/>
  <c r="F20" i="15"/>
  <c r="F5" i="15"/>
  <c r="F8" i="15"/>
  <c r="F12" i="15"/>
  <c r="F16" i="15"/>
  <c r="F18" i="15"/>
  <c r="F22" i="15"/>
  <c r="F7" i="15"/>
  <c r="F11" i="15"/>
  <c r="F15" i="15"/>
  <c r="F21" i="15"/>
  <c r="G4" i="15"/>
  <c r="I4" i="15" s="1"/>
  <c r="J3" i="15"/>
  <c r="K3" i="15" l="1"/>
  <c r="G5" i="15"/>
  <c r="I5" i="15" s="1"/>
  <c r="J4" i="15"/>
  <c r="K4" i="15" s="1"/>
  <c r="H45" i="14"/>
  <c r="I45" i="14" s="1"/>
  <c r="J45" i="14" s="1"/>
  <c r="E45" i="14"/>
  <c r="F46" i="14" s="1"/>
  <c r="G46" i="14" l="1"/>
  <c r="D46" i="14"/>
  <c r="G6" i="15"/>
  <c r="I6" i="15" s="1"/>
  <c r="J5" i="15"/>
  <c r="K5" i="15" s="1"/>
  <c r="L5" i="15" s="1"/>
  <c r="M5" i="15" s="1"/>
  <c r="L4" i="15"/>
  <c r="M4" i="15" s="1"/>
  <c r="L3" i="15"/>
  <c r="M3" i="15" s="1"/>
  <c r="E46" i="14" l="1"/>
  <c r="F47" i="14" s="1"/>
  <c r="G7" i="15"/>
  <c r="I7" i="15" s="1"/>
  <c r="J6" i="15"/>
  <c r="H46" i="14"/>
  <c r="I46" i="14" s="1"/>
  <c r="J46" i="14" s="1"/>
  <c r="G47" i="14" l="1"/>
  <c r="D47" i="14"/>
  <c r="G8" i="15"/>
  <c r="I8" i="15" s="1"/>
  <c r="J7" i="15"/>
  <c r="K6" i="15"/>
  <c r="L6" i="15" l="1"/>
  <c r="M6" i="15" s="1"/>
  <c r="G9" i="15"/>
  <c r="I9" i="15" s="1"/>
  <c r="J8" i="15"/>
  <c r="E47" i="14"/>
  <c r="F48" i="14" s="1"/>
  <c r="H47" i="14"/>
  <c r="I47" i="14" s="1"/>
  <c r="J47" i="14" s="1"/>
  <c r="K7" i="15"/>
  <c r="L7" i="15" s="1"/>
  <c r="M7" i="15" s="1"/>
  <c r="D48" i="14" l="1"/>
  <c r="G48" i="14"/>
  <c r="G10" i="15"/>
  <c r="I10" i="15" s="1"/>
  <c r="J9" i="15"/>
  <c r="K8" i="15"/>
  <c r="H48" i="14" l="1"/>
  <c r="I48" i="14" s="1"/>
  <c r="J48" i="14" s="1"/>
  <c r="K9" i="15"/>
  <c r="L8" i="15"/>
  <c r="M8" i="15" s="1"/>
  <c r="E48" i="14"/>
  <c r="F49" i="14" s="1"/>
  <c r="G11" i="15"/>
  <c r="I11" i="15" s="1"/>
  <c r="J10" i="15"/>
  <c r="D49" i="14" l="1"/>
  <c r="G49" i="14"/>
  <c r="L9" i="15"/>
  <c r="M9" i="15" s="1"/>
  <c r="K10" i="15"/>
  <c r="G12" i="15"/>
  <c r="I12" i="15" s="1"/>
  <c r="J11" i="15"/>
  <c r="K11" i="15" l="1"/>
  <c r="L10" i="15"/>
  <c r="M10" i="15" s="1"/>
  <c r="H49" i="14"/>
  <c r="I49" i="14" s="1"/>
  <c r="J49" i="14" s="1"/>
  <c r="G13" i="15"/>
  <c r="I13" i="15" s="1"/>
  <c r="J12" i="15"/>
  <c r="E49" i="14"/>
  <c r="F50" i="14" s="1"/>
  <c r="G50" i="14" l="1"/>
  <c r="D50" i="14"/>
  <c r="G14" i="15"/>
  <c r="I14" i="15" s="1"/>
  <c r="J13" i="15"/>
  <c r="K12" i="15"/>
  <c r="L12" i="15" s="1"/>
  <c r="M12" i="15" s="1"/>
  <c r="L11" i="15"/>
  <c r="M11" i="15" s="1"/>
  <c r="G15" i="15" l="1"/>
  <c r="I15" i="15" s="1"/>
  <c r="J14" i="15"/>
  <c r="K13" i="15"/>
  <c r="L13" i="15" s="1"/>
  <c r="M13" i="15" s="1"/>
  <c r="E50" i="14"/>
  <c r="F51" i="14" s="1"/>
  <c r="H50" i="14"/>
  <c r="I50" i="14" s="1"/>
  <c r="J50" i="14" s="1"/>
  <c r="D51" i="14" l="1"/>
  <c r="G51" i="14"/>
  <c r="K14" i="15"/>
  <c r="L14" i="15" s="1"/>
  <c r="M14" i="15" s="1"/>
  <c r="G16" i="15"/>
  <c r="I16" i="15" s="1"/>
  <c r="J15" i="15"/>
  <c r="K15" i="15" l="1"/>
  <c r="L15" i="15" s="1"/>
  <c r="M15" i="15" s="1"/>
  <c r="H51" i="14"/>
  <c r="I51" i="14" s="1"/>
  <c r="J51" i="14" s="1"/>
  <c r="G17" i="15"/>
  <c r="I17" i="15" s="1"/>
  <c r="J16" i="15"/>
  <c r="E51" i="14"/>
  <c r="F52" i="14" s="1"/>
  <c r="K16" i="15" l="1"/>
  <c r="L16" i="15" s="1"/>
  <c r="M16" i="15" s="1"/>
  <c r="D52" i="14"/>
  <c r="G52" i="14"/>
  <c r="G18" i="15"/>
  <c r="I18" i="15" s="1"/>
  <c r="J17" i="15"/>
  <c r="H52" i="14" l="1"/>
  <c r="I52" i="14" s="1"/>
  <c r="J52" i="14" s="1"/>
  <c r="E52" i="14"/>
  <c r="F53" i="14" s="1"/>
  <c r="K17" i="15"/>
  <c r="L17" i="15" s="1"/>
  <c r="M17" i="15" s="1"/>
  <c r="G19" i="15"/>
  <c r="I19" i="15" s="1"/>
  <c r="J18" i="15"/>
  <c r="K18" i="15" l="1"/>
  <c r="L18" i="15" s="1"/>
  <c r="M18" i="15" s="1"/>
  <c r="G53" i="14"/>
  <c r="D53" i="14"/>
  <c r="G20" i="15"/>
  <c r="I20" i="15" s="1"/>
  <c r="J19" i="15"/>
  <c r="H53" i="14" l="1"/>
  <c r="I53" i="14" s="1"/>
  <c r="J53" i="14" s="1"/>
  <c r="E53" i="14"/>
  <c r="F54" i="14" s="1"/>
  <c r="K19" i="15"/>
  <c r="L19" i="15" s="1"/>
  <c r="M19" i="15" s="1"/>
  <c r="G21" i="15"/>
  <c r="I21" i="15" s="1"/>
  <c r="J20" i="15"/>
  <c r="D54" i="14" l="1"/>
  <c r="G54" i="14"/>
  <c r="G22" i="15"/>
  <c r="I22" i="15" s="1"/>
  <c r="J21" i="15"/>
  <c r="K20" i="15"/>
  <c r="L20" i="15" s="1"/>
  <c r="M20" i="15" s="1"/>
  <c r="K21" i="15" l="1"/>
  <c r="L21" i="15" s="1"/>
  <c r="M21" i="15" s="1"/>
  <c r="G23" i="15"/>
  <c r="I23" i="15" s="1"/>
  <c r="J23" i="15" s="1"/>
  <c r="J22" i="15"/>
  <c r="H54" i="14"/>
  <c r="I54" i="14" s="1"/>
  <c r="J54" i="14" s="1"/>
  <c r="E54" i="14"/>
  <c r="F55" i="14" s="1"/>
  <c r="G55" i="14" l="1"/>
  <c r="D55" i="14"/>
  <c r="K22" i="15"/>
  <c r="L22" i="15" s="1"/>
  <c r="M22" i="15" s="1"/>
  <c r="K23" i="15"/>
  <c r="L23" i="15" l="1"/>
  <c r="N17" i="15" s="1"/>
  <c r="E55" i="14"/>
  <c r="F56" i="14" s="1"/>
  <c r="H55" i="14"/>
  <c r="I55" i="14" s="1"/>
  <c r="J55" i="14" s="1"/>
  <c r="M23" i="15" l="1"/>
  <c r="G56" i="14"/>
  <c r="D56" i="14"/>
  <c r="E56" i="14" l="1"/>
  <c r="F57" i="14" s="1"/>
  <c r="H56" i="14"/>
  <c r="I56" i="14" s="1"/>
  <c r="J56" i="14" s="1"/>
  <c r="D57" i="14" l="1"/>
  <c r="G57" i="14"/>
  <c r="H57" i="14" l="1"/>
  <c r="I57" i="14" s="1"/>
  <c r="J57" i="14" s="1"/>
  <c r="E57" i="14"/>
  <c r="F58" i="14" s="1"/>
  <c r="D58" i="14" l="1"/>
  <c r="G58" i="14"/>
  <c r="H58" i="14" l="1"/>
  <c r="I58" i="14" s="1"/>
  <c r="J58" i="14" s="1"/>
  <c r="E58" i="14"/>
  <c r="F59" i="14" s="1"/>
  <c r="G59" i="14" l="1"/>
  <c r="D59" i="14"/>
  <c r="E59" i="14" l="1"/>
  <c r="F60" i="14" s="1"/>
  <c r="H59" i="14"/>
  <c r="I59" i="14" s="1"/>
  <c r="J59" i="14" s="1"/>
  <c r="G60" i="14" l="1"/>
  <c r="D60" i="14"/>
  <c r="E60" i="14" l="1"/>
  <c r="F61" i="14" s="1"/>
  <c r="H60" i="14"/>
  <c r="I60" i="14" s="1"/>
  <c r="J60" i="14" s="1"/>
  <c r="D61" i="14" l="1"/>
  <c r="G61" i="14"/>
  <c r="H61" i="14" l="1"/>
  <c r="I61" i="14" s="1"/>
  <c r="J61" i="14" s="1"/>
  <c r="E61" i="14"/>
  <c r="F62" i="14" s="1"/>
  <c r="D62" i="14" l="1"/>
  <c r="G62" i="14"/>
  <c r="H62" i="14" l="1"/>
  <c r="I62" i="14" s="1"/>
  <c r="J62" i="14" s="1"/>
  <c r="E62" i="14"/>
  <c r="F63" i="14" s="1"/>
  <c r="G63" i="14" l="1"/>
  <c r="D63" i="14"/>
  <c r="E63" i="14" l="1"/>
  <c r="F64" i="14" s="1"/>
  <c r="H63" i="14"/>
  <c r="I63" i="14" s="1"/>
  <c r="J63" i="14" s="1"/>
  <c r="G64" i="14" l="1"/>
  <c r="D64" i="14"/>
  <c r="E64" i="14" l="1"/>
  <c r="F65" i="14" s="1"/>
  <c r="H64" i="14"/>
  <c r="I64" i="14" s="1"/>
  <c r="J64" i="14" s="1"/>
  <c r="D65" i="14" l="1"/>
  <c r="G65" i="14"/>
  <c r="H65" i="14" l="1"/>
  <c r="I65" i="14" s="1"/>
  <c r="J65" i="14" s="1"/>
  <c r="E65" i="14"/>
  <c r="F66" i="14" s="1"/>
  <c r="D66" i="14" l="1"/>
  <c r="G66" i="14"/>
  <c r="H66" i="14" l="1"/>
  <c r="I66" i="14" s="1"/>
  <c r="J66" i="14" s="1"/>
  <c r="E66" i="14"/>
  <c r="F67" i="14" s="1"/>
  <c r="G67" i="14" l="1"/>
  <c r="D67" i="14"/>
  <c r="E67" i="14" l="1"/>
  <c r="F68" i="14" s="1"/>
  <c r="H67" i="14"/>
  <c r="I67" i="14" s="1"/>
  <c r="J67" i="14" s="1"/>
  <c r="G68" i="14" l="1"/>
  <c r="D68" i="14"/>
  <c r="E68" i="14" l="1"/>
  <c r="F69" i="14" s="1"/>
  <c r="H68" i="14"/>
  <c r="I68" i="14" s="1"/>
  <c r="J68" i="14" s="1"/>
  <c r="D69" i="14" l="1"/>
  <c r="G69" i="14"/>
  <c r="H69" i="14" l="1"/>
  <c r="I69" i="14" s="1"/>
  <c r="J69" i="14" s="1"/>
  <c r="E69" i="14"/>
  <c r="F70" i="14" s="1"/>
  <c r="D70" i="14" l="1"/>
  <c r="G70" i="14"/>
  <c r="H70" i="14" l="1"/>
  <c r="I70" i="14" s="1"/>
  <c r="J70" i="14" s="1"/>
  <c r="E70" i="14"/>
  <c r="F71" i="14" s="1"/>
  <c r="G71" i="14" l="1"/>
  <c r="D71" i="14"/>
  <c r="E71" i="14" l="1"/>
  <c r="F72" i="14" s="1"/>
  <c r="H71" i="14"/>
  <c r="I71" i="14" s="1"/>
  <c r="J71" i="14" s="1"/>
  <c r="G72" i="14" l="1"/>
  <c r="D72" i="14"/>
  <c r="E72" i="14" l="1"/>
  <c r="F73" i="14" s="1"/>
  <c r="H72" i="14"/>
  <c r="I72" i="14" s="1"/>
  <c r="J72" i="14" s="1"/>
  <c r="D73" i="14" l="1"/>
  <c r="G73" i="14"/>
  <c r="H73" i="14" l="1"/>
  <c r="I73" i="14" s="1"/>
  <c r="J73" i="14" s="1"/>
  <c r="E73" i="14"/>
  <c r="F74" i="14" s="1"/>
  <c r="G74" i="14" l="1"/>
  <c r="D74" i="14"/>
  <c r="E74" i="14" l="1"/>
  <c r="F75" i="14" s="1"/>
  <c r="H74" i="14"/>
  <c r="I74" i="14" s="1"/>
  <c r="J74" i="14" s="1"/>
  <c r="G75" i="14" l="1"/>
  <c r="D75" i="14"/>
  <c r="E75" i="14" l="1"/>
  <c r="F76" i="14" s="1"/>
  <c r="H75" i="14"/>
  <c r="I75" i="14" s="1"/>
  <c r="J75" i="14" s="1"/>
  <c r="D76" i="14" l="1"/>
  <c r="G76" i="14"/>
  <c r="H76" i="14" l="1"/>
  <c r="I76" i="14" s="1"/>
  <c r="J76" i="14" s="1"/>
  <c r="E76" i="14"/>
  <c r="F77" i="14" s="1"/>
  <c r="G77" i="14" l="1"/>
  <c r="D77" i="14"/>
  <c r="E77" i="14" l="1"/>
  <c r="F78" i="14" s="1"/>
  <c r="H77" i="14"/>
  <c r="I77" i="14" s="1"/>
  <c r="G78" i="14"/>
  <c r="K77" i="14" s="1"/>
  <c r="O1" i="14" l="1"/>
  <c r="M5" i="14"/>
  <c r="J77" i="14"/>
  <c r="I78" i="14"/>
  <c r="H78" i="14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L4" i="14" l="1"/>
  <c r="L9" i="14"/>
  <c r="L7" i="14"/>
  <c r="L8" i="14"/>
  <c r="L11" i="14"/>
  <c r="L15" i="14"/>
  <c r="L3" i="14"/>
  <c r="L10" i="14"/>
  <c r="L14" i="14"/>
  <c r="L19" i="14"/>
  <c r="L23" i="14"/>
  <c r="L27" i="14"/>
  <c r="L31" i="14"/>
  <c r="L5" i="14"/>
  <c r="L13" i="14"/>
  <c r="L18" i="14"/>
  <c r="L22" i="14"/>
  <c r="L26" i="14"/>
  <c r="L30" i="14"/>
  <c r="L17" i="14"/>
  <c r="L33" i="14"/>
  <c r="L37" i="14"/>
  <c r="L6" i="14"/>
  <c r="L12" i="14"/>
  <c r="L20" i="14"/>
  <c r="L24" i="14"/>
  <c r="L28" i="14"/>
  <c r="L36" i="14"/>
  <c r="L40" i="14"/>
  <c r="L44" i="14"/>
  <c r="L48" i="14"/>
  <c r="L32" i="14"/>
  <c r="L35" i="14"/>
  <c r="L39" i="14"/>
  <c r="L43" i="14"/>
  <c r="L47" i="14"/>
  <c r="L51" i="14"/>
  <c r="L21" i="14"/>
  <c r="L53" i="14"/>
  <c r="L57" i="14"/>
  <c r="L61" i="14"/>
  <c r="L65" i="14"/>
  <c r="L69" i="14"/>
  <c r="L73" i="14"/>
  <c r="L16" i="14"/>
  <c r="L25" i="14"/>
  <c r="L41" i="14"/>
  <c r="L45" i="14"/>
  <c r="L56" i="14"/>
  <c r="L60" i="14"/>
  <c r="L64" i="14"/>
  <c r="L68" i="14"/>
  <c r="L34" i="14"/>
  <c r="L38" i="14"/>
  <c r="L42" i="14"/>
  <c r="L46" i="14"/>
  <c r="L52" i="14"/>
  <c r="L54" i="14"/>
  <c r="L58" i="14"/>
  <c r="L29" i="14"/>
  <c r="L49" i="14"/>
  <c r="L55" i="14"/>
  <c r="L74" i="14"/>
  <c r="L76" i="14"/>
  <c r="L62" i="14"/>
  <c r="L66" i="14"/>
  <c r="L70" i="14"/>
  <c r="L75" i="14"/>
  <c r="L63" i="14"/>
  <c r="L59" i="14"/>
  <c r="L50" i="14"/>
  <c r="L67" i="14"/>
  <c r="L71" i="14"/>
  <c r="L72" i="14"/>
  <c r="L77" i="14"/>
  <c r="C24" i="17" l="1"/>
  <c r="C47" i="17"/>
  <c r="C20" i="17"/>
  <c r="C11" i="17"/>
  <c r="C43" i="17"/>
  <c r="C42" i="17"/>
  <c r="C50" i="17"/>
  <c r="C66" i="17"/>
  <c r="C55" i="17"/>
  <c r="C73" i="17"/>
  <c r="C49" i="17"/>
  <c r="C23" i="17"/>
  <c r="C45" i="17"/>
  <c r="C28" i="17"/>
  <c r="C19" i="17"/>
  <c r="C8" i="17"/>
  <c r="C9" i="17"/>
  <c r="C40" i="17"/>
  <c r="C31" i="17"/>
  <c r="C13" i="17"/>
  <c r="C5" i="17"/>
  <c r="C36" i="17"/>
  <c r="C53" i="17"/>
  <c r="C27" i="17"/>
  <c r="C22" i="17"/>
  <c r="C10" i="17"/>
  <c r="C25" i="17"/>
  <c r="C33" i="17"/>
  <c r="C54" i="17"/>
  <c r="C62" i="17"/>
  <c r="C70" i="17"/>
  <c r="C65" i="17"/>
  <c r="C57" i="17"/>
  <c r="C61" i="17"/>
  <c r="C17" i="17"/>
  <c r="C16" i="17"/>
  <c r="C48" i="17"/>
  <c r="C39" i="17"/>
  <c r="C29" i="17"/>
  <c r="C12" i="17"/>
  <c r="C44" i="17"/>
  <c r="C6" i="17"/>
  <c r="C35" i="17"/>
  <c r="C18" i="17"/>
  <c r="C38" i="17"/>
  <c r="C41" i="17"/>
  <c r="C26" i="17"/>
  <c r="C56" i="17"/>
  <c r="C64" i="17"/>
  <c r="C72" i="17"/>
  <c r="C59" i="17"/>
  <c r="C67" i="17"/>
  <c r="C69" i="17"/>
  <c r="C7" i="17"/>
  <c r="C15" i="17"/>
  <c r="C37" i="17"/>
  <c r="C52" i="17"/>
  <c r="C46" i="17"/>
  <c r="C34" i="17"/>
  <c r="C58" i="17"/>
  <c r="C74" i="17"/>
  <c r="C71" i="17"/>
  <c r="C32" i="17"/>
  <c r="C21" i="17"/>
  <c r="C51" i="17"/>
  <c r="C14" i="17"/>
  <c r="C30" i="17"/>
  <c r="C60" i="17"/>
  <c r="C68" i="17"/>
  <c r="C76" i="17"/>
  <c r="C63" i="17"/>
  <c r="C75" i="17"/>
  <c r="D64" i="17" l="1"/>
  <c r="D72" i="17"/>
  <c r="D68" i="17"/>
  <c r="D76" i="17"/>
  <c r="D60" i="17"/>
  <c r="D49" i="17"/>
  <c r="D65" i="17"/>
  <c r="D26" i="17"/>
  <c r="D66" i="17"/>
  <c r="D9" i="17"/>
  <c r="D25" i="17"/>
  <c r="D41" i="17"/>
  <c r="D12" i="17"/>
  <c r="D28" i="17"/>
  <c r="D44" i="17"/>
  <c r="D23" i="17"/>
  <c r="D39" i="17"/>
  <c r="D55" i="17"/>
  <c r="D75" i="17"/>
  <c r="D59" i="17"/>
  <c r="D46" i="17"/>
  <c r="D14" i="17"/>
  <c r="D4" i="17"/>
  <c r="E4" i="17" s="1"/>
  <c r="D73" i="17"/>
  <c r="D8" i="17"/>
  <c r="D19" i="17"/>
  <c r="D70" i="17"/>
  <c r="D22" i="17"/>
  <c r="D61" i="17"/>
  <c r="D48" i="17"/>
  <c r="D18" i="17"/>
  <c r="D62" i="17"/>
  <c r="D13" i="17"/>
  <c r="D29" i="17"/>
  <c r="D45" i="17"/>
  <c r="D16" i="17"/>
  <c r="D32" i="17"/>
  <c r="D11" i="17"/>
  <c r="D27" i="17"/>
  <c r="D43" i="17"/>
  <c r="D71" i="17"/>
  <c r="D38" i="17"/>
  <c r="D52" i="17"/>
  <c r="D57" i="17"/>
  <c r="D34" i="17"/>
  <c r="D53" i="17"/>
  <c r="D37" i="17"/>
  <c r="D40" i="17"/>
  <c r="D51" i="17"/>
  <c r="D50" i="17"/>
  <c r="D56" i="17"/>
  <c r="D42" i="17"/>
  <c r="D10" i="17"/>
  <c r="D58" i="17"/>
  <c r="D5" i="17"/>
  <c r="D17" i="17"/>
  <c r="D33" i="17"/>
  <c r="D6" i="17"/>
  <c r="D20" i="17"/>
  <c r="D36" i="17"/>
  <c r="D15" i="17"/>
  <c r="D31" i="17"/>
  <c r="D47" i="17"/>
  <c r="D74" i="17"/>
  <c r="D67" i="17"/>
  <c r="D30" i="17"/>
  <c r="D54" i="17"/>
  <c r="D69" i="17"/>
  <c r="D21" i="17"/>
  <c r="D24" i="17"/>
  <c r="D35" i="17"/>
  <c r="D63" i="17"/>
  <c r="D7" i="17"/>
  <c r="E7" i="17" l="1"/>
  <c r="E33" i="17"/>
  <c r="E69" i="17"/>
  <c r="E17" i="17"/>
  <c r="E57" i="17"/>
  <c r="E43" i="17"/>
  <c r="E16" i="17"/>
  <c r="E62" i="17"/>
  <c r="E22" i="17"/>
  <c r="E73" i="17"/>
  <c r="E59" i="17"/>
  <c r="E23" i="17"/>
  <c r="E41" i="17"/>
  <c r="E26" i="17"/>
  <c r="E76" i="17"/>
  <c r="E15" i="17"/>
  <c r="E63" i="17"/>
  <c r="E36" i="17"/>
  <c r="E40" i="17"/>
  <c r="E35" i="17"/>
  <c r="E54" i="17"/>
  <c r="E47" i="17"/>
  <c r="E20" i="17"/>
  <c r="E5" i="17"/>
  <c r="E56" i="17"/>
  <c r="E37" i="17"/>
  <c r="E52" i="17"/>
  <c r="E27" i="17"/>
  <c r="E45" i="17"/>
  <c r="E18" i="17"/>
  <c r="E70" i="17"/>
  <c r="E75" i="17"/>
  <c r="E44" i="17"/>
  <c r="E25" i="17"/>
  <c r="E65" i="17"/>
  <c r="E68" i="17"/>
  <c r="E67" i="17"/>
  <c r="E51" i="17"/>
  <c r="E74" i="17"/>
  <c r="E42" i="17"/>
  <c r="E24" i="17"/>
  <c r="E30" i="17"/>
  <c r="E31" i="17"/>
  <c r="E6" i="17"/>
  <c r="E58" i="17"/>
  <c r="E50" i="17"/>
  <c r="E53" i="17"/>
  <c r="E38" i="17"/>
  <c r="E11" i="17"/>
  <c r="E29" i="17"/>
  <c r="E48" i="17"/>
  <c r="E19" i="17"/>
  <c r="E14" i="17"/>
  <c r="E55" i="17"/>
  <c r="E28" i="17"/>
  <c r="E9" i="17"/>
  <c r="E49" i="17"/>
  <c r="E72" i="17"/>
  <c r="E21" i="17"/>
  <c r="E10" i="17"/>
  <c r="E34" i="17"/>
  <c r="E71" i="17"/>
  <c r="E32" i="17"/>
  <c r="E13" i="17"/>
  <c r="E61" i="17"/>
  <c r="E8" i="17"/>
  <c r="E46" i="17"/>
  <c r="E39" i="17"/>
  <c r="E12" i="17"/>
  <c r="E66" i="17"/>
  <c r="E60" i="17"/>
  <c r="E64" i="17"/>
  <c r="I5" i="17" l="1"/>
  <c r="I3" i="17"/>
  <c r="I4" i="17"/>
  <c r="I1" i="17"/>
  <c r="I2" i="17"/>
  <c r="I6" i="17" l="1"/>
  <c r="J3" i="17" s="1"/>
  <c r="J4" i="17" l="1"/>
  <c r="G40" i="17" s="1"/>
  <c r="J1" i="17"/>
  <c r="G4" i="17"/>
  <c r="G69" i="17"/>
  <c r="G59" i="17"/>
  <c r="G54" i="17"/>
  <c r="G44" i="17"/>
  <c r="G74" i="17"/>
  <c r="G24" i="17"/>
  <c r="G29" i="17"/>
  <c r="G19" i="17"/>
  <c r="G9" i="17"/>
  <c r="G39" i="17"/>
  <c r="G64" i="17"/>
  <c r="G14" i="17"/>
  <c r="G49" i="17"/>
  <c r="G34" i="17"/>
  <c r="J5" i="17"/>
  <c r="J2" i="17"/>
  <c r="G10" i="17" l="1"/>
  <c r="G30" i="17"/>
  <c r="G25" i="17"/>
  <c r="G15" i="17"/>
  <c r="G5" i="17"/>
  <c r="G55" i="17"/>
  <c r="G75" i="17"/>
  <c r="G35" i="17"/>
  <c r="G50" i="17"/>
  <c r="G65" i="17"/>
  <c r="G60" i="17"/>
  <c r="G70" i="17"/>
  <c r="G45" i="17"/>
  <c r="G20" i="17"/>
  <c r="G16" i="17"/>
  <c r="G41" i="17"/>
  <c r="G76" i="17"/>
  <c r="G56" i="17"/>
  <c r="G21" i="17"/>
  <c r="G46" i="17"/>
  <c r="G36" i="17"/>
  <c r="G31" i="17"/>
  <c r="G11" i="17"/>
  <c r="G26" i="17"/>
  <c r="G51" i="17"/>
  <c r="G6" i="17"/>
  <c r="G71" i="17"/>
  <c r="G66" i="17"/>
  <c r="G61" i="17"/>
  <c r="J6" i="17"/>
  <c r="G7" i="17"/>
  <c r="G57" i="17"/>
  <c r="G22" i="17"/>
  <c r="G52" i="17"/>
  <c r="G67" i="17"/>
  <c r="G32" i="17"/>
  <c r="G62" i="17"/>
  <c r="G47" i="17"/>
  <c r="G27" i="17"/>
  <c r="G42" i="17"/>
  <c r="G72" i="17"/>
  <c r="G12" i="17"/>
  <c r="G17" i="17"/>
  <c r="G37" i="17"/>
  <c r="G63" i="17"/>
  <c r="G48" i="17"/>
  <c r="G33" i="17"/>
  <c r="G23" i="17"/>
  <c r="G58" i="17"/>
  <c r="G53" i="17"/>
  <c r="G28" i="17"/>
  <c r="G43" i="17"/>
  <c r="G68" i="17"/>
  <c r="G38" i="17"/>
  <c r="G13" i="17"/>
  <c r="G8" i="17"/>
  <c r="G73" i="17"/>
  <c r="G18" i="17"/>
</calcChain>
</file>

<file path=xl/comments1.xml><?xml version="1.0" encoding="utf-8"?>
<comments xmlns="http://schemas.openxmlformats.org/spreadsheetml/2006/main">
  <authors>
    <author>aa2035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<sst xmlns="http://schemas.openxmlformats.org/spreadsheetml/2006/main" count="302" uniqueCount="179">
  <si>
    <t>Feb</t>
  </si>
  <si>
    <t>Mar</t>
  </si>
  <si>
    <t>Apr</t>
  </si>
  <si>
    <t>May</t>
  </si>
  <si>
    <t>Jun</t>
  </si>
  <si>
    <t>Jul</t>
  </si>
  <si>
    <t>Jan</t>
  </si>
  <si>
    <t>Aug</t>
  </si>
  <si>
    <t>Sep</t>
  </si>
  <si>
    <t>Oct</t>
  </si>
  <si>
    <t>Nov</t>
  </si>
  <si>
    <t>Dec</t>
  </si>
  <si>
    <t>At</t>
  </si>
  <si>
    <t>t</t>
  </si>
  <si>
    <t>1-P</t>
  </si>
  <si>
    <t>2-P</t>
  </si>
  <si>
    <t>3-P</t>
  </si>
  <si>
    <t>MAD</t>
  </si>
  <si>
    <t>Ave</t>
  </si>
  <si>
    <t>|E|(Ave)</t>
  </si>
  <si>
    <t>|E|(1P)</t>
  </si>
  <si>
    <t>|E|(2P)</t>
  </si>
  <si>
    <t>|E|(3P)</t>
  </si>
  <si>
    <t>|E|</t>
  </si>
  <si>
    <t>Changing</t>
  </si>
  <si>
    <t>|E|/A (1P)</t>
  </si>
  <si>
    <t>|E|/A(2P)</t>
  </si>
  <si>
    <t>|E|/A(3P)</t>
  </si>
  <si>
    <t>|E|/A(Ave)</t>
  </si>
  <si>
    <t>Forecast</t>
  </si>
  <si>
    <t>E</t>
  </si>
  <si>
    <t>Ft</t>
  </si>
  <si>
    <t xml:space="preserve">6-W-MA </t>
  </si>
  <si>
    <t>3W-MA</t>
  </si>
  <si>
    <t>A</t>
  </si>
  <si>
    <t>Given the data  in columns A and B, Examine 3-P-MA and 6-P-MA based on MAD (MAE)</t>
  </si>
  <si>
    <t>Per.</t>
  </si>
  <si>
    <t>Office 1</t>
  </si>
  <si>
    <t>Office 2</t>
  </si>
  <si>
    <t>Office 3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</si>
  <si>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</si>
  <si>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</si>
  <si>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</si>
  <si>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</si>
  <si>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</si>
  <si>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</si>
  <si>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</si>
  <si>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</si>
  <si>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</si>
  <si>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</si>
  <si>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</si>
  <si>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</si>
  <si>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Rg/Mean</t>
  </si>
  <si>
    <t>Skew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</si>
  <si>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</si>
  <si>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</si>
  <si>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</si>
  <si>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</si>
  <si>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</si>
  <si>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Period MA</t>
  </si>
  <si>
    <t>Actual</t>
  </si>
  <si>
    <t>MA</t>
  </si>
  <si>
    <t>F(MA)</t>
  </si>
  <si>
    <t>Trend&amp;Seas</t>
  </si>
  <si>
    <t>Fixed</t>
  </si>
  <si>
    <t>=RANDBETWEEN(INT((ROWS($AC$3:AC15)/($AA$2)))*$AA$2,(INT((ROWS($AC$3:AC15)/($AA$2))+1)*$AA$2-1))</t>
  </si>
  <si>
    <t>TrendForSEason</t>
  </si>
  <si>
    <t xml:space="preserve">No Trend </t>
  </si>
  <si>
    <t>TS</t>
  </si>
  <si>
    <t>Day</t>
  </si>
  <si>
    <t>Ft (ES)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</si>
  <si>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</si>
  <si>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</si>
  <si>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</si>
  <si>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</si>
  <si>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</si>
  <si>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</si>
  <si>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</si>
  <si>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</si>
  <si>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</si>
  <si>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</si>
  <si>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</si>
  <si>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</si>
  <si>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</si>
  <si>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</si>
  <si>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</si>
  <si>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</si>
  <si>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</si>
  <si>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</si>
  <si>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</si>
  <si>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</si>
  <si>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</si>
  <si>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</si>
  <si>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</si>
  <si>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</si>
  <si>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</si>
  <si>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</si>
  <si>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</si>
  <si>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</si>
  <si>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</si>
  <si>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Rand-TR</t>
  </si>
  <si>
    <t>Generated using columns L to T</t>
  </si>
  <si>
    <t>Fixed Data</t>
  </si>
  <si>
    <t>ST</t>
  </si>
  <si>
    <t>Ybar</t>
  </si>
  <si>
    <t>SSE</t>
  </si>
  <si>
    <t>SST</t>
  </si>
  <si>
    <t>SSR</t>
  </si>
  <si>
    <t>Std.S</t>
  </si>
  <si>
    <t>(E-MeanE)^2</t>
  </si>
  <si>
    <t>ExpoSmoo</t>
  </si>
  <si>
    <t>Random</t>
  </si>
  <si>
    <t>Mean -E</t>
  </si>
  <si>
    <t>Sigmma-E</t>
  </si>
  <si>
    <t>Beta=</t>
  </si>
  <si>
    <t>alpha=</t>
  </si>
  <si>
    <t>Tracking Signal</t>
  </si>
  <si>
    <t>ES-Forc</t>
  </si>
  <si>
    <t>Trens</t>
  </si>
  <si>
    <t>ES-Level</t>
  </si>
  <si>
    <t>.8,.8</t>
  </si>
  <si>
    <t>B3/10</t>
  </si>
  <si>
    <t>TAES</t>
  </si>
  <si>
    <t>Level</t>
  </si>
  <si>
    <t>ES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</si>
  <si>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</si>
  <si>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</si>
  <si>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</si>
  <si>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</si>
  <si>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</si>
  <si>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</si>
  <si>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</si>
  <si>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</si>
  <si>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</si>
  <si>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</si>
  <si>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</si>
  <si>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</si>
  <si>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r>
      <t>E</t>
    </r>
    <r>
      <rPr>
        <vertAlign val="superscript"/>
        <sz val="11"/>
        <color rgb="FF4472C4"/>
        <rFont val="Book Antiqua"/>
        <family val="1"/>
      </rPr>
      <t>2</t>
    </r>
    <r>
      <rPr>
        <sz val="11"/>
        <color rgb="FF4472C4"/>
        <rFont val="Book Antiqua"/>
        <family val="1"/>
      </rPr>
      <t>(Ave)</t>
    </r>
  </si>
  <si>
    <r>
      <t>E</t>
    </r>
    <r>
      <rPr>
        <vertAlign val="superscript"/>
        <sz val="11"/>
        <color rgb="FFED7D31"/>
        <rFont val="Book Antiqua"/>
        <family val="1"/>
      </rPr>
      <t>2</t>
    </r>
    <r>
      <rPr>
        <sz val="11"/>
        <color rgb="FFED7D31"/>
        <rFont val="Book Antiqua"/>
        <family val="1"/>
      </rPr>
      <t>(1P)</t>
    </r>
  </si>
  <si>
    <r>
      <t>E</t>
    </r>
    <r>
      <rPr>
        <vertAlign val="superscript"/>
        <sz val="11"/>
        <color rgb="FF00B050"/>
        <rFont val="Book Antiqua"/>
        <family val="1"/>
      </rPr>
      <t>2</t>
    </r>
    <r>
      <rPr>
        <sz val="11"/>
        <color rgb="FF00B050"/>
        <rFont val="Book Antiqua"/>
        <family val="1"/>
      </rPr>
      <t>(2P)</t>
    </r>
  </si>
  <si>
    <r>
      <t>E</t>
    </r>
    <r>
      <rPr>
        <vertAlign val="superscript"/>
        <sz val="11"/>
        <color rgb="FFFFC000"/>
        <rFont val="Book Antiqua"/>
        <family val="1"/>
      </rPr>
      <t>2</t>
    </r>
    <r>
      <rPr>
        <sz val="11"/>
        <color rgb="FFFFC000"/>
        <rFont val="Book Antiqua"/>
        <family val="1"/>
      </rPr>
      <t>(3P)</t>
    </r>
  </si>
  <si>
    <r>
      <t>E</t>
    </r>
    <r>
      <rPr>
        <b/>
        <vertAlign val="superscript"/>
        <sz val="14"/>
        <color theme="0"/>
        <rFont val="Book Antiqua"/>
        <family val="1"/>
      </rPr>
      <t>2</t>
    </r>
  </si>
  <si>
    <t>|E|/A</t>
  </si>
  <si>
    <t>MAD (Mean Absolute Deviation)</t>
  </si>
  <si>
    <t>MSE (Mean Square Error)</t>
  </si>
  <si>
    <t>MAPE (Mean Absolute Percentage Error)</t>
  </si>
  <si>
    <t>Ft=(1-α)Ft+αAt</t>
  </si>
  <si>
    <t>E=At-Ft</t>
  </si>
  <si>
    <t>MAD= AVE(|E|)</t>
  </si>
  <si>
    <t>SUM(E)/MAD</t>
  </si>
  <si>
    <t>What is your forecast for the next period?</t>
  </si>
  <si>
    <t>What is your standard deviation of forecast for the next period?</t>
  </si>
  <si>
    <t>Draw</t>
  </si>
  <si>
    <t>Actual vs. Forcast</t>
  </si>
  <si>
    <t>graph.</t>
  </si>
  <si>
    <t xml:space="preserve">Use the following data. </t>
  </si>
  <si>
    <t xml:space="preserve">Assume original value of alpha = </t>
  </si>
  <si>
    <t>Compute MAD for all periods including the last period.</t>
  </si>
  <si>
    <t xml:space="preserve">Draw the </t>
  </si>
  <si>
    <t>Using data table find the optimal alpha value to one decimal point.</t>
  </si>
  <si>
    <t>Using solver, find the optimal value of alpha to several decimal points.</t>
  </si>
  <si>
    <t>Compute MAD for all periods including the last period using optimal alpha.</t>
  </si>
  <si>
    <t>What is your forecast for the next period using the optimal alpha?</t>
  </si>
  <si>
    <t>What is your standard deviation of forecast for the next period  using the optimal alpha?</t>
  </si>
  <si>
    <t>alpha</t>
  </si>
  <si>
    <t>AVE</t>
  </si>
  <si>
    <t>input</t>
  </si>
  <si>
    <t>days</t>
  </si>
  <si>
    <t>Here are several formulations for Dynamic Moving Average</t>
  </si>
  <si>
    <t>Watch It Here</t>
  </si>
  <si>
    <t>Statistics</t>
  </si>
  <si>
    <t>Set 1</t>
  </si>
  <si>
    <t>Set 2</t>
  </si>
  <si>
    <t>Set 3</t>
  </si>
  <si>
    <t>Range/Mean</t>
  </si>
  <si>
    <t>F6</t>
  </si>
  <si>
    <t>G6</t>
  </si>
  <si>
    <t>H6</t>
  </si>
  <si>
    <t>I6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</si>
</sst>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.000000"/>
    <numFmt numFmtId="168" formatCode="0.000000000"/>
  </numFmts>
  <fonts count="5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MS Reference Sans Serif"/>
      <family val="2"/>
    </font>
    <font>
      <b/>
      <sz val="16"/>
      <color rgb="FF1A1A70"/>
      <name val="MS Reference Sans Serif"/>
      <family val="2"/>
    </font>
    <font>
      <b/>
      <sz val="16"/>
      <color rgb="FF00B050"/>
      <name val="MS Reference Sans Serif"/>
      <family val="2"/>
    </font>
    <font>
      <b/>
      <sz val="11"/>
      <color theme="1"/>
      <name val="MS Reference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0"/>
      <name val="Book Antiqua"/>
      <family val="1"/>
    </font>
    <font>
      <sz val="11"/>
      <color rgb="FFFF0000"/>
      <name val="Book Antiqua"/>
      <family val="1"/>
    </font>
    <font>
      <sz val="11"/>
      <color rgb="FF4472C4"/>
      <name val="Book Antiqua"/>
      <family val="1"/>
    </font>
    <font>
      <sz val="11"/>
      <color rgb="FFED7D31"/>
      <name val="Book Antiqua"/>
      <family val="1"/>
    </font>
    <font>
      <sz val="11"/>
      <color rgb="FF00B050"/>
      <name val="Book Antiqua"/>
      <family val="1"/>
    </font>
    <font>
      <sz val="11"/>
      <color rgb="FFFFC000"/>
      <name val="Book Antiqua"/>
      <family val="1"/>
    </font>
    <font>
      <vertAlign val="superscript"/>
      <sz val="11"/>
      <color rgb="FF4472C4"/>
      <name val="Book Antiqua"/>
      <family val="1"/>
    </font>
    <font>
      <vertAlign val="superscript"/>
      <sz val="11"/>
      <color rgb="FFED7D31"/>
      <name val="Book Antiqua"/>
      <family val="1"/>
    </font>
    <font>
      <vertAlign val="superscript"/>
      <sz val="11"/>
      <color rgb="FF00B050"/>
      <name val="Book Antiqua"/>
      <family val="1"/>
    </font>
    <font>
      <vertAlign val="superscript"/>
      <sz val="11"/>
      <color rgb="FFFFC000"/>
      <name val="Book Antiqua"/>
      <family val="1"/>
    </font>
    <font>
      <b/>
      <sz val="11"/>
      <color rgb="FF4472C4"/>
      <name val="Book Antiqua"/>
      <family val="1"/>
    </font>
    <font>
      <b/>
      <sz val="11"/>
      <color rgb="FFED7D31"/>
      <name val="Book Antiqua"/>
      <family val="1"/>
    </font>
    <font>
      <b/>
      <sz val="11"/>
      <color rgb="FF00B050"/>
      <name val="Book Antiqua"/>
      <family val="1"/>
    </font>
    <font>
      <b/>
      <sz val="11"/>
      <color rgb="FFFFC000"/>
      <name val="Book Antiqua"/>
      <family val="1"/>
    </font>
    <font>
      <sz val="11"/>
      <color theme="0"/>
      <name val="Book Antiqua"/>
      <family val="1"/>
    </font>
    <font>
      <b/>
      <vertAlign val="superscript"/>
      <sz val="14"/>
      <color theme="0"/>
      <name val="Book Antiqua"/>
      <family val="1"/>
    </font>
    <font>
      <b/>
      <sz val="11"/>
      <color theme="4" tint="-0.499984740745262"/>
      <name val="Book Antiqua"/>
      <family val="1"/>
    </font>
    <font>
      <b/>
      <sz val="11"/>
      <color rgb="FFFF0000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5" tint="-0.499984740745262"/>
      <name val="Book Antiqua"/>
      <family val="1"/>
    </font>
    <font>
      <sz val="11"/>
      <color rgb="FF7030A0"/>
      <name val="Book Antiqua"/>
      <family val="1"/>
    </font>
    <font>
      <sz val="10"/>
      <name val="Book Antiqua"/>
      <family val="1"/>
    </font>
    <font>
      <sz val="11"/>
      <color theme="7" tint="-0.249977111117893"/>
      <name val="Book Antiqua"/>
      <family val="1"/>
    </font>
    <font>
      <sz val="11"/>
      <color theme="7" tint="-0.499984740745262"/>
      <name val="Book Antiqua"/>
      <family val="1"/>
    </font>
    <font>
      <sz val="11"/>
      <color theme="5" tint="-0.249977111117893"/>
      <name val="Book Antiqua"/>
      <family val="1"/>
    </font>
    <font>
      <sz val="11"/>
      <name val="Book Antiqua"/>
      <family val="1"/>
    </font>
    <font>
      <b/>
      <sz val="11"/>
      <color theme="7" tint="-0.499984740745262"/>
      <name val="Book Antiqua"/>
      <family val="1"/>
    </font>
    <font>
      <b/>
      <sz val="11"/>
      <color rgb="FF7030A0"/>
      <name val="Book Antiqua"/>
      <family val="1"/>
    </font>
    <font>
      <u/>
      <sz val="11"/>
      <color theme="10"/>
      <name val="Calibri"/>
      <family val="2"/>
      <scheme val="minor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</fonts>
  <fills count="1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51" fillId="0" borderId="0" applyNumberFormat="0" applyFill="0" applyBorder="0" applyAlignment="0" applyProtection="0"/>
  </cellStyleXfs>
  <cellXfs count="413">
    <xf numFmtId="0" fontId="0" fillId="0" borderId="0" xfId="0"/>
    <xf numFmtId="0" fontId="0" fillId="0" borderId="0" xfId="0" applyAlignment="1">
      <alignment horizontal="center"/>
    </xf>
    <xf numFmtId="164" fontId="6" fillId="0" borderId="11" xfId="0" applyNumberFormat="1" applyFont="1" applyBorder="1" applyAlignment="1">
      <alignment horizontal="center" wrapText="1" readingOrder="1"/>
    </xf>
    <xf numFmtId="0" fontId="6" fillId="0" borderId="12" xfId="0" applyFont="1" applyBorder="1" applyAlignment="1">
      <alignment horizontal="center" wrapText="1" readingOrder="1"/>
    </xf>
    <xf numFmtId="164" fontId="6" fillId="0" borderId="12" xfId="0" applyNumberFormat="1" applyFont="1" applyBorder="1" applyAlignment="1">
      <alignment horizontal="center" wrapText="1" readingOrder="1"/>
    </xf>
    <xf numFmtId="0" fontId="6" fillId="0" borderId="12" xfId="0" applyFont="1" applyBorder="1" applyAlignment="1">
      <alignment horizontal="left" wrapText="1" readingOrder="1"/>
    </xf>
    <xf numFmtId="2" fontId="7" fillId="0" borderId="0" xfId="0" applyNumberFormat="1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Alignment="1">
      <alignment horizontal="center" wrapText="1" readingOrder="1"/>
    </xf>
    <xf numFmtId="0" fontId="8" fillId="0" borderId="0" xfId="0" applyFont="1" applyAlignment="1">
      <alignment horizontal="center" wrapText="1" readingOrder="1"/>
    </xf>
    <xf numFmtId="0" fontId="7" fillId="0" borderId="0" xfId="0" applyFont="1" applyAlignment="1">
      <alignment horizontal="left" vertical="top" readingOrder="1"/>
    </xf>
    <xf numFmtId="1" fontId="6" fillId="0" borderId="11" xfId="0" applyNumberFormat="1" applyFont="1" applyBorder="1" applyAlignment="1">
      <alignment horizontal="center" wrapText="1" readingOrder="1"/>
    </xf>
    <xf numFmtId="1" fontId="6" fillId="0" borderId="12" xfId="0" applyNumberFormat="1" applyFont="1" applyBorder="1" applyAlignment="1">
      <alignment horizontal="center" wrapText="1" readingOrder="1"/>
    </xf>
    <xf numFmtId="0" fontId="9" fillId="0" borderId="12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1" fontId="7" fillId="0" borderId="5" xfId="0" applyNumberFormat="1" applyFont="1" applyBorder="1" applyAlignment="1">
      <alignment horizontal="center" wrapText="1" readingOrder="1"/>
    </xf>
    <xf numFmtId="1" fontId="7" fillId="0" borderId="0" xfId="0" applyNumberFormat="1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6" fillId="0" borderId="10" xfId="0" applyFont="1" applyBorder="1" applyAlignment="1">
      <alignment horizontal="left" wrapText="1" readingOrder="1"/>
    </xf>
    <xf numFmtId="1" fontId="8" fillId="0" borderId="0" xfId="0" applyNumberFormat="1" applyFont="1" applyBorder="1" applyAlignment="1">
      <alignment horizontal="center" wrapText="1" readingOrder="1"/>
    </xf>
    <xf numFmtId="0" fontId="8" fillId="0" borderId="4" xfId="0" applyFont="1" applyBorder="1" applyAlignment="1">
      <alignment horizontal="left" wrapText="1" readingOrder="1"/>
    </xf>
    <xf numFmtId="0" fontId="7" fillId="0" borderId="5" xfId="0" applyFont="1" applyBorder="1" applyAlignment="1">
      <alignment horizontal="center" wrapText="1" readingOrder="1"/>
    </xf>
    <xf numFmtId="0" fontId="9" fillId="0" borderId="12" xfId="0" applyFont="1" applyBorder="1" applyAlignment="1">
      <alignment horizontal="left" readingOrder="1"/>
    </xf>
    <xf numFmtId="0" fontId="9" fillId="0" borderId="10" xfId="0" applyFont="1" applyBorder="1" applyAlignment="1">
      <alignment horizontal="left" readingOrder="1"/>
    </xf>
    <xf numFmtId="0" fontId="10" fillId="0" borderId="0" xfId="2" applyFont="1" applyAlignment="1">
      <alignment horizontal="left"/>
    </xf>
    <xf numFmtId="0" fontId="10" fillId="0" borderId="0" xfId="2"/>
    <xf numFmtId="0" fontId="11" fillId="0" borderId="0" xfId="2" applyFont="1" applyAlignment="1">
      <alignment horizontal="center"/>
    </xf>
    <xf numFmtId="0" fontId="10" fillId="0" borderId="2" xfId="2" applyBorder="1" applyAlignment="1">
      <alignment horizontal="center"/>
    </xf>
    <xf numFmtId="1" fontId="10" fillId="0" borderId="13" xfId="2" applyNumberFormat="1" applyFill="1" applyBorder="1" applyAlignment="1">
      <alignment horizontal="center"/>
    </xf>
    <xf numFmtId="1" fontId="10" fillId="0" borderId="13" xfId="2" applyNumberFormat="1" applyBorder="1" applyAlignment="1">
      <alignment horizontal="center"/>
    </xf>
    <xf numFmtId="1" fontId="10" fillId="0" borderId="8" xfId="2" applyNumberFormat="1" applyBorder="1" applyAlignment="1">
      <alignment horizontal="center"/>
    </xf>
    <xf numFmtId="2" fontId="10" fillId="0" borderId="13" xfId="2" applyNumberFormat="1" applyBorder="1" applyAlignment="1">
      <alignment horizontal="center"/>
    </xf>
    <xf numFmtId="2" fontId="10" fillId="0" borderId="3" xfId="2" applyNumberFormat="1" applyBorder="1" applyAlignment="1">
      <alignment horizontal="center"/>
    </xf>
    <xf numFmtId="0" fontId="12" fillId="5" borderId="2" xfId="2" applyFont="1" applyFill="1" applyBorder="1"/>
    <xf numFmtId="164" fontId="12" fillId="5" borderId="13" xfId="2" applyNumberFormat="1" applyFont="1" applyFill="1" applyBorder="1"/>
    <xf numFmtId="164" fontId="12" fillId="5" borderId="3" xfId="2" applyNumberFormat="1" applyFont="1" applyFill="1" applyBorder="1"/>
    <xf numFmtId="0" fontId="10" fillId="0" borderId="0" xfId="2" applyAlignment="1">
      <alignment horizontal="left"/>
    </xf>
    <xf numFmtId="1" fontId="10" fillId="0" borderId="2" xfId="2" applyNumberFormat="1" applyBorder="1"/>
    <xf numFmtId="1" fontId="10" fillId="0" borderId="13" xfId="2" applyNumberFormat="1" applyBorder="1"/>
    <xf numFmtId="1" fontId="10" fillId="0" borderId="3" xfId="2" applyNumberFormat="1" applyBorder="1"/>
    <xf numFmtId="0" fontId="10" fillId="0" borderId="4" xfId="2" applyBorder="1" applyAlignment="1">
      <alignment horizontal="center"/>
    </xf>
    <xf numFmtId="1" fontId="10" fillId="0" borderId="0" xfId="2" applyNumberFormat="1" applyBorder="1" applyAlignment="1">
      <alignment horizontal="center"/>
    </xf>
    <xf numFmtId="2" fontId="10" fillId="0" borderId="0" xfId="2" applyNumberFormat="1" applyBorder="1" applyAlignment="1">
      <alignment horizontal="center"/>
    </xf>
    <xf numFmtId="2" fontId="10" fillId="0" borderId="5" xfId="2" applyNumberFormat="1" applyBorder="1" applyAlignment="1">
      <alignment horizontal="center"/>
    </xf>
    <xf numFmtId="0" fontId="12" fillId="5" borderId="4" xfId="2" applyFont="1" applyFill="1" applyBorder="1"/>
    <xf numFmtId="164" fontId="12" fillId="5" borderId="0" xfId="2" applyNumberFormat="1" applyFont="1" applyFill="1" applyBorder="1"/>
    <xf numFmtId="164" fontId="12" fillId="5" borderId="5" xfId="2" applyNumberFormat="1" applyFont="1" applyFill="1" applyBorder="1"/>
    <xf numFmtId="1" fontId="10" fillId="0" borderId="4" xfId="2" applyNumberFormat="1" applyBorder="1"/>
    <xf numFmtId="1" fontId="10" fillId="0" borderId="0" xfId="2" applyNumberFormat="1" applyBorder="1"/>
    <xf numFmtId="1" fontId="10" fillId="0" borderId="5" xfId="2" applyNumberFormat="1" applyBorder="1"/>
    <xf numFmtId="0" fontId="12" fillId="5" borderId="6" xfId="2" applyFont="1" applyFill="1" applyBorder="1"/>
    <xf numFmtId="164" fontId="12" fillId="5" borderId="14" xfId="2" applyNumberFormat="1" applyFont="1" applyFill="1" applyBorder="1"/>
    <xf numFmtId="164" fontId="12" fillId="5" borderId="7" xfId="2" applyNumberFormat="1" applyFont="1" applyFill="1" applyBorder="1"/>
    <xf numFmtId="0" fontId="10" fillId="0" borderId="6" xfId="2" applyBorder="1" applyAlignment="1">
      <alignment horizontal="center"/>
    </xf>
    <xf numFmtId="1" fontId="10" fillId="0" borderId="14" xfId="2" applyNumberFormat="1" applyBorder="1" applyAlignment="1">
      <alignment horizontal="center"/>
    </xf>
    <xf numFmtId="1" fontId="10" fillId="0" borderId="1" xfId="2" applyNumberFormat="1" applyBorder="1" applyAlignment="1">
      <alignment horizontal="center"/>
    </xf>
    <xf numFmtId="2" fontId="10" fillId="0" borderId="14" xfId="2" applyNumberFormat="1" applyBorder="1" applyAlignment="1">
      <alignment horizontal="center"/>
    </xf>
    <xf numFmtId="2" fontId="10" fillId="0" borderId="7" xfId="2" applyNumberFormat="1" applyBorder="1" applyAlignment="1">
      <alignment horizontal="center"/>
    </xf>
    <xf numFmtId="0" fontId="10" fillId="0" borderId="0" xfId="2" applyAlignment="1">
      <alignment horizontal="center"/>
    </xf>
    <xf numFmtId="0" fontId="10" fillId="0" borderId="0" xfId="2" applyFont="1"/>
    <xf numFmtId="0" fontId="13" fillId="5" borderId="0" xfId="1" applyFont="1" applyFill="1"/>
    <xf numFmtId="0" fontId="4" fillId="5" borderId="0" xfId="1" applyFont="1" applyFill="1" applyAlignment="1">
      <alignment horizontal="right"/>
    </xf>
    <xf numFmtId="0" fontId="4" fillId="5" borderId="0" xfId="1" applyFill="1" applyAlignment="1">
      <alignment horizontal="left"/>
    </xf>
    <xf numFmtId="0" fontId="4" fillId="0" borderId="0" xfId="1"/>
    <xf numFmtId="0" fontId="4" fillId="0" borderId="0" xfId="1" applyFont="1"/>
    <xf numFmtId="0" fontId="5" fillId="0" borderId="0" xfId="1" applyFont="1"/>
    <xf numFmtId="0" fontId="4" fillId="6" borderId="0" xfId="1" applyFill="1"/>
    <xf numFmtId="0" fontId="4" fillId="6" borderId="0" xfId="1" applyFont="1" applyFill="1"/>
    <xf numFmtId="0" fontId="4" fillId="0" borderId="10" xfId="1" applyFont="1" applyBorder="1" applyAlignment="1">
      <alignment horizontal="left"/>
    </xf>
    <xf numFmtId="0" fontId="4" fillId="7" borderId="12" xfId="1" applyFont="1" applyFill="1" applyBorder="1" applyAlignment="1">
      <alignment horizontal="center"/>
    </xf>
    <xf numFmtId="0" fontId="10" fillId="0" borderId="0" xfId="3"/>
    <xf numFmtId="0" fontId="4" fillId="0" borderId="0" xfId="1" applyAlignment="1">
      <alignment horizontal="left"/>
    </xf>
    <xf numFmtId="0" fontId="4" fillId="3" borderId="0" xfId="1" applyFill="1" applyAlignment="1">
      <alignment horizontal="center"/>
    </xf>
    <xf numFmtId="0" fontId="4" fillId="7" borderId="0" xfId="1" applyFill="1" applyAlignment="1">
      <alignment horizontal="center"/>
    </xf>
    <xf numFmtId="0" fontId="4" fillId="8" borderId="0" xfId="1" applyFill="1" applyAlignment="1">
      <alignment horizontal="center"/>
    </xf>
    <xf numFmtId="0" fontId="4" fillId="0" borderId="0" xfId="4"/>
    <xf numFmtId="0" fontId="14" fillId="0" borderId="0" xfId="1" applyFont="1" applyAlignment="1">
      <alignment horizontal="center"/>
    </xf>
    <xf numFmtId="1" fontId="14" fillId="0" borderId="0" xfId="1" applyNumberFormat="1" applyFont="1" applyAlignment="1">
      <alignment horizontal="center"/>
    </xf>
    <xf numFmtId="164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0" fontId="4" fillId="0" borderId="0" xfId="1" applyFill="1" applyAlignment="1">
      <alignment horizontal="center"/>
    </xf>
    <xf numFmtId="0" fontId="10" fillId="0" borderId="0" xfId="2" applyFill="1"/>
    <xf numFmtId="0" fontId="10" fillId="0" borderId="0" xfId="2" applyFont="1" applyFill="1"/>
    <xf numFmtId="0" fontId="0" fillId="8" borderId="11" xfId="1" applyFont="1" applyFill="1" applyBorder="1" applyAlignment="1">
      <alignment horizontal="center"/>
    </xf>
    <xf numFmtId="0" fontId="0" fillId="6" borderId="0" xfId="1" applyFont="1" applyFill="1"/>
    <xf numFmtId="0" fontId="0" fillId="0" borderId="0" xfId="1" applyFont="1"/>
    <xf numFmtId="0" fontId="0" fillId="3" borderId="12" xfId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0" xfId="0" applyFill="1"/>
    <xf numFmtId="165" fontId="13" fillId="11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15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164" fontId="13" fillId="3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164" fontId="3" fillId="1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7" xfId="0" applyBorder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17" fillId="0" borderId="16" xfId="0" applyFont="1" applyFill="1" applyBorder="1" applyAlignment="1">
      <alignment horizontal="centerContinuous"/>
    </xf>
    <xf numFmtId="0" fontId="18" fillId="0" borderId="0" xfId="0" applyFont="1" applyAlignment="1">
      <alignment horizontal="right"/>
    </xf>
    <xf numFmtId="0" fontId="18" fillId="0" borderId="0" xfId="0" applyFont="1" applyFill="1" applyBorder="1" applyAlignment="1"/>
    <xf numFmtId="2" fontId="18" fillId="0" borderId="0" xfId="0" applyNumberFormat="1" applyFont="1" applyFill="1" applyBorder="1" applyAlignment="1"/>
    <xf numFmtId="0" fontId="3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18" fillId="0" borderId="14" xfId="0" applyFont="1" applyFill="1" applyBorder="1" applyAlignment="1"/>
    <xf numFmtId="0" fontId="17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6" borderId="5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164" fontId="0" fillId="6" borderId="7" xfId="0" applyNumberForma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164" fontId="10" fillId="0" borderId="0" xfId="2" applyNumberFormat="1" applyAlignment="1">
      <alignment horizontal="center"/>
    </xf>
    <xf numFmtId="164" fontId="10" fillId="13" borderId="0" xfId="2" applyNumberFormat="1" applyFill="1" applyAlignment="1">
      <alignment horizontal="left"/>
    </xf>
    <xf numFmtId="164" fontId="10" fillId="14" borderId="0" xfId="2" applyNumberFormat="1" applyFill="1" applyAlignment="1">
      <alignment horizontal="left"/>
    </xf>
    <xf numFmtId="1" fontId="10" fillId="0" borderId="0" xfId="2" applyNumberFormat="1" applyAlignment="1">
      <alignment horizontal="left"/>
    </xf>
    <xf numFmtId="164" fontId="10" fillId="0" borderId="0" xfId="2" applyNumberFormat="1" applyAlignment="1">
      <alignment horizontal="left"/>
    </xf>
    <xf numFmtId="1" fontId="10" fillId="0" borderId="0" xfId="2" applyNumberFormat="1" applyBorder="1" applyAlignment="1">
      <alignment horizontal="left"/>
    </xf>
    <xf numFmtId="164" fontId="12" fillId="0" borderId="0" xfId="2" applyNumberFormat="1" applyFont="1" applyBorder="1" applyAlignment="1">
      <alignment horizontal="left"/>
    </xf>
    <xf numFmtId="164" fontId="19" fillId="10" borderId="0" xfId="2" applyNumberFormat="1" applyFont="1" applyFill="1"/>
    <xf numFmtId="166" fontId="19" fillId="10" borderId="0" xfId="2" applyNumberFormat="1" applyFont="1" applyFill="1"/>
    <xf numFmtId="0" fontId="10" fillId="0" borderId="0" xfId="2" applyFont="1" applyAlignment="1">
      <alignment horizontal="center"/>
    </xf>
    <xf numFmtId="0" fontId="10" fillId="13" borderId="0" xfId="2" applyFont="1" applyFill="1" applyAlignment="1">
      <alignment horizontal="center"/>
    </xf>
    <xf numFmtId="0" fontId="10" fillId="14" borderId="0" xfId="2" applyFont="1" applyFill="1" applyAlignment="1">
      <alignment horizontal="center"/>
    </xf>
    <xf numFmtId="1" fontId="12" fillId="0" borderId="13" xfId="2" applyNumberFormat="1" applyFont="1" applyBorder="1" applyAlignment="1">
      <alignment horizontal="center"/>
    </xf>
    <xf numFmtId="164" fontId="10" fillId="0" borderId="0" xfId="2" applyNumberFormat="1"/>
    <xf numFmtId="1" fontId="10" fillId="0" borderId="0" xfId="2" applyNumberFormat="1"/>
    <xf numFmtId="0" fontId="10" fillId="0" borderId="0" xfId="2" applyFont="1" applyAlignment="1">
      <alignment horizontal="right"/>
    </xf>
    <xf numFmtId="1" fontId="12" fillId="0" borderId="0" xfId="2" applyNumberFormat="1" applyFont="1" applyBorder="1" applyAlignment="1">
      <alignment horizontal="center"/>
    </xf>
    <xf numFmtId="1" fontId="10" fillId="0" borderId="0" xfId="2" applyNumberFormat="1" applyFont="1" applyBorder="1" applyAlignment="1">
      <alignment horizontal="center"/>
    </xf>
    <xf numFmtId="165" fontId="10" fillId="0" borderId="0" xfId="2" applyNumberFormat="1"/>
    <xf numFmtId="1" fontId="19" fillId="2" borderId="0" xfId="2" applyNumberFormat="1" applyFont="1" applyFill="1" applyBorder="1" applyAlignment="1">
      <alignment horizontal="center"/>
    </xf>
    <xf numFmtId="164" fontId="10" fillId="0" borderId="0" xfId="2" applyNumberFormat="1" applyBorder="1" applyAlignment="1">
      <alignment horizontal="left"/>
    </xf>
    <xf numFmtId="0" fontId="0" fillId="0" borderId="0" xfId="0" applyFill="1" applyBorder="1" applyAlignment="1">
      <alignment horizontal="center"/>
    </xf>
    <xf numFmtId="1" fontId="10" fillId="0" borderId="0" xfId="2" applyNumberFormat="1" applyAlignment="1">
      <alignment horizontal="center"/>
    </xf>
    <xf numFmtId="2" fontId="10" fillId="0" borderId="0" xfId="2" applyNumberFormat="1" applyAlignment="1">
      <alignment horizontal="center"/>
    </xf>
    <xf numFmtId="167" fontId="10" fillId="0" borderId="0" xfId="2" applyNumberFormat="1" applyAlignment="1">
      <alignment horizontal="center"/>
    </xf>
    <xf numFmtId="0" fontId="10" fillId="0" borderId="15" xfId="2" applyBorder="1" applyAlignment="1">
      <alignment horizontal="center"/>
    </xf>
    <xf numFmtId="0" fontId="0" fillId="0" borderId="6" xfId="0" applyBorder="1"/>
    <xf numFmtId="0" fontId="10" fillId="0" borderId="9" xfId="2" applyBorder="1" applyAlignment="1">
      <alignment horizontal="center"/>
    </xf>
    <xf numFmtId="0" fontId="0" fillId="0" borderId="4" xfId="0" applyBorder="1"/>
    <xf numFmtId="2" fontId="0" fillId="7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0" fillId="0" borderId="9" xfId="2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15" borderId="0" xfId="0" applyNumberFormat="1" applyFill="1" applyAlignment="1">
      <alignment horizontal="center"/>
    </xf>
    <xf numFmtId="165" fontId="0" fillId="16" borderId="0" xfId="0" applyNumberFormat="1" applyFill="1" applyAlignment="1">
      <alignment horizontal="center"/>
    </xf>
    <xf numFmtId="2" fontId="0" fillId="8" borderId="0" xfId="0" applyNumberFormat="1" applyFill="1" applyAlignment="1">
      <alignment horizontal="center"/>
    </xf>
    <xf numFmtId="165" fontId="0" fillId="13" borderId="0" xfId="0" applyNumberFormat="1" applyFill="1" applyAlignment="1">
      <alignment horizontal="center"/>
    </xf>
    <xf numFmtId="165" fontId="0" fillId="14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0" fontId="10" fillId="0" borderId="8" xfId="2" applyFill="1" applyBorder="1" applyAlignment="1">
      <alignment horizontal="center"/>
    </xf>
    <xf numFmtId="0" fontId="0" fillId="0" borderId="2" xfId="0" applyBorder="1"/>
    <xf numFmtId="0" fontId="14" fillId="0" borderId="0" xfId="0" applyFont="1"/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2" fontId="24" fillId="0" borderId="0" xfId="0" applyNumberFormat="1" applyFont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164" fontId="26" fillId="0" borderId="0" xfId="0" applyNumberFormat="1" applyFont="1" applyAlignment="1">
      <alignment horizontal="center"/>
    </xf>
    <xf numFmtId="2" fontId="32" fillId="0" borderId="4" xfId="0" applyNumberFormat="1" applyFont="1" applyFill="1" applyBorder="1" applyAlignment="1">
      <alignment horizontal="center"/>
    </xf>
    <xf numFmtId="0" fontId="33" fillId="0" borderId="4" xfId="0" applyFont="1" applyBorder="1" applyAlignment="1">
      <alignment horizontal="center"/>
    </xf>
    <xf numFmtId="164" fontId="26" fillId="0" borderId="9" xfId="0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2" fontId="27" fillId="0" borderId="0" xfId="0" applyNumberFormat="1" applyFont="1" applyAlignment="1">
      <alignment horizontal="center"/>
    </xf>
    <xf numFmtId="2" fontId="34" fillId="0" borderId="9" xfId="0" applyNumberFormat="1" applyFont="1" applyBorder="1" applyAlignment="1">
      <alignment horizontal="center"/>
    </xf>
    <xf numFmtId="2" fontId="35" fillId="0" borderId="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2" fontId="24" fillId="0" borderId="13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164" fontId="26" fillId="0" borderId="13" xfId="0" applyNumberFormat="1" applyFont="1" applyBorder="1" applyAlignment="1">
      <alignment horizontal="center"/>
    </xf>
    <xf numFmtId="2" fontId="27" fillId="0" borderId="3" xfId="0" applyNumberFormat="1" applyFont="1" applyBorder="1" applyAlignment="1">
      <alignment horizontal="center"/>
    </xf>
    <xf numFmtId="2" fontId="2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2" fontId="27" fillId="0" borderId="5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2" fontId="24" fillId="0" borderId="14" xfId="0" applyNumberFormat="1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164" fontId="26" fillId="0" borderId="14" xfId="0" applyNumberFormat="1" applyFont="1" applyBorder="1" applyAlignment="1">
      <alignment horizontal="center"/>
    </xf>
    <xf numFmtId="2" fontId="27" fillId="0" borderId="7" xfId="0" applyNumberFormat="1" applyFont="1" applyBorder="1" applyAlignment="1">
      <alignment horizontal="center"/>
    </xf>
    <xf numFmtId="2" fontId="24" fillId="0" borderId="6" xfId="0" applyNumberFormat="1" applyFont="1" applyBorder="1" applyAlignment="1">
      <alignment horizontal="center"/>
    </xf>
    <xf numFmtId="2" fontId="32" fillId="0" borderId="10" xfId="0" applyNumberFormat="1" applyFont="1" applyFill="1" applyBorder="1" applyAlignment="1">
      <alignment horizontal="center"/>
    </xf>
    <xf numFmtId="2" fontId="33" fillId="0" borderId="1" xfId="0" applyNumberFormat="1" applyFont="1" applyBorder="1" applyAlignment="1">
      <alignment horizontal="center"/>
    </xf>
    <xf numFmtId="2" fontId="34" fillId="0" borderId="1" xfId="0" applyNumberFormat="1" applyFont="1" applyBorder="1" applyAlignment="1">
      <alignment horizontal="center"/>
    </xf>
    <xf numFmtId="2" fontId="35" fillId="0" borderId="11" xfId="0" applyNumberFormat="1" applyFont="1" applyBorder="1" applyAlignment="1">
      <alignment horizontal="center"/>
    </xf>
    <xf numFmtId="2" fontId="36" fillId="0" borderId="0" xfId="0" applyNumberFormat="1" applyFont="1"/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23" fillId="17" borderId="8" xfId="0" applyFont="1" applyFill="1" applyBorder="1" applyAlignment="1">
      <alignment horizontal="center"/>
    </xf>
    <xf numFmtId="0" fontId="23" fillId="17" borderId="9" xfId="0" applyFont="1" applyFill="1" applyBorder="1" applyAlignment="1">
      <alignment horizontal="center"/>
    </xf>
    <xf numFmtId="0" fontId="23" fillId="17" borderId="15" xfId="0" applyFont="1" applyFill="1" applyBorder="1" applyAlignment="1">
      <alignment horizontal="center"/>
    </xf>
    <xf numFmtId="0" fontId="22" fillId="9" borderId="8" xfId="0" applyFont="1" applyFill="1" applyBorder="1" applyAlignment="1">
      <alignment horizontal="center"/>
    </xf>
    <xf numFmtId="0" fontId="22" fillId="9" borderId="9" xfId="0" applyFont="1" applyFill="1" applyBorder="1" applyAlignment="1">
      <alignment horizontal="center"/>
    </xf>
    <xf numFmtId="0" fontId="22" fillId="9" borderId="15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24" fillId="0" borderId="2" xfId="0" applyFont="1" applyFill="1" applyBorder="1" applyAlignment="1"/>
    <xf numFmtId="0" fontId="25" fillId="0" borderId="8" xfId="0" applyFont="1" applyBorder="1" applyAlignment="1"/>
    <xf numFmtId="0" fontId="26" fillId="0" borderId="8" xfId="0" applyFont="1" applyBorder="1" applyAlignment="1"/>
    <xf numFmtId="0" fontId="27" fillId="0" borderId="8" xfId="0" applyFont="1" applyBorder="1" applyAlignment="1"/>
    <xf numFmtId="0" fontId="24" fillId="0" borderId="10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2" fontId="32" fillId="0" borderId="2" xfId="0" applyNumberFormat="1" applyFont="1" applyFill="1" applyBorder="1" applyAlignment="1">
      <alignment horizontal="center"/>
    </xf>
    <xf numFmtId="0" fontId="33" fillId="0" borderId="2" xfId="0" applyFont="1" applyBorder="1" applyAlignment="1">
      <alignment horizontal="center"/>
    </xf>
    <xf numFmtId="2" fontId="34" fillId="0" borderId="8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0" fontId="0" fillId="0" borderId="13" xfId="0" applyBorder="1"/>
    <xf numFmtId="2" fontId="33" fillId="0" borderId="2" xfId="0" applyNumberFormat="1" applyFont="1" applyBorder="1" applyAlignment="1">
      <alignment horizontal="center"/>
    </xf>
    <xf numFmtId="0" fontId="14" fillId="0" borderId="13" xfId="0" applyFont="1" applyBorder="1"/>
    <xf numFmtId="0" fontId="0" fillId="0" borderId="0" xfId="0" applyBorder="1"/>
    <xf numFmtId="0" fontId="14" fillId="0" borderId="0" xfId="0" applyFont="1" applyBorder="1"/>
    <xf numFmtId="2" fontId="32" fillId="0" borderId="6" xfId="0" applyNumberFormat="1" applyFont="1" applyFill="1" applyBorder="1" applyAlignment="1">
      <alignment horizontal="center"/>
    </xf>
    <xf numFmtId="0" fontId="33" fillId="0" borderId="6" xfId="0" applyFont="1" applyBorder="1" applyAlignment="1">
      <alignment horizontal="center"/>
    </xf>
    <xf numFmtId="2" fontId="34" fillId="0" borderId="15" xfId="0" applyNumberFormat="1" applyFont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0" fillId="0" borderId="14" xfId="0" applyBorder="1"/>
    <xf numFmtId="2" fontId="33" fillId="0" borderId="6" xfId="0" applyNumberFormat="1" applyFont="1" applyBorder="1" applyAlignment="1">
      <alignment horizontal="center"/>
    </xf>
    <xf numFmtId="0" fontId="14" fillId="0" borderId="14" xfId="0" applyFont="1" applyBorder="1"/>
    <xf numFmtId="0" fontId="14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3" xfId="0" applyFont="1" applyBorder="1" applyAlignment="1">
      <alignment horizontal="left"/>
    </xf>
    <xf numFmtId="0" fontId="38" fillId="12" borderId="0" xfId="0" applyFont="1" applyFill="1" applyAlignment="1">
      <alignment horizontal="center"/>
    </xf>
    <xf numFmtId="164" fontId="39" fillId="3" borderId="0" xfId="0" applyNumberFormat="1" applyFont="1" applyFill="1" applyAlignment="1">
      <alignment horizontal="center"/>
    </xf>
    <xf numFmtId="0" fontId="14" fillId="0" borderId="0" xfId="0" applyFont="1" applyBorder="1" applyAlignment="1">
      <alignment horizontal="left"/>
    </xf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40" fillId="0" borderId="0" xfId="0" applyFont="1"/>
    <xf numFmtId="0" fontId="40" fillId="0" borderId="0" xfId="0" applyFont="1" applyFill="1"/>
    <xf numFmtId="165" fontId="41" fillId="0" borderId="0" xfId="0" applyNumberFormat="1" applyFont="1" applyFill="1" applyBorder="1" applyAlignment="1">
      <alignment horizontal="center"/>
    </xf>
    <xf numFmtId="164" fontId="22" fillId="2" borderId="0" xfId="0" applyNumberFormat="1" applyFont="1" applyFill="1" applyAlignment="1">
      <alignment horizontal="center"/>
    </xf>
    <xf numFmtId="164" fontId="22" fillId="2" borderId="1" xfId="0" applyNumberFormat="1" applyFont="1" applyFill="1" applyBorder="1" applyAlignment="1">
      <alignment horizontal="center"/>
    </xf>
    <xf numFmtId="164" fontId="34" fillId="13" borderId="1" xfId="0" applyNumberFormat="1" applyFont="1" applyFill="1" applyBorder="1" applyAlignment="1">
      <alignment horizontal="center"/>
    </xf>
    <xf numFmtId="164" fontId="42" fillId="8" borderId="0" xfId="0" applyNumberFormat="1" applyFont="1" applyFill="1" applyAlignment="1">
      <alignment horizontal="center"/>
    </xf>
    <xf numFmtId="164" fontId="23" fillId="7" borderId="0" xfId="0" applyNumberFormat="1" applyFont="1" applyFill="1" applyAlignment="1">
      <alignment horizontal="center"/>
    </xf>
    <xf numFmtId="0" fontId="43" fillId="18" borderId="0" xfId="0" applyFont="1" applyFill="1" applyBorder="1" applyAlignment="1">
      <alignment horizontal="center"/>
    </xf>
    <xf numFmtId="0" fontId="43" fillId="18" borderId="0" xfId="0" applyFont="1" applyFill="1"/>
    <xf numFmtId="2" fontId="43" fillId="18" borderId="0" xfId="0" applyNumberFormat="1" applyFont="1" applyFill="1" applyAlignment="1">
      <alignment horizontal="center"/>
    </xf>
    <xf numFmtId="164" fontId="14" fillId="0" borderId="0" xfId="0" applyNumberFormat="1" applyFont="1"/>
    <xf numFmtId="164" fontId="22" fillId="2" borderId="8" xfId="0" applyNumberFormat="1" applyFont="1" applyFill="1" applyBorder="1" applyAlignment="1">
      <alignment horizontal="center"/>
    </xf>
    <xf numFmtId="164" fontId="22" fillId="2" borderId="9" xfId="0" applyNumberFormat="1" applyFont="1" applyFill="1" applyBorder="1" applyAlignment="1">
      <alignment horizontal="center"/>
    </xf>
    <xf numFmtId="164" fontId="22" fillId="2" borderId="15" xfId="0" applyNumberFormat="1" applyFont="1" applyFill="1" applyBorder="1" applyAlignment="1">
      <alignment horizontal="center"/>
    </xf>
    <xf numFmtId="0" fontId="38" fillId="12" borderId="9" xfId="0" applyFont="1" applyFill="1" applyBorder="1" applyAlignment="1">
      <alignment horizontal="center"/>
    </xf>
    <xf numFmtId="0" fontId="38" fillId="12" borderId="15" xfId="0" applyFont="1" applyFill="1" applyBorder="1" applyAlignment="1">
      <alignment horizontal="center"/>
    </xf>
    <xf numFmtId="164" fontId="42" fillId="8" borderId="9" xfId="0" applyNumberFormat="1" applyFont="1" applyFill="1" applyBorder="1" applyAlignment="1">
      <alignment horizontal="center"/>
    </xf>
    <xf numFmtId="164" fontId="42" fillId="8" borderId="15" xfId="0" applyNumberFormat="1" applyFont="1" applyFill="1" applyBorder="1" applyAlignment="1">
      <alignment horizontal="center"/>
    </xf>
    <xf numFmtId="164" fontId="42" fillId="8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4" fontId="39" fillId="3" borderId="9" xfId="0" applyNumberFormat="1" applyFont="1" applyFill="1" applyBorder="1" applyAlignment="1">
      <alignment horizontal="center"/>
    </xf>
    <xf numFmtId="164" fontId="39" fillId="3" borderId="15" xfId="0" applyNumberFormat="1" applyFont="1" applyFill="1" applyBorder="1" applyAlignment="1">
      <alignment horizontal="center"/>
    </xf>
    <xf numFmtId="164" fontId="23" fillId="7" borderId="9" xfId="0" applyNumberFormat="1" applyFont="1" applyFill="1" applyBorder="1" applyAlignment="1">
      <alignment horizontal="center"/>
    </xf>
    <xf numFmtId="164" fontId="23" fillId="7" borderId="15" xfId="0" applyNumberFormat="1" applyFont="1" applyFill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0" fontId="43" fillId="18" borderId="1" xfId="0" applyFont="1" applyFill="1" applyBorder="1" applyAlignment="1">
      <alignment horizontal="center"/>
    </xf>
    <xf numFmtId="0" fontId="43" fillId="18" borderId="9" xfId="0" applyFont="1" applyFill="1" applyBorder="1"/>
    <xf numFmtId="2" fontId="43" fillId="18" borderId="9" xfId="0" applyNumberFormat="1" applyFont="1" applyFill="1" applyBorder="1" applyAlignment="1">
      <alignment horizontal="center"/>
    </xf>
    <xf numFmtId="2" fontId="43" fillId="18" borderId="15" xfId="0" applyNumberFormat="1" applyFont="1" applyFill="1" applyBorder="1" applyAlignment="1">
      <alignment horizontal="center"/>
    </xf>
    <xf numFmtId="0" fontId="15" fillId="12" borderId="4" xfId="0" applyFont="1" applyFill="1" applyBorder="1" applyAlignment="1">
      <alignment horizontal="center"/>
    </xf>
    <xf numFmtId="0" fontId="15" fillId="12" borderId="6" xfId="0" applyFont="1" applyFill="1" applyBorder="1" applyAlignment="1">
      <alignment horizontal="center"/>
    </xf>
    <xf numFmtId="164" fontId="16" fillId="7" borderId="9" xfId="0" applyNumberFormat="1" applyFont="1" applyFill="1" applyBorder="1" applyAlignment="1">
      <alignment horizontal="center"/>
    </xf>
    <xf numFmtId="164" fontId="0" fillId="6" borderId="9" xfId="0" applyNumberFormat="1" applyFill="1" applyBorder="1" applyAlignment="1">
      <alignment horizontal="center"/>
    </xf>
    <xf numFmtId="164" fontId="0" fillId="6" borderId="15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8" fontId="3" fillId="0" borderId="0" xfId="0" applyNumberFormat="1" applyFont="1"/>
    <xf numFmtId="2" fontId="18" fillId="0" borderId="14" xfId="0" applyNumberFormat="1" applyFont="1" applyFill="1" applyBorder="1" applyAlignment="1">
      <alignment horizontal="center"/>
    </xf>
    <xf numFmtId="0" fontId="14" fillId="0" borderId="0" xfId="1" applyFont="1"/>
    <xf numFmtId="0" fontId="44" fillId="0" borderId="0" xfId="3" applyFont="1"/>
    <xf numFmtId="0" fontId="14" fillId="0" borderId="0" xfId="1" applyFont="1" applyFill="1"/>
    <xf numFmtId="1" fontId="45" fillId="0" borderId="0" xfId="1" applyNumberFormat="1" applyFont="1" applyFill="1" applyAlignment="1">
      <alignment horizontal="center"/>
    </xf>
    <xf numFmtId="0" fontId="39" fillId="0" borderId="0" xfId="1" applyFont="1"/>
    <xf numFmtId="0" fontId="14" fillId="0" borderId="8" xfId="1" applyFont="1" applyBorder="1"/>
    <xf numFmtId="0" fontId="22" fillId="2" borderId="1" xfId="1" applyFont="1" applyFill="1" applyBorder="1" applyAlignment="1">
      <alignment horizontal="left"/>
    </xf>
    <xf numFmtId="0" fontId="22" fillId="10" borderId="12" xfId="1" applyFont="1" applyFill="1" applyBorder="1" applyAlignment="1">
      <alignment horizontal="left"/>
    </xf>
    <xf numFmtId="0" fontId="24" fillId="0" borderId="10" xfId="0" applyFont="1" applyFill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46" fillId="0" borderId="11" xfId="0" applyFont="1" applyBorder="1" applyAlignment="1">
      <alignment horizontal="left"/>
    </xf>
    <xf numFmtId="0" fontId="43" fillId="0" borderId="11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47" fillId="0" borderId="0" xfId="1" applyFont="1" applyFill="1" applyAlignment="1">
      <alignment horizontal="center"/>
    </xf>
    <xf numFmtId="0" fontId="48" fillId="0" borderId="0" xfId="1" applyFont="1" applyFill="1"/>
    <xf numFmtId="1" fontId="22" fillId="2" borderId="9" xfId="1" applyNumberFormat="1" applyFont="1" applyFill="1" applyBorder="1" applyAlignment="1">
      <alignment horizontal="left"/>
    </xf>
    <xf numFmtId="1" fontId="22" fillId="10" borderId="0" xfId="1" applyNumberFormat="1" applyFont="1" applyFill="1" applyAlignment="1">
      <alignment horizontal="left"/>
    </xf>
    <xf numFmtId="0" fontId="24" fillId="0" borderId="4" xfId="0" applyFont="1" applyFill="1" applyBorder="1" applyAlignment="1">
      <alignment horizontal="left"/>
    </xf>
    <xf numFmtId="2" fontId="33" fillId="0" borderId="4" xfId="0" applyNumberFormat="1" applyFont="1" applyBorder="1" applyAlignment="1">
      <alignment horizontal="left"/>
    </xf>
    <xf numFmtId="2" fontId="39" fillId="0" borderId="9" xfId="0" applyNumberFormat="1" applyFont="1" applyBorder="1" applyAlignment="1">
      <alignment horizontal="left"/>
    </xf>
    <xf numFmtId="2" fontId="49" fillId="0" borderId="5" xfId="0" applyNumberFormat="1" applyFont="1" applyBorder="1" applyAlignment="1">
      <alignment horizontal="left"/>
    </xf>
    <xf numFmtId="2" fontId="50" fillId="0" borderId="5" xfId="0" applyNumberFormat="1" applyFont="1" applyBorder="1" applyAlignment="1">
      <alignment horizontal="left"/>
    </xf>
    <xf numFmtId="2" fontId="34" fillId="0" borderId="5" xfId="0" applyNumberFormat="1" applyFont="1" applyBorder="1" applyAlignment="1">
      <alignment horizontal="left"/>
    </xf>
    <xf numFmtId="164" fontId="14" fillId="0" borderId="0" xfId="1" applyNumberFormat="1" applyFont="1" applyFill="1"/>
    <xf numFmtId="0" fontId="14" fillId="0" borderId="9" xfId="1" applyFont="1" applyBorder="1"/>
    <xf numFmtId="2" fontId="32" fillId="0" borderId="4" xfId="0" applyNumberFormat="1" applyFont="1" applyFill="1" applyBorder="1" applyAlignment="1">
      <alignment horizontal="left"/>
    </xf>
    <xf numFmtId="1" fontId="14" fillId="0" borderId="0" xfId="1" applyNumberFormat="1" applyFont="1"/>
    <xf numFmtId="0" fontId="14" fillId="0" borderId="15" xfId="1" applyFont="1" applyBorder="1"/>
    <xf numFmtId="1" fontId="22" fillId="2" borderId="15" xfId="1" applyNumberFormat="1" applyFont="1" applyFill="1" applyBorder="1" applyAlignment="1">
      <alignment horizontal="left"/>
    </xf>
    <xf numFmtId="2" fontId="32" fillId="0" borderId="6" xfId="0" applyNumberFormat="1" applyFont="1" applyFill="1" applyBorder="1" applyAlignment="1">
      <alignment horizontal="left"/>
    </xf>
    <xf numFmtId="2" fontId="33" fillId="0" borderId="6" xfId="0" applyNumberFormat="1" applyFont="1" applyBorder="1" applyAlignment="1">
      <alignment horizontal="left"/>
    </xf>
    <xf numFmtId="2" fontId="39" fillId="0" borderId="15" xfId="0" applyNumberFormat="1" applyFont="1" applyBorder="1" applyAlignment="1">
      <alignment horizontal="left"/>
    </xf>
    <xf numFmtId="2" fontId="49" fillId="0" borderId="7" xfId="0" applyNumberFormat="1" applyFont="1" applyBorder="1" applyAlignment="1">
      <alignment horizontal="left"/>
    </xf>
    <xf numFmtId="2" fontId="50" fillId="0" borderId="7" xfId="0" applyNumberFormat="1" applyFont="1" applyBorder="1" applyAlignment="1">
      <alignment horizontal="left"/>
    </xf>
    <xf numFmtId="2" fontId="34" fillId="0" borderId="7" xfId="0" applyNumberFormat="1" applyFont="1" applyBorder="1" applyAlignment="1">
      <alignment horizontal="left"/>
    </xf>
    <xf numFmtId="2" fontId="32" fillId="0" borderId="0" xfId="0" applyNumberFormat="1" applyFont="1" applyFill="1" applyBorder="1" applyAlignment="1">
      <alignment horizontal="center"/>
    </xf>
    <xf numFmtId="2" fontId="33" fillId="0" borderId="1" xfId="0" applyNumberFormat="1" applyFont="1" applyBorder="1" applyAlignment="1">
      <alignment horizontal="left"/>
    </xf>
    <xf numFmtId="2" fontId="34" fillId="0" borderId="0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164" fontId="47" fillId="0" borderId="0" xfId="1" applyNumberFormat="1" applyFont="1" applyFill="1" applyAlignment="1">
      <alignment horizontal="center"/>
    </xf>
    <xf numFmtId="0" fontId="14" fillId="0" borderId="0" xfId="0" applyFont="1" applyFill="1"/>
    <xf numFmtId="0" fontId="0" fillId="0" borderId="17" xfId="0" applyBorder="1" applyAlignment="1">
      <alignment wrapText="1"/>
    </xf>
    <xf numFmtId="0" fontId="0" fillId="0" borderId="17" xfId="0" applyBorder="1"/>
    <xf numFmtId="0" fontId="0" fillId="4" borderId="0" xfId="0" applyFill="1"/>
    <xf numFmtId="0" fontId="51" fillId="0" borderId="0" xfId="5"/>
    <xf numFmtId="0" fontId="39" fillId="5" borderId="0" xfId="1" applyFont="1" applyFill="1"/>
    <xf numFmtId="0" fontId="14" fillId="5" borderId="0" xfId="1" applyFont="1" applyFill="1" applyAlignment="1">
      <alignment horizontal="right"/>
    </xf>
    <xf numFmtId="0" fontId="14" fillId="5" borderId="0" xfId="1" applyFont="1" applyFill="1" applyAlignment="1">
      <alignment horizontal="left"/>
    </xf>
    <xf numFmtId="0" fontId="14" fillId="0" borderId="11" xfId="1" applyFont="1" applyFill="1" applyBorder="1" applyAlignment="1">
      <alignment horizontal="center"/>
    </xf>
    <xf numFmtId="0" fontId="52" fillId="0" borderId="2" xfId="2" applyFont="1" applyBorder="1" applyAlignment="1">
      <alignment horizontal="center"/>
    </xf>
    <xf numFmtId="0" fontId="52" fillId="0" borderId="3" xfId="2" applyFont="1" applyBorder="1" applyAlignment="1">
      <alignment horizontal="center"/>
    </xf>
    <xf numFmtId="0" fontId="52" fillId="0" borderId="0" xfId="2" applyFont="1" applyAlignment="1">
      <alignment horizontal="center"/>
    </xf>
    <xf numFmtId="0" fontId="44" fillId="0" borderId="0" xfId="2" applyFont="1"/>
    <xf numFmtId="0" fontId="44" fillId="0" borderId="0" xfId="2" quotePrefix="1" applyFont="1"/>
    <xf numFmtId="0" fontId="53" fillId="0" borderId="0" xfId="1" applyFont="1"/>
    <xf numFmtId="0" fontId="14" fillId="6" borderId="0" xfId="1" applyFont="1" applyFill="1"/>
    <xf numFmtId="0" fontId="14" fillId="0" borderId="10" xfId="1" applyFont="1" applyBorder="1" applyAlignment="1">
      <alignment horizontal="left"/>
    </xf>
    <xf numFmtId="0" fontId="14" fillId="3" borderId="12" xfId="1" applyFont="1" applyFill="1" applyBorder="1" applyAlignment="1">
      <alignment horizontal="center"/>
    </xf>
    <xf numFmtId="0" fontId="14" fillId="7" borderId="12" xfId="1" applyFont="1" applyFill="1" applyBorder="1" applyAlignment="1">
      <alignment horizontal="center"/>
    </xf>
    <xf numFmtId="0" fontId="14" fillId="8" borderId="11" xfId="1" applyFont="1" applyFill="1" applyBorder="1" applyAlignment="1">
      <alignment horizontal="center"/>
    </xf>
    <xf numFmtId="0" fontId="44" fillId="0" borderId="0" xfId="2" applyFont="1" applyFill="1"/>
    <xf numFmtId="0" fontId="44" fillId="0" borderId="2" xfId="2" applyFont="1" applyBorder="1" applyAlignment="1">
      <alignment horizontal="center"/>
    </xf>
    <xf numFmtId="1" fontId="44" fillId="0" borderId="2" xfId="2" applyNumberFormat="1" applyFont="1" applyFill="1" applyBorder="1" applyAlignment="1">
      <alignment horizontal="center"/>
    </xf>
    <xf numFmtId="1" fontId="44" fillId="0" borderId="3" xfId="2" applyNumberFormat="1" applyFont="1" applyBorder="1" applyAlignment="1">
      <alignment horizontal="center"/>
    </xf>
    <xf numFmtId="1" fontId="44" fillId="0" borderId="13" xfId="2" applyNumberFormat="1" applyFont="1" applyBorder="1" applyAlignment="1">
      <alignment horizontal="center"/>
    </xf>
    <xf numFmtId="2" fontId="44" fillId="0" borderId="13" xfId="2" applyNumberFormat="1" applyFont="1" applyBorder="1" applyAlignment="1">
      <alignment horizontal="center"/>
    </xf>
    <xf numFmtId="2" fontId="44" fillId="0" borderId="3" xfId="2" applyNumberFormat="1" applyFont="1" applyBorder="1" applyAlignment="1">
      <alignment horizontal="center"/>
    </xf>
    <xf numFmtId="0" fontId="14" fillId="3" borderId="0" xfId="1" applyFont="1" applyFill="1" applyAlignment="1">
      <alignment horizontal="center"/>
    </xf>
    <xf numFmtId="0" fontId="14" fillId="7" borderId="0" xfId="1" applyFont="1" applyFill="1" applyAlignment="1">
      <alignment horizontal="center"/>
    </xf>
    <xf numFmtId="0" fontId="14" fillId="8" borderId="0" xfId="1" applyFont="1" applyFill="1" applyAlignment="1">
      <alignment horizontal="center"/>
    </xf>
    <xf numFmtId="0" fontId="14" fillId="0" borderId="0" xfId="1" applyFont="1" applyFill="1" applyAlignment="1">
      <alignment horizontal="center"/>
    </xf>
    <xf numFmtId="0" fontId="44" fillId="0" borderId="4" xfId="2" applyFont="1" applyBorder="1" applyAlignment="1">
      <alignment horizontal="center"/>
    </xf>
    <xf numFmtId="1" fontId="44" fillId="0" borderId="4" xfId="2" applyNumberFormat="1" applyFont="1" applyBorder="1" applyAlignment="1">
      <alignment horizontal="center"/>
    </xf>
    <xf numFmtId="1" fontId="44" fillId="0" borderId="5" xfId="2" applyNumberFormat="1" applyFont="1" applyBorder="1" applyAlignment="1">
      <alignment horizontal="center"/>
    </xf>
    <xf numFmtId="1" fontId="44" fillId="0" borderId="0" xfId="2" applyNumberFormat="1" applyFont="1" applyBorder="1" applyAlignment="1">
      <alignment horizontal="center"/>
    </xf>
    <xf numFmtId="2" fontId="44" fillId="0" borderId="0" xfId="2" applyNumberFormat="1" applyFont="1" applyBorder="1" applyAlignment="1">
      <alignment horizontal="center"/>
    </xf>
    <xf numFmtId="2" fontId="44" fillId="0" borderId="5" xfId="2" applyNumberFormat="1" applyFont="1" applyBorder="1" applyAlignment="1">
      <alignment horizontal="center"/>
    </xf>
    <xf numFmtId="0" fontId="14" fillId="0" borderId="0" xfId="4" applyFont="1"/>
    <xf numFmtId="0" fontId="44" fillId="0" borderId="6" xfId="2" applyFont="1" applyBorder="1" applyAlignment="1">
      <alignment horizontal="center"/>
    </xf>
    <xf numFmtId="1" fontId="44" fillId="0" borderId="6" xfId="2" applyNumberFormat="1" applyFont="1" applyBorder="1" applyAlignment="1">
      <alignment horizontal="center"/>
    </xf>
    <xf numFmtId="1" fontId="44" fillId="0" borderId="7" xfId="2" applyNumberFormat="1" applyFont="1" applyBorder="1" applyAlignment="1">
      <alignment horizontal="center"/>
    </xf>
    <xf numFmtId="1" fontId="44" fillId="0" borderId="14" xfId="2" applyNumberFormat="1" applyFont="1" applyBorder="1" applyAlignment="1">
      <alignment horizontal="center"/>
    </xf>
    <xf numFmtId="2" fontId="44" fillId="0" borderId="14" xfId="2" applyNumberFormat="1" applyFont="1" applyBorder="1" applyAlignment="1">
      <alignment horizontal="center"/>
    </xf>
    <xf numFmtId="2" fontId="44" fillId="0" borderId="7" xfId="2" applyNumberFormat="1" applyFont="1" applyBorder="1" applyAlignment="1">
      <alignment horizontal="center"/>
    </xf>
    <xf numFmtId="0" fontId="44" fillId="0" borderId="0" xfId="2" applyFont="1" applyBorder="1" applyAlignment="1">
      <alignment horizontal="center"/>
    </xf>
    <xf numFmtId="0" fontId="44" fillId="0" borderId="0" xfId="2" applyFont="1" applyBorder="1"/>
    <xf numFmtId="0" fontId="44" fillId="0" borderId="0" xfId="2" applyFont="1" applyAlignment="1">
      <alignment horizontal="center"/>
    </xf>
    <xf numFmtId="166" fontId="54" fillId="0" borderId="13" xfId="2" applyNumberFormat="1" applyFont="1" applyFill="1" applyBorder="1"/>
    <xf numFmtId="166" fontId="54" fillId="0" borderId="0" xfId="2" applyNumberFormat="1" applyFont="1" applyFill="1" applyBorder="1"/>
    <xf numFmtId="166" fontId="54" fillId="0" borderId="14" xfId="2" applyNumberFormat="1" applyFont="1" applyFill="1" applyBorder="1"/>
    <xf numFmtId="0" fontId="54" fillId="0" borderId="8" xfId="2" applyFont="1" applyFill="1" applyBorder="1"/>
    <xf numFmtId="0" fontId="54" fillId="0" borderId="9" xfId="2" applyFont="1" applyFill="1" applyBorder="1"/>
    <xf numFmtId="0" fontId="54" fillId="0" borderId="15" xfId="2" applyFont="1" applyFill="1" applyBorder="1"/>
    <xf numFmtId="166" fontId="54" fillId="0" borderId="8" xfId="2" applyNumberFormat="1" applyFont="1" applyFill="1" applyBorder="1"/>
    <xf numFmtId="166" fontId="54" fillId="0" borderId="9" xfId="2" applyNumberFormat="1" applyFont="1" applyFill="1" applyBorder="1"/>
    <xf numFmtId="166" fontId="54" fillId="0" borderId="15" xfId="2" applyNumberFormat="1" applyFont="1" applyFill="1" applyBorder="1"/>
    <xf numFmtId="0" fontId="44" fillId="0" borderId="10" xfId="2" applyFont="1" applyBorder="1"/>
    <xf numFmtId="0" fontId="44" fillId="0" borderId="11" xfId="2" applyFont="1" applyBorder="1"/>
    <xf numFmtId="0" fontId="44" fillId="0" borderId="1" xfId="2" applyFont="1" applyBorder="1"/>
    <xf numFmtId="0" fontId="14" fillId="17" borderId="0" xfId="1" applyFont="1" applyFill="1" applyAlignment="1">
      <alignment horizontal="center"/>
    </xf>
    <xf numFmtId="0" fontId="44" fillId="17" borderId="0" xfId="2" applyFont="1" applyFill="1"/>
    <xf numFmtId="0" fontId="22" fillId="2" borderId="6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</cellXfs>
  <cellStyles count="6">
    <cellStyle name="Hyperlink" xfId="5" builtinId="8"/>
    <cellStyle name="Normal" xfId="0" builtinId="0"/>
    <cellStyle name="Normal 2" xfId="2"/>
    <cellStyle name="Normal 2 2" xfId="1"/>
    <cellStyle name="Normal 3 2" xfId="4"/>
    <cellStyle name="Normal 4" xfId="3"/>
  </cellStyles>
  <dxfs count="13"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rgb="FFFFC000"/>
        </patternFill>
      </fill>
      <border>
        <vertical/>
        <horizontal/>
      </border>
    </dxf>
    <dxf>
      <border>
        <vertical/>
        <horizontal/>
      </border>
    </dxf>
  </dxfs>
  <tableStyles count="0" defaultTableStyle="TableStyleMedium2" defaultPivotStyle="PivotStyleLight16"/>
  <colors>
    <mruColors>
      <color rgb="FF4472C4"/>
      <color rgb="FFED7D31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0 - 2000</c:v>
                </c:pt>
                <c:pt idx="1">
                  <c:v>2000 - 4000</c:v>
                </c:pt>
                <c:pt idx="2">
                  <c:v>4000 - 6000</c:v>
                </c:pt>
                <c:pt idx="3">
                  <c:v>6000 - 8000</c:v>
                </c:pt>
                <c:pt idx="4">
                  <c:v>8000 - 10000</c:v>
                </c:pt>
                <c:pt idx="5">
                  <c:v>10000 - 12000</c:v>
                </c:pt>
                <c:pt idx="6">
                  <c:v>12000 - 14000</c:v>
                </c:pt>
                <c:pt idx="7">
                  <c:v>14000 - 16000</c:v>
                </c:pt>
                <c:pt idx="8">
                  <c:v>16000 - 18000</c:v>
                </c:pt>
                <c:pt idx="9">
                  <c:v>18000 - 20000</c:v>
                </c:pt>
                <c:pt idx="10">
                  <c:v>20000 - 22000</c:v>
                </c:pt>
                <c:pt idx="11">
                  <c:v>22000 - 24000</c:v>
                </c:pt>
                <c:pt idx="12">
                  <c:v>24000 - 26000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2.6666666666666668E-2</c:v>
                </c:pt>
                <c:pt idx="1">
                  <c:v>9.3333333333333338E-2</c:v>
                </c:pt>
                <c:pt idx="2">
                  <c:v>0.14666666666666667</c:v>
                </c:pt>
                <c:pt idx="3">
                  <c:v>0.13333333333333333</c:v>
                </c:pt>
                <c:pt idx="4">
                  <c:v>0.10666666666666667</c:v>
                </c:pt>
                <c:pt idx="5">
                  <c:v>0.13333333333333333</c:v>
                </c:pt>
                <c:pt idx="6">
                  <c:v>6.6666666666666666E-2</c:v>
                </c:pt>
                <c:pt idx="7">
                  <c:v>0.14666666666666667</c:v>
                </c:pt>
                <c:pt idx="8">
                  <c:v>2.6666666666666668E-2</c:v>
                </c:pt>
                <c:pt idx="9">
                  <c:v>9.3333333333333338E-2</c:v>
                </c:pt>
                <c:pt idx="10">
                  <c:v>1.3333333333333334E-2</c:v>
                </c:pt>
                <c:pt idx="11">
                  <c:v>1.3333333333333334E-2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0 - 2000</c:v>
                </c:pt>
                <c:pt idx="1">
                  <c:v>2000 - 4000</c:v>
                </c:pt>
                <c:pt idx="2">
                  <c:v>4000 - 6000</c:v>
                </c:pt>
                <c:pt idx="3">
                  <c:v>6000 - 8000</c:v>
                </c:pt>
                <c:pt idx="4">
                  <c:v>8000 - 10000</c:v>
                </c:pt>
                <c:pt idx="5">
                  <c:v>10000 - 12000</c:v>
                </c:pt>
                <c:pt idx="6">
                  <c:v>12000 - 14000</c:v>
                </c:pt>
                <c:pt idx="7">
                  <c:v>14000 - 16000</c:v>
                </c:pt>
                <c:pt idx="8">
                  <c:v>16000 - 18000</c:v>
                </c:pt>
                <c:pt idx="9">
                  <c:v>18000 - 20000</c:v>
                </c:pt>
                <c:pt idx="10">
                  <c:v>20000 - 22000</c:v>
                </c:pt>
                <c:pt idx="11">
                  <c:v>22000 - 24000</c:v>
                </c:pt>
                <c:pt idx="12">
                  <c:v>24000 - 26000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2.6666666666666668E-2</c:v>
                </c:pt>
                <c:pt idx="1">
                  <c:v>9.3333333333333338E-2</c:v>
                </c:pt>
                <c:pt idx="2">
                  <c:v>0.14666666666666667</c:v>
                </c:pt>
                <c:pt idx="3">
                  <c:v>0.13333333333333333</c:v>
                </c:pt>
                <c:pt idx="4">
                  <c:v>0.10666666666666667</c:v>
                </c:pt>
                <c:pt idx="5">
                  <c:v>0.13333333333333333</c:v>
                </c:pt>
                <c:pt idx="6">
                  <c:v>6.6666666666666666E-2</c:v>
                </c:pt>
                <c:pt idx="7">
                  <c:v>0.14666666666666667</c:v>
                </c:pt>
                <c:pt idx="8">
                  <c:v>2.6666666666666668E-2</c:v>
                </c:pt>
                <c:pt idx="9">
                  <c:v>9.3333333333333338E-2</c:v>
                </c:pt>
                <c:pt idx="10">
                  <c:v>1.3333333333333334E-2</c:v>
                </c:pt>
                <c:pt idx="11">
                  <c:v>1.3333333333333334E-2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0 - 2000</c:v>
                </c:pt>
                <c:pt idx="1">
                  <c:v>2000 - 4000</c:v>
                </c:pt>
                <c:pt idx="2">
                  <c:v>4000 - 6000</c:v>
                </c:pt>
                <c:pt idx="3">
                  <c:v>6000 - 8000</c:v>
                </c:pt>
                <c:pt idx="4">
                  <c:v>8000 - 10000</c:v>
                </c:pt>
                <c:pt idx="5">
                  <c:v>10000 - 12000</c:v>
                </c:pt>
                <c:pt idx="6">
                  <c:v>12000 - 14000</c:v>
                </c:pt>
                <c:pt idx="7">
                  <c:v>14000 - 16000</c:v>
                </c:pt>
                <c:pt idx="8">
                  <c:v>16000 - 18000</c:v>
                </c:pt>
                <c:pt idx="9">
                  <c:v>18000 - 20000</c:v>
                </c:pt>
                <c:pt idx="10">
                  <c:v>20000 - 22000</c:v>
                </c:pt>
                <c:pt idx="11">
                  <c:v>22000 - 24000</c:v>
                </c:pt>
                <c:pt idx="12">
                  <c:v>24000 - 26000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2.6666666666666668E-2</c:v>
                </c:pt>
                <c:pt idx="1">
                  <c:v>9.3333333333333338E-2</c:v>
                </c:pt>
                <c:pt idx="2">
                  <c:v>0.14666666666666667</c:v>
                </c:pt>
                <c:pt idx="3">
                  <c:v>0.13333333333333333</c:v>
                </c:pt>
                <c:pt idx="4">
                  <c:v>0.10666666666666667</c:v>
                </c:pt>
                <c:pt idx="5">
                  <c:v>0.13333333333333333</c:v>
                </c:pt>
                <c:pt idx="6">
                  <c:v>6.6666666666666666E-2</c:v>
                </c:pt>
                <c:pt idx="7">
                  <c:v>0.14666666666666667</c:v>
                </c:pt>
                <c:pt idx="8">
                  <c:v>2.6666666666666668E-2</c:v>
                </c:pt>
                <c:pt idx="9">
                  <c:v>9.3333333333333338E-2</c:v>
                </c:pt>
                <c:pt idx="10">
                  <c:v>1.3333333333333334E-2</c:v>
                </c:pt>
                <c:pt idx="11">
                  <c:v>1.3333333333333334E-2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5673</c:v>
                </c:pt>
                <c:pt idx="1">
                  <c:v>10089</c:v>
                </c:pt>
                <c:pt idx="2">
                  <c:v>3359</c:v>
                </c:pt>
                <c:pt idx="3">
                  <c:v>11048</c:v>
                </c:pt>
                <c:pt idx="4">
                  <c:v>9953</c:v>
                </c:pt>
                <c:pt idx="5">
                  <c:v>15394</c:v>
                </c:pt>
                <c:pt idx="6">
                  <c:v>2550</c:v>
                </c:pt>
                <c:pt idx="7">
                  <c:v>6418</c:v>
                </c:pt>
                <c:pt idx="8">
                  <c:v>18141</c:v>
                </c:pt>
                <c:pt idx="9">
                  <c:v>2648</c:v>
                </c:pt>
                <c:pt idx="10">
                  <c:v>7267</c:v>
                </c:pt>
                <c:pt idx="11">
                  <c:v>13114</c:v>
                </c:pt>
                <c:pt idx="12">
                  <c:v>15681</c:v>
                </c:pt>
                <c:pt idx="13">
                  <c:v>11992</c:v>
                </c:pt>
                <c:pt idx="14">
                  <c:v>11086</c:v>
                </c:pt>
                <c:pt idx="15">
                  <c:v>14267</c:v>
                </c:pt>
                <c:pt idx="16">
                  <c:v>4436</c:v>
                </c:pt>
                <c:pt idx="17">
                  <c:v>6851</c:v>
                </c:pt>
                <c:pt idx="18">
                  <c:v>5786</c:v>
                </c:pt>
                <c:pt idx="19">
                  <c:v>10452</c:v>
                </c:pt>
                <c:pt idx="20">
                  <c:v>1730</c:v>
                </c:pt>
                <c:pt idx="21">
                  <c:v>18063</c:v>
                </c:pt>
                <c:pt idx="22">
                  <c:v>10025</c:v>
                </c:pt>
                <c:pt idx="23">
                  <c:v>4071</c:v>
                </c:pt>
                <c:pt idx="24">
                  <c:v>17998</c:v>
                </c:pt>
                <c:pt idx="25">
                  <c:v>19229</c:v>
                </c:pt>
                <c:pt idx="26">
                  <c:v>21932</c:v>
                </c:pt>
                <c:pt idx="27">
                  <c:v>16974</c:v>
                </c:pt>
                <c:pt idx="28">
                  <c:v>15678</c:v>
                </c:pt>
                <c:pt idx="29">
                  <c:v>12263</c:v>
                </c:pt>
                <c:pt idx="30">
                  <c:v>13797</c:v>
                </c:pt>
                <c:pt idx="31">
                  <c:v>4308</c:v>
                </c:pt>
                <c:pt idx="32">
                  <c:v>13936</c:v>
                </c:pt>
                <c:pt idx="33">
                  <c:v>3222</c:v>
                </c:pt>
                <c:pt idx="34">
                  <c:v>10988</c:v>
                </c:pt>
                <c:pt idx="35">
                  <c:v>9894</c:v>
                </c:pt>
                <c:pt idx="36">
                  <c:v>1841</c:v>
                </c:pt>
                <c:pt idx="37">
                  <c:v>14686</c:v>
                </c:pt>
                <c:pt idx="38">
                  <c:v>14265</c:v>
                </c:pt>
                <c:pt idx="39">
                  <c:v>8499</c:v>
                </c:pt>
                <c:pt idx="40">
                  <c:v>3473</c:v>
                </c:pt>
                <c:pt idx="41">
                  <c:v>14252</c:v>
                </c:pt>
                <c:pt idx="42">
                  <c:v>11505</c:v>
                </c:pt>
                <c:pt idx="43">
                  <c:v>2931</c:v>
                </c:pt>
                <c:pt idx="44">
                  <c:v>5351</c:v>
                </c:pt>
                <c:pt idx="45">
                  <c:v>7282</c:v>
                </c:pt>
                <c:pt idx="46">
                  <c:v>7221</c:v>
                </c:pt>
                <c:pt idx="47">
                  <c:v>5307</c:v>
                </c:pt>
                <c:pt idx="48">
                  <c:v>15860</c:v>
                </c:pt>
                <c:pt idx="49">
                  <c:v>3236</c:v>
                </c:pt>
                <c:pt idx="50">
                  <c:v>7448</c:v>
                </c:pt>
                <c:pt idx="51">
                  <c:v>5545</c:v>
                </c:pt>
                <c:pt idx="52">
                  <c:v>22720</c:v>
                </c:pt>
                <c:pt idx="53">
                  <c:v>14966</c:v>
                </c:pt>
                <c:pt idx="54">
                  <c:v>10588</c:v>
                </c:pt>
                <c:pt idx="55">
                  <c:v>11592</c:v>
                </c:pt>
                <c:pt idx="56">
                  <c:v>6829</c:v>
                </c:pt>
                <c:pt idx="57">
                  <c:v>7666</c:v>
                </c:pt>
                <c:pt idx="58">
                  <c:v>9869</c:v>
                </c:pt>
                <c:pt idx="59">
                  <c:v>14590</c:v>
                </c:pt>
                <c:pt idx="60">
                  <c:v>19741</c:v>
                </c:pt>
                <c:pt idx="61">
                  <c:v>7776</c:v>
                </c:pt>
                <c:pt idx="62">
                  <c:v>9114</c:v>
                </c:pt>
                <c:pt idx="63">
                  <c:v>9681</c:v>
                </c:pt>
                <c:pt idx="64">
                  <c:v>8526</c:v>
                </c:pt>
                <c:pt idx="65">
                  <c:v>4225</c:v>
                </c:pt>
                <c:pt idx="66">
                  <c:v>8172</c:v>
                </c:pt>
                <c:pt idx="67">
                  <c:v>15586</c:v>
                </c:pt>
                <c:pt idx="68">
                  <c:v>7409</c:v>
                </c:pt>
                <c:pt idx="69">
                  <c:v>5970</c:v>
                </c:pt>
                <c:pt idx="70">
                  <c:v>12243</c:v>
                </c:pt>
                <c:pt idx="71">
                  <c:v>18061</c:v>
                </c:pt>
                <c:pt idx="72">
                  <c:v>19341</c:v>
                </c:pt>
                <c:pt idx="73">
                  <c:v>4402</c:v>
                </c:pt>
                <c:pt idx="74">
                  <c:v>18635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1730</c:v>
                </c:pt>
                <c:pt idx="1">
                  <c:v>1841</c:v>
                </c:pt>
                <c:pt idx="2">
                  <c:v>2550</c:v>
                </c:pt>
                <c:pt idx="3">
                  <c:v>2648</c:v>
                </c:pt>
                <c:pt idx="4">
                  <c:v>2931</c:v>
                </c:pt>
                <c:pt idx="5">
                  <c:v>3222</c:v>
                </c:pt>
                <c:pt idx="6">
                  <c:v>3359</c:v>
                </c:pt>
                <c:pt idx="7">
                  <c:v>3236</c:v>
                </c:pt>
                <c:pt idx="8">
                  <c:v>4308</c:v>
                </c:pt>
                <c:pt idx="9">
                  <c:v>3473</c:v>
                </c:pt>
                <c:pt idx="10">
                  <c:v>4071</c:v>
                </c:pt>
                <c:pt idx="11">
                  <c:v>4225</c:v>
                </c:pt>
                <c:pt idx="12">
                  <c:v>4436</c:v>
                </c:pt>
                <c:pt idx="13">
                  <c:v>5351</c:v>
                </c:pt>
                <c:pt idx="14">
                  <c:v>5673</c:v>
                </c:pt>
                <c:pt idx="15">
                  <c:v>4402</c:v>
                </c:pt>
                <c:pt idx="16">
                  <c:v>5545</c:v>
                </c:pt>
                <c:pt idx="17">
                  <c:v>5307</c:v>
                </c:pt>
                <c:pt idx="18">
                  <c:v>5786</c:v>
                </c:pt>
                <c:pt idx="19">
                  <c:v>5970</c:v>
                </c:pt>
                <c:pt idx="20">
                  <c:v>7221</c:v>
                </c:pt>
                <c:pt idx="21">
                  <c:v>6829</c:v>
                </c:pt>
                <c:pt idx="22">
                  <c:v>6851</c:v>
                </c:pt>
                <c:pt idx="23">
                  <c:v>7267</c:v>
                </c:pt>
                <c:pt idx="24">
                  <c:v>6418</c:v>
                </c:pt>
                <c:pt idx="25">
                  <c:v>7409</c:v>
                </c:pt>
                <c:pt idx="26">
                  <c:v>7282</c:v>
                </c:pt>
                <c:pt idx="27">
                  <c:v>8526</c:v>
                </c:pt>
                <c:pt idx="28">
                  <c:v>9114</c:v>
                </c:pt>
                <c:pt idx="29">
                  <c:v>7448</c:v>
                </c:pt>
                <c:pt idx="30">
                  <c:v>7776</c:v>
                </c:pt>
                <c:pt idx="31">
                  <c:v>7666</c:v>
                </c:pt>
                <c:pt idx="32">
                  <c:v>8172</c:v>
                </c:pt>
                <c:pt idx="33">
                  <c:v>8499</c:v>
                </c:pt>
                <c:pt idx="34">
                  <c:v>9681</c:v>
                </c:pt>
                <c:pt idx="35">
                  <c:v>10025</c:v>
                </c:pt>
                <c:pt idx="36">
                  <c:v>9869</c:v>
                </c:pt>
                <c:pt idx="37">
                  <c:v>9894</c:v>
                </c:pt>
                <c:pt idx="38">
                  <c:v>9953</c:v>
                </c:pt>
                <c:pt idx="39">
                  <c:v>10452</c:v>
                </c:pt>
                <c:pt idx="40">
                  <c:v>10089</c:v>
                </c:pt>
                <c:pt idx="41">
                  <c:v>11505</c:v>
                </c:pt>
                <c:pt idx="42">
                  <c:v>11048</c:v>
                </c:pt>
                <c:pt idx="43">
                  <c:v>11086</c:v>
                </c:pt>
                <c:pt idx="44">
                  <c:v>11592</c:v>
                </c:pt>
                <c:pt idx="45">
                  <c:v>11992</c:v>
                </c:pt>
                <c:pt idx="46">
                  <c:v>10588</c:v>
                </c:pt>
                <c:pt idx="47">
                  <c:v>10988</c:v>
                </c:pt>
                <c:pt idx="48">
                  <c:v>12263</c:v>
                </c:pt>
                <c:pt idx="49">
                  <c:v>12243</c:v>
                </c:pt>
                <c:pt idx="50">
                  <c:v>13114</c:v>
                </c:pt>
                <c:pt idx="51">
                  <c:v>14252</c:v>
                </c:pt>
                <c:pt idx="52">
                  <c:v>13936</c:v>
                </c:pt>
                <c:pt idx="53">
                  <c:v>13797</c:v>
                </c:pt>
                <c:pt idx="54">
                  <c:v>14265</c:v>
                </c:pt>
                <c:pt idx="55">
                  <c:v>14267</c:v>
                </c:pt>
                <c:pt idx="56">
                  <c:v>14686</c:v>
                </c:pt>
                <c:pt idx="57">
                  <c:v>15678</c:v>
                </c:pt>
                <c:pt idx="58">
                  <c:v>14590</c:v>
                </c:pt>
                <c:pt idx="59">
                  <c:v>14966</c:v>
                </c:pt>
                <c:pt idx="60">
                  <c:v>15394</c:v>
                </c:pt>
                <c:pt idx="61">
                  <c:v>15586</c:v>
                </c:pt>
                <c:pt idx="62">
                  <c:v>15860</c:v>
                </c:pt>
                <c:pt idx="63">
                  <c:v>15681</c:v>
                </c:pt>
                <c:pt idx="64">
                  <c:v>18063</c:v>
                </c:pt>
                <c:pt idx="65">
                  <c:v>17998</c:v>
                </c:pt>
                <c:pt idx="66">
                  <c:v>18061</c:v>
                </c:pt>
                <c:pt idx="67">
                  <c:v>16974</c:v>
                </c:pt>
                <c:pt idx="68">
                  <c:v>18141</c:v>
                </c:pt>
                <c:pt idx="69">
                  <c:v>18635</c:v>
                </c:pt>
                <c:pt idx="70">
                  <c:v>19341</c:v>
                </c:pt>
                <c:pt idx="71">
                  <c:v>22720</c:v>
                </c:pt>
                <c:pt idx="72">
                  <c:v>19229</c:v>
                </c:pt>
                <c:pt idx="73">
                  <c:v>19741</c:v>
                </c:pt>
                <c:pt idx="74">
                  <c:v>21932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1841</c:v>
                </c:pt>
                <c:pt idx="1">
                  <c:v>1730</c:v>
                </c:pt>
                <c:pt idx="2">
                  <c:v>2648</c:v>
                </c:pt>
                <c:pt idx="3">
                  <c:v>2550</c:v>
                </c:pt>
                <c:pt idx="4">
                  <c:v>3473</c:v>
                </c:pt>
                <c:pt idx="5">
                  <c:v>2931</c:v>
                </c:pt>
                <c:pt idx="6">
                  <c:v>3222</c:v>
                </c:pt>
                <c:pt idx="7">
                  <c:v>3359</c:v>
                </c:pt>
                <c:pt idx="8">
                  <c:v>4225</c:v>
                </c:pt>
                <c:pt idx="9">
                  <c:v>4308</c:v>
                </c:pt>
                <c:pt idx="10">
                  <c:v>3236</c:v>
                </c:pt>
                <c:pt idx="11">
                  <c:v>4071</c:v>
                </c:pt>
                <c:pt idx="12">
                  <c:v>4436</c:v>
                </c:pt>
                <c:pt idx="13">
                  <c:v>5351</c:v>
                </c:pt>
                <c:pt idx="14">
                  <c:v>5307</c:v>
                </c:pt>
                <c:pt idx="15">
                  <c:v>4402</c:v>
                </c:pt>
                <c:pt idx="16">
                  <c:v>5786</c:v>
                </c:pt>
                <c:pt idx="17">
                  <c:v>5673</c:v>
                </c:pt>
                <c:pt idx="18">
                  <c:v>6829</c:v>
                </c:pt>
                <c:pt idx="19">
                  <c:v>7282</c:v>
                </c:pt>
                <c:pt idx="20">
                  <c:v>5970</c:v>
                </c:pt>
                <c:pt idx="21">
                  <c:v>6418</c:v>
                </c:pt>
                <c:pt idx="22">
                  <c:v>6851</c:v>
                </c:pt>
                <c:pt idx="23">
                  <c:v>8172</c:v>
                </c:pt>
                <c:pt idx="24">
                  <c:v>7666</c:v>
                </c:pt>
                <c:pt idx="25">
                  <c:v>5545</c:v>
                </c:pt>
                <c:pt idx="26">
                  <c:v>7267</c:v>
                </c:pt>
                <c:pt idx="27">
                  <c:v>7409</c:v>
                </c:pt>
                <c:pt idx="28">
                  <c:v>8526</c:v>
                </c:pt>
                <c:pt idx="29">
                  <c:v>9114</c:v>
                </c:pt>
                <c:pt idx="30">
                  <c:v>7448</c:v>
                </c:pt>
                <c:pt idx="31">
                  <c:v>7776</c:v>
                </c:pt>
                <c:pt idx="32">
                  <c:v>9894</c:v>
                </c:pt>
                <c:pt idx="33">
                  <c:v>10452</c:v>
                </c:pt>
                <c:pt idx="34">
                  <c:v>11086</c:v>
                </c:pt>
                <c:pt idx="35">
                  <c:v>7221</c:v>
                </c:pt>
                <c:pt idx="36">
                  <c:v>10089</c:v>
                </c:pt>
                <c:pt idx="37">
                  <c:v>10025</c:v>
                </c:pt>
                <c:pt idx="38">
                  <c:v>11505</c:v>
                </c:pt>
                <c:pt idx="39">
                  <c:v>11048</c:v>
                </c:pt>
                <c:pt idx="40">
                  <c:v>8499</c:v>
                </c:pt>
                <c:pt idx="41">
                  <c:v>9869</c:v>
                </c:pt>
                <c:pt idx="42">
                  <c:v>9953</c:v>
                </c:pt>
                <c:pt idx="43">
                  <c:v>10588</c:v>
                </c:pt>
                <c:pt idx="44">
                  <c:v>15394</c:v>
                </c:pt>
                <c:pt idx="45">
                  <c:v>9681</c:v>
                </c:pt>
                <c:pt idx="46">
                  <c:v>13936</c:v>
                </c:pt>
                <c:pt idx="47">
                  <c:v>12243</c:v>
                </c:pt>
                <c:pt idx="48">
                  <c:v>11992</c:v>
                </c:pt>
                <c:pt idx="49">
                  <c:v>14966</c:v>
                </c:pt>
                <c:pt idx="50">
                  <c:v>11592</c:v>
                </c:pt>
                <c:pt idx="51">
                  <c:v>12263</c:v>
                </c:pt>
                <c:pt idx="52">
                  <c:v>13797</c:v>
                </c:pt>
                <c:pt idx="53">
                  <c:v>14252</c:v>
                </c:pt>
                <c:pt idx="54">
                  <c:v>18061</c:v>
                </c:pt>
                <c:pt idx="55">
                  <c:v>10988</c:v>
                </c:pt>
                <c:pt idx="56">
                  <c:v>14265</c:v>
                </c:pt>
                <c:pt idx="57">
                  <c:v>14686</c:v>
                </c:pt>
                <c:pt idx="58">
                  <c:v>15860</c:v>
                </c:pt>
                <c:pt idx="59">
                  <c:v>18141</c:v>
                </c:pt>
                <c:pt idx="60">
                  <c:v>13114</c:v>
                </c:pt>
                <c:pt idx="61">
                  <c:v>14267</c:v>
                </c:pt>
                <c:pt idx="62">
                  <c:v>16974</c:v>
                </c:pt>
                <c:pt idx="63">
                  <c:v>17998</c:v>
                </c:pt>
                <c:pt idx="64">
                  <c:v>19229</c:v>
                </c:pt>
                <c:pt idx="65">
                  <c:v>15678</c:v>
                </c:pt>
                <c:pt idx="66">
                  <c:v>15681</c:v>
                </c:pt>
                <c:pt idx="67">
                  <c:v>15586</c:v>
                </c:pt>
                <c:pt idx="68">
                  <c:v>19341</c:v>
                </c:pt>
                <c:pt idx="69">
                  <c:v>19741</c:v>
                </c:pt>
                <c:pt idx="70">
                  <c:v>14590</c:v>
                </c:pt>
                <c:pt idx="71">
                  <c:v>18063</c:v>
                </c:pt>
                <c:pt idx="72">
                  <c:v>18635</c:v>
                </c:pt>
                <c:pt idx="73">
                  <c:v>22720</c:v>
                </c:pt>
                <c:pt idx="74">
                  <c:v>21932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'1.AveMA-MAD-MSE-MAPE'!$E$2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'1.AveMA-MAD-MSE-MAPE'!$E$3:$E$14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13</c:v>
                </c:pt>
                <c:pt idx="3">
                  <c:v>10</c:v>
                </c:pt>
                <c:pt idx="4">
                  <c:v>10</c:v>
                </c:pt>
                <c:pt idx="5">
                  <c:v>18</c:v>
                </c:pt>
                <c:pt idx="6">
                  <c:v>19</c:v>
                </c:pt>
                <c:pt idx="7">
                  <c:v>44</c:v>
                </c:pt>
                <c:pt idx="8">
                  <c:v>36</c:v>
                </c:pt>
                <c:pt idx="9">
                  <c:v>56</c:v>
                </c:pt>
                <c:pt idx="10">
                  <c:v>49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3-42E8-8E95-880AA52828A4}"/>
            </c:ext>
          </c:extLst>
        </c:ser>
        <c:ser>
          <c:idx val="1"/>
          <c:order val="1"/>
          <c:tx>
            <c:strRef>
              <c:f>'1.AveMA-MAD-MSE-MAPE'!$G$2</c:f>
              <c:strCache>
                <c:ptCount val="1"/>
                <c:pt idx="0">
                  <c:v>1-P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'1.AveMA-MAD-MSE-MAPE'!$G$3:$G$14</c:f>
              <c:numCache>
                <c:formatCode>General</c:formatCode>
                <c:ptCount val="12"/>
                <c:pt idx="1">
                  <c:v>10</c:v>
                </c:pt>
                <c:pt idx="2">
                  <c:v>10</c:v>
                </c:pt>
                <c:pt idx="3">
                  <c:v>13</c:v>
                </c:pt>
                <c:pt idx="4">
                  <c:v>10</c:v>
                </c:pt>
                <c:pt idx="5">
                  <c:v>10</c:v>
                </c:pt>
                <c:pt idx="6">
                  <c:v>18</c:v>
                </c:pt>
                <c:pt idx="7">
                  <c:v>19</c:v>
                </c:pt>
                <c:pt idx="8">
                  <c:v>44</c:v>
                </c:pt>
                <c:pt idx="9">
                  <c:v>36</c:v>
                </c:pt>
                <c:pt idx="10">
                  <c:v>56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3-42E8-8E95-880AA52828A4}"/>
            </c:ext>
          </c:extLst>
        </c:ser>
        <c:ser>
          <c:idx val="2"/>
          <c:order val="2"/>
          <c:tx>
            <c:strRef>
              <c:f>'1.AveMA-MAD-MSE-MAPE'!$F$2</c:f>
              <c:strCache>
                <c:ptCount val="1"/>
                <c:pt idx="0">
                  <c:v>Ave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'1.AveMA-MAD-MSE-MAPE'!$F$3:$F$14</c:f>
              <c:numCache>
                <c:formatCode>0.00</c:formatCode>
                <c:ptCount val="12"/>
                <c:pt idx="0">
                  <c:v>29.166666666666668</c:v>
                </c:pt>
                <c:pt idx="1">
                  <c:v>29.166666666666668</c:v>
                </c:pt>
                <c:pt idx="2">
                  <c:v>29.166666666666668</c:v>
                </c:pt>
                <c:pt idx="3">
                  <c:v>29.166666666666668</c:v>
                </c:pt>
                <c:pt idx="4">
                  <c:v>29.166666666666668</c:v>
                </c:pt>
                <c:pt idx="5">
                  <c:v>29.166666666666668</c:v>
                </c:pt>
                <c:pt idx="6">
                  <c:v>29.166666666666668</c:v>
                </c:pt>
                <c:pt idx="7">
                  <c:v>29.166666666666668</c:v>
                </c:pt>
                <c:pt idx="8">
                  <c:v>29.166666666666668</c:v>
                </c:pt>
                <c:pt idx="9">
                  <c:v>29.166666666666668</c:v>
                </c:pt>
                <c:pt idx="10">
                  <c:v>29.166666666666668</c:v>
                </c:pt>
                <c:pt idx="11">
                  <c:v>29.166666666666668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3-42E8-8E95-880AA5282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285568"/>
        <c:axId val="808287864"/>
      </c:lineChart>
      <c:catAx>
        <c:axId val="808285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87864"/>
        <c:crosses val="autoZero"/>
        <c:auto val="1"/>
        <c:lblAlgn val="ctr"/>
        <c:lblOffset val="100"/>
        <c:noMultiLvlLbl val="0"/>
      </c:catAx>
      <c:valAx>
        <c:axId val="80828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8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'1c.DenMA-TS (2)'!$M$1</c:f>
          <c:strCache>
            <c:ptCount val="1"/>
            <c:pt idx="0">
              <c:v>6-Period MA: F (31) = Mean: 17346, CV 0.41</c:v>
            </c:pt>
          </c:strCache>
        </c:strRef>
      </c:tx>
      <c:layout>
        <c:manualLayout>
          <c:xMode val="edge"/>
          <c:yMode val="edge"/>
          <c:x val="0.17078456823910323"/>
          <c:y val="2.7579197558432206E-2"/>
        </c:manualLayout>
      </c:layout>
      <c:overlay val="0"/>
      <c:txPr>
        <a:bodyPr/>
        <a:lstStyle/>
        <a:p>
          <a:pPr>
            <a:defRPr sz="1400">
              <a:latin typeface="Book Antiqua" panose="0204060205030503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'1c.DenMA-TS (2)'!$C$2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'1c.DenMA-TS (2)'!$A$3:$A$33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'1c.DenMA-TS (2)'!$C$3:$C$33</c:f>
              <c:numCache>
                <c:formatCode>0</c:formatCode>
                <c:ptCount val="31"/>
                <c:pt idx="0">
                  <c:v>5673</c:v>
                </c:pt>
                <c:pt idx="1">
                  <c:v>10089</c:v>
                </c:pt>
                <c:pt idx="2">
                  <c:v>3359</c:v>
                </c:pt>
                <c:pt idx="3">
                  <c:v>11048</c:v>
                </c:pt>
                <c:pt idx="4">
                  <c:v>9953</c:v>
                </c:pt>
                <c:pt idx="5">
                  <c:v>15394</c:v>
                </c:pt>
                <c:pt idx="6">
                  <c:v>2550</c:v>
                </c:pt>
                <c:pt idx="7">
                  <c:v>6418</c:v>
                </c:pt>
                <c:pt idx="8">
                  <c:v>18141</c:v>
                </c:pt>
                <c:pt idx="9">
                  <c:v>2648</c:v>
                </c:pt>
                <c:pt idx="10">
                  <c:v>7267</c:v>
                </c:pt>
                <c:pt idx="11">
                  <c:v>13114</c:v>
                </c:pt>
                <c:pt idx="12">
                  <c:v>15681</c:v>
                </c:pt>
                <c:pt idx="13">
                  <c:v>11992</c:v>
                </c:pt>
                <c:pt idx="14">
                  <c:v>11086</c:v>
                </c:pt>
                <c:pt idx="15">
                  <c:v>14267</c:v>
                </c:pt>
                <c:pt idx="16">
                  <c:v>4436</c:v>
                </c:pt>
                <c:pt idx="17">
                  <c:v>6851</c:v>
                </c:pt>
                <c:pt idx="18">
                  <c:v>5786</c:v>
                </c:pt>
                <c:pt idx="19">
                  <c:v>10452</c:v>
                </c:pt>
                <c:pt idx="20">
                  <c:v>1730</c:v>
                </c:pt>
                <c:pt idx="21">
                  <c:v>18063</c:v>
                </c:pt>
                <c:pt idx="22">
                  <c:v>10025</c:v>
                </c:pt>
                <c:pt idx="23">
                  <c:v>4071</c:v>
                </c:pt>
                <c:pt idx="24">
                  <c:v>17998</c:v>
                </c:pt>
                <c:pt idx="25">
                  <c:v>19229</c:v>
                </c:pt>
                <c:pt idx="26">
                  <c:v>21932</c:v>
                </c:pt>
                <c:pt idx="27">
                  <c:v>16974</c:v>
                </c:pt>
                <c:pt idx="28">
                  <c:v>15678</c:v>
                </c:pt>
                <c:pt idx="29">
                  <c:v>12263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34-485C-9DEB-A51927C0F6B9}"/>
            </c:ext>
          </c:extLst>
        </c:ser>
        <c:ser>
          <c:idx val="1"/>
          <c:order val="1"/>
          <c:tx>
            <c:strRef>
              <c:f>'1c.DenMA-TS (2)'!$E$2</c:f>
              <c:strCache>
                <c:ptCount val="1"/>
                <c:pt idx="0">
                  <c:v>F(MA)</c:v>
                </c:pt>
              </c:strCache>
            </c:strRef>
          </c:tx>
          <c:xVal>
            <c:numRef>
              <c:f>'1c.DenMA-TS (2)'!$A$3:$A$33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'1c.DenMA-TS (2)'!$E$3:$E$33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9252.6666666666661</c:v>
                </c:pt>
                <c:pt idx="7">
                  <c:v>8732.1666666666661</c:v>
                </c:pt>
                <c:pt idx="8">
                  <c:v>8120.333333333333</c:v>
                </c:pt>
                <c:pt idx="9">
                  <c:v>10584</c:v>
                </c:pt>
                <c:pt idx="10">
                  <c:v>9184</c:v>
                </c:pt>
                <c:pt idx="11">
                  <c:v>8736.3333333333339</c:v>
                </c:pt>
                <c:pt idx="12">
                  <c:v>8356.3333333333339</c:v>
                </c:pt>
                <c:pt idx="13">
                  <c:v>10544.833333333334</c:v>
                </c:pt>
                <c:pt idx="14">
                  <c:v>11473.833333333334</c:v>
                </c:pt>
                <c:pt idx="15">
                  <c:v>10298</c:v>
                </c:pt>
                <c:pt idx="16">
                  <c:v>12234.5</c:v>
                </c:pt>
                <c:pt idx="17">
                  <c:v>11762.666666666666</c:v>
                </c:pt>
                <c:pt idx="18">
                  <c:v>10718.833333333332</c:v>
                </c:pt>
                <c:pt idx="19">
                  <c:v>9069.6666666666661</c:v>
                </c:pt>
                <c:pt idx="20">
                  <c:v>8813</c:v>
                </c:pt>
                <c:pt idx="21">
                  <c:v>7253.666666666667</c:v>
                </c:pt>
                <c:pt idx="22">
                  <c:v>7886.3333333333339</c:v>
                </c:pt>
                <c:pt idx="23">
                  <c:v>8817.8333333333339</c:v>
                </c:pt>
                <c:pt idx="24">
                  <c:v>8354.5</c:v>
                </c:pt>
                <c:pt idx="25">
                  <c:v>10389.833333333334</c:v>
                </c:pt>
                <c:pt idx="26">
                  <c:v>11852.666666666668</c:v>
                </c:pt>
                <c:pt idx="27">
                  <c:v>15219.666666666668</c:v>
                </c:pt>
                <c:pt idx="28">
                  <c:v>15038.166666666668</c:v>
                </c:pt>
                <c:pt idx="29">
                  <c:v>15980.333333333334</c:v>
                </c:pt>
                <c:pt idx="30">
                  <c:v>17345.666666666668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34-485C-9DEB-A51927C0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3640"/>
        <c:axId val="663234032"/>
      </c:scatterChart>
      <c:valAx>
        <c:axId val="663233640"/>
        <c:scaling>
          <c:orientation val="minMax"/>
          <c:max val="30"/>
        </c:scaling>
        <c:delete val="0"/>
        <c:axPos val="b"/>
        <c:numFmt formatCode="General" sourceLinked="1"/>
        <c:majorTickMark val="out"/>
        <c:minorTickMark val="none"/>
        <c:tickLblPos val="nextTo"/>
        <c:crossAx val="663234032"/>
        <c:crosses val="autoZero"/>
        <c:crossBetween val="midCat"/>
      </c:valAx>
      <c:valAx>
        <c:axId val="663234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3640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>
              <a:latin typeface="Book Antiqua" panose="0204060205030503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'1c.DenMA-TS (2)'!$I$3:$I$32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-2</c:v>
                </c:pt>
                <c:pt idx="8">
                  <c:v>0.15818778726198332</c:v>
                </c:pt>
                <c:pt idx="9">
                  <c:v>-1.0279966139606154</c:v>
                </c:pt>
                <c:pt idx="10">
                  <c:v>-1.5315011278217172</c:v>
                </c:pt>
                <c:pt idx="11">
                  <c:v>-0.8064466031090779</c:v>
                </c:pt>
                <c:pt idx="12">
                  <c:v>0.49201213678933498</c:v>
                </c:pt>
                <c:pt idx="13">
                  <c:v>0.81833174754202376</c:v>
                </c:pt>
                <c:pt idx="14">
                  <c:v>0.82993868019028394</c:v>
                </c:pt>
                <c:pt idx="15">
                  <c:v>1.6987150703532212</c:v>
                </c:pt>
                <c:pt idx="16">
                  <c:v>1.6846468945665681E-2</c:v>
                </c:pt>
                <c:pt idx="17">
                  <c:v>-0.98032381951376313</c:v>
                </c:pt>
                <c:pt idx="18">
                  <c:v>-1.9815713657385114</c:v>
                </c:pt>
                <c:pt idx="19">
                  <c:v>-1.7930976503886293</c:v>
                </c:pt>
                <c:pt idx="20">
                  <c:v>-3.1988410021354801</c:v>
                </c:pt>
                <c:pt idx="21">
                  <c:v>-0.89354594138275245</c:v>
                </c:pt>
                <c:pt idx="22">
                  <c:v>-0.50016675800974797</c:v>
                </c:pt>
                <c:pt idx="23">
                  <c:v>-1.4489800443458982</c:v>
                </c:pt>
                <c:pt idx="24">
                  <c:v>0.45338454681576673</c:v>
                </c:pt>
                <c:pt idx="25">
                  <c:v>2.0650333693198548</c:v>
                </c:pt>
                <c:pt idx="26">
                  <c:v>3.7665330661322649</c:v>
                </c:pt>
                <c:pt idx="27">
                  <c:v>4.208702001665058</c:v>
                </c:pt>
                <c:pt idx="28">
                  <c:v>4.4982343724421794</c:v>
                </c:pt>
                <c:pt idx="29">
                  <c:v>3.8396297052617245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6-442C-9E18-EA712F5C6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34816"/>
        <c:axId val="663235208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'1c.DenMA-TS (2)'!$X$1:$X$30</c:f>
              <c:numCache>
                <c:formatCode>0</c:formatCode>
                <c:ptCount val="3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6-442C-9E18-EA712F5C683E}"/>
            </c:ext>
          </c:extLst>
        </c:ser>
        <c:ser>
          <c:idx val="2"/>
          <c:order val="2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'1c.DenMA-TS (2)'!$Y$1:$Y$30</c:f>
              <c:numCache>
                <c:formatCode>0</c:formatCode>
                <c:ptCount val="30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-4</c:v>
                </c:pt>
                <c:pt idx="20">
                  <c:v>-4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-4</c:v>
                </c:pt>
                <c:pt idx="29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B6-442C-9E18-EA712F5C683E}"/>
            </c:ext>
          </c:extLst>
        </c:ser>
        <c:ser>
          <c:idx val="3"/>
          <c:order val="3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'1c.DenMA-TS (2)'!$W$1:$W$30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B6-442C-9E18-EA712F5C6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35992"/>
        <c:axId val="663235600"/>
      </c:lineChart>
      <c:catAx>
        <c:axId val="663234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663235208"/>
        <c:crosses val="autoZero"/>
        <c:auto val="1"/>
        <c:lblAlgn val="ctr"/>
        <c:lblOffset val="100"/>
        <c:noMultiLvlLbl val="0"/>
      </c:catAx>
      <c:valAx>
        <c:axId val="66323520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663234816"/>
        <c:crosses val="autoZero"/>
        <c:crossBetween val="between"/>
      </c:valAx>
      <c:valAx>
        <c:axId val="66323560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5992"/>
        <c:crosses val="max"/>
        <c:crossBetween val="between"/>
      </c:valAx>
      <c:catAx>
        <c:axId val="663235992"/>
        <c:scaling>
          <c:orientation val="minMax"/>
        </c:scaling>
        <c:delete val="1"/>
        <c:axPos val="b"/>
        <c:majorTickMark val="out"/>
        <c:minorTickMark val="none"/>
        <c:tickLblPos val="nextTo"/>
        <c:crossAx val="6632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'1c.DenMA-TS (2)'!$A$12:$A$32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xVal>
          <c:yVal>
            <c:numRef>
              <c:f>'1c.DenMA-TS (2)'!$I$12:$I$32</c:f>
              <c:numCache>
                <c:formatCode>0.00</c:formatCode>
                <c:ptCount val="21"/>
                <c:pt idx="0">
                  <c:v>-1.0279966139606154</c:v>
                </c:pt>
                <c:pt idx="1">
                  <c:v>-1.5315011278217172</c:v>
                </c:pt>
                <c:pt idx="2">
                  <c:v>-0.8064466031090779</c:v>
                </c:pt>
                <c:pt idx="3">
                  <c:v>0.49201213678933498</c:v>
                </c:pt>
                <c:pt idx="4">
                  <c:v>0.81833174754202376</c:v>
                </c:pt>
                <c:pt idx="5">
                  <c:v>0.82993868019028394</c:v>
                </c:pt>
                <c:pt idx="6">
                  <c:v>1.6987150703532212</c:v>
                </c:pt>
                <c:pt idx="7">
                  <c:v>1.6846468945665681E-2</c:v>
                </c:pt>
                <c:pt idx="8">
                  <c:v>-0.98032381951376313</c:v>
                </c:pt>
                <c:pt idx="9">
                  <c:v>-1.9815713657385114</c:v>
                </c:pt>
                <c:pt idx="10">
                  <c:v>-1.7930976503886293</c:v>
                </c:pt>
                <c:pt idx="11">
                  <c:v>-3.1988410021354801</c:v>
                </c:pt>
                <c:pt idx="12">
                  <c:v>-0.89354594138275245</c:v>
                </c:pt>
                <c:pt idx="13">
                  <c:v>-0.50016675800974797</c:v>
                </c:pt>
                <c:pt idx="14">
                  <c:v>-1.4489800443458982</c:v>
                </c:pt>
                <c:pt idx="15">
                  <c:v>0.45338454681576673</c:v>
                </c:pt>
                <c:pt idx="16">
                  <c:v>2.0650333693198548</c:v>
                </c:pt>
                <c:pt idx="17">
                  <c:v>3.7665330661322649</c:v>
                </c:pt>
                <c:pt idx="18">
                  <c:v>4.208702001665058</c:v>
                </c:pt>
                <c:pt idx="19">
                  <c:v>4.4982343724421794</c:v>
                </c:pt>
                <c:pt idx="20">
                  <c:v>3.8396297052617245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FD-48EB-BF3F-94978EA66395}"/>
            </c:ext>
          </c:extLst>
        </c:ser>
        <c:ser>
          <c:idx val="1"/>
          <c:order val="1"/>
          <c:tx>
            <c:v>Zero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'1c.DenMA-TS (2)'!$AC$25:$AC$26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'1c.DenMA-TS (2)'!$AD$25:$AD$26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FD-48EB-BF3F-94978EA66395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'1c.DenMA-TS (2)'!$AC$25:$AC$26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'1c.DenMA-TS (2)'!$AE$25:$AE$26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FD-48EB-BF3F-94978EA66395}"/>
            </c:ext>
          </c:extLst>
        </c:ser>
        <c:ser>
          <c:idx val="3"/>
          <c:order val="3"/>
          <c:tx>
            <c:v>UCL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'1c.DenMA-TS (2)'!$AC$25:$AC$26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'1c.DenMA-TS (2)'!$AF$25:$AF$26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FD-48EB-BF3F-94978EA66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632296"/>
        <c:axId val="574631968"/>
      </c:scatterChart>
      <c:valAx>
        <c:axId val="574632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631968"/>
        <c:crosses val="autoZero"/>
        <c:crossBetween val="midCat"/>
      </c:valAx>
      <c:valAx>
        <c:axId val="57463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632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'1c.DenMA-TS'!$M$1</c:f>
          <c:strCache>
            <c:ptCount val="1"/>
            <c:pt idx="0">
              <c:v>4-Period MA: F (31) = Mean: 16712, CV 0.34</c:v>
            </c:pt>
          </c:strCache>
        </c:strRef>
      </c:tx>
      <c:layout>
        <c:manualLayout>
          <c:xMode val="edge"/>
          <c:yMode val="edge"/>
          <c:x val="0.17078456823910323"/>
          <c:y val="2.7579197558432206E-2"/>
        </c:manualLayout>
      </c:layout>
      <c:overlay val="0"/>
      <c:txPr>
        <a:bodyPr/>
        <a:lstStyle/>
        <a:p>
          <a:pPr>
            <a:defRPr sz="1400">
              <a:latin typeface="Book Antiqua" panose="0204060205030503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'1c.DenMA-TS'!$C$2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'1c.DenMA-TS'!$A$3:$A$33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'1c.DenMA-TS'!$C$3:$C$33</c:f>
              <c:numCache>
                <c:formatCode>0</c:formatCode>
                <c:ptCount val="31"/>
                <c:pt idx="0">
                  <c:v>5673</c:v>
                </c:pt>
                <c:pt idx="1">
                  <c:v>10089</c:v>
                </c:pt>
                <c:pt idx="2">
                  <c:v>3359</c:v>
                </c:pt>
                <c:pt idx="3">
                  <c:v>11048</c:v>
                </c:pt>
                <c:pt idx="4">
                  <c:v>9953</c:v>
                </c:pt>
                <c:pt idx="5">
                  <c:v>15394</c:v>
                </c:pt>
                <c:pt idx="6">
                  <c:v>2550</c:v>
                </c:pt>
                <c:pt idx="7">
                  <c:v>6418</c:v>
                </c:pt>
                <c:pt idx="8">
                  <c:v>18141</c:v>
                </c:pt>
                <c:pt idx="9">
                  <c:v>2648</c:v>
                </c:pt>
                <c:pt idx="10">
                  <c:v>7267</c:v>
                </c:pt>
                <c:pt idx="11">
                  <c:v>13114</c:v>
                </c:pt>
                <c:pt idx="12">
                  <c:v>15681</c:v>
                </c:pt>
                <c:pt idx="13">
                  <c:v>11992</c:v>
                </c:pt>
                <c:pt idx="14">
                  <c:v>11086</c:v>
                </c:pt>
                <c:pt idx="15">
                  <c:v>14267</c:v>
                </c:pt>
                <c:pt idx="16">
                  <c:v>4436</c:v>
                </c:pt>
                <c:pt idx="17">
                  <c:v>6851</c:v>
                </c:pt>
                <c:pt idx="18">
                  <c:v>5786</c:v>
                </c:pt>
                <c:pt idx="19">
                  <c:v>10452</c:v>
                </c:pt>
                <c:pt idx="20">
                  <c:v>1730</c:v>
                </c:pt>
                <c:pt idx="21">
                  <c:v>18063</c:v>
                </c:pt>
                <c:pt idx="22">
                  <c:v>10025</c:v>
                </c:pt>
                <c:pt idx="23">
                  <c:v>4071</c:v>
                </c:pt>
                <c:pt idx="24">
                  <c:v>17998</c:v>
                </c:pt>
                <c:pt idx="25">
                  <c:v>19229</c:v>
                </c:pt>
                <c:pt idx="26">
                  <c:v>21932</c:v>
                </c:pt>
                <c:pt idx="27">
                  <c:v>16974</c:v>
                </c:pt>
                <c:pt idx="28">
                  <c:v>15678</c:v>
                </c:pt>
                <c:pt idx="29">
                  <c:v>12263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16-44C3-9464-33B304EA9A1D}"/>
            </c:ext>
          </c:extLst>
        </c:ser>
        <c:ser>
          <c:idx val="1"/>
          <c:order val="1"/>
          <c:tx>
            <c:strRef>
              <c:f>'1c.DenMA-TS'!$E$2</c:f>
              <c:strCache>
                <c:ptCount val="1"/>
                <c:pt idx="0">
                  <c:v>F(MA)</c:v>
                </c:pt>
              </c:strCache>
            </c:strRef>
          </c:tx>
          <c:xVal>
            <c:numRef>
              <c:f>'1c.DenMA-TS'!$A$3:$A$33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xVal>
          <c:yVal>
            <c:numRef>
              <c:f>'1c.DenMA-TS'!$E$3:$E$33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7542.25</c:v>
                </c:pt>
                <c:pt idx="5">
                  <c:v>8612.25</c:v>
                </c:pt>
                <c:pt idx="6">
                  <c:v>9938.5</c:v>
                </c:pt>
                <c:pt idx="7">
                  <c:v>9736.25</c:v>
                </c:pt>
                <c:pt idx="8">
                  <c:v>8578.75</c:v>
                </c:pt>
                <c:pt idx="9">
                  <c:v>10625.75</c:v>
                </c:pt>
                <c:pt idx="10">
                  <c:v>7439.25</c:v>
                </c:pt>
                <c:pt idx="11">
                  <c:v>8618.5</c:v>
                </c:pt>
                <c:pt idx="12">
                  <c:v>10292.5</c:v>
                </c:pt>
                <c:pt idx="13">
                  <c:v>9677.5</c:v>
                </c:pt>
                <c:pt idx="14">
                  <c:v>12013.5</c:v>
                </c:pt>
                <c:pt idx="15">
                  <c:v>12968.25</c:v>
                </c:pt>
                <c:pt idx="16">
                  <c:v>13256.5</c:v>
                </c:pt>
                <c:pt idx="17">
                  <c:v>10445.25</c:v>
                </c:pt>
                <c:pt idx="18">
                  <c:v>9160</c:v>
                </c:pt>
                <c:pt idx="19">
                  <c:v>7835</c:v>
                </c:pt>
                <c:pt idx="20">
                  <c:v>6881.25</c:v>
                </c:pt>
                <c:pt idx="21">
                  <c:v>6204.75</c:v>
                </c:pt>
                <c:pt idx="22">
                  <c:v>9007.75</c:v>
                </c:pt>
                <c:pt idx="23">
                  <c:v>10067.5</c:v>
                </c:pt>
                <c:pt idx="24">
                  <c:v>8472.25</c:v>
                </c:pt>
                <c:pt idx="25">
                  <c:v>12539.25</c:v>
                </c:pt>
                <c:pt idx="26">
                  <c:v>12830.75</c:v>
                </c:pt>
                <c:pt idx="27">
                  <c:v>15807.5</c:v>
                </c:pt>
                <c:pt idx="28">
                  <c:v>19033.25</c:v>
                </c:pt>
                <c:pt idx="29">
                  <c:v>18453.25</c:v>
                </c:pt>
                <c:pt idx="30">
                  <c:v>16711.75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16-44C3-9464-33B304EA9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3640"/>
        <c:axId val="663234032"/>
      </c:scatterChart>
      <c:valAx>
        <c:axId val="663233640"/>
        <c:scaling>
          <c:orientation val="minMax"/>
          <c:max val="30"/>
        </c:scaling>
        <c:delete val="0"/>
        <c:axPos val="b"/>
        <c:numFmt formatCode="General" sourceLinked="1"/>
        <c:majorTickMark val="out"/>
        <c:minorTickMark val="none"/>
        <c:tickLblPos val="nextTo"/>
        <c:crossAx val="663234032"/>
        <c:crosses val="autoZero"/>
        <c:crossBetween val="midCat"/>
      </c:valAx>
      <c:valAx>
        <c:axId val="663234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3640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>
              <a:latin typeface="Book Antiqua" panose="0204060205030503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'1c.DenMA-TS'!$I$3:$I$32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0.32639768409625475</c:v>
                </c:pt>
                <c:pt idx="7">
                  <c:v>-0.30438333103006393</c:v>
                </c:pt>
                <c:pt idx="8">
                  <c:v>1.3658503470631163</c:v>
                </c:pt>
                <c:pt idx="9">
                  <c:v>1.1258238346120716E-2</c:v>
                </c:pt>
                <c:pt idx="10">
                  <c:v>-1.8983555561463913E-2</c:v>
                </c:pt>
                <c:pt idx="11">
                  <c:v>0.83473056736409623</c:v>
                </c:pt>
                <c:pt idx="12">
                  <c:v>1.8536071838384691</c:v>
                </c:pt>
                <c:pt idx="13">
                  <c:v>2.428528407950211</c:v>
                </c:pt>
                <c:pt idx="14">
                  <c:v>2.4214634146341463</c:v>
                </c:pt>
                <c:pt idx="15">
                  <c:v>2.8751687525523071</c:v>
                </c:pt>
                <c:pt idx="16">
                  <c:v>0.77911242384780643</c:v>
                </c:pt>
                <c:pt idx="17">
                  <c:v>1.1512621991900824E-2</c:v>
                </c:pt>
                <c:pt idx="18">
                  <c:v>-0.73446369332841865</c:v>
                </c:pt>
                <c:pt idx="19">
                  <c:v>-0.15990460236790552</c:v>
                </c:pt>
                <c:pt idx="20">
                  <c:v>-1.3167743151670288</c:v>
                </c:pt>
                <c:pt idx="21">
                  <c:v>1.235587725767997</c:v>
                </c:pt>
                <c:pt idx="22">
                  <c:v>1.5077046979865771</c:v>
                </c:pt>
                <c:pt idx="23">
                  <c:v>0.21674636969679328</c:v>
                </c:pt>
                <c:pt idx="24">
                  <c:v>2.1303718591031919</c:v>
                </c:pt>
                <c:pt idx="25">
                  <c:v>3.4266437478965401</c:v>
                </c:pt>
                <c:pt idx="26">
                  <c:v>5.0577841411898277</c:v>
                </c:pt>
                <c:pt idx="27">
                  <c:v>5.4582570267510553</c:v>
                </c:pt>
                <c:pt idx="28">
                  <c:v>4.8574057500276542</c:v>
                </c:pt>
                <c:pt idx="29">
                  <c:v>3.5787009364415221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3-42ED-9E3C-77F154657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34816"/>
        <c:axId val="663235208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'1c.DenMA-TS'!$X$1:$X$30</c:f>
              <c:numCache>
                <c:formatCode>0</c:formatCode>
                <c:ptCount val="3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83-42ED-9E3C-77F154657F4F}"/>
            </c:ext>
          </c:extLst>
        </c:ser>
        <c:ser>
          <c:idx val="2"/>
          <c:order val="2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'1c.DenMA-TS'!$Y$1:$Y$30</c:f>
              <c:numCache>
                <c:formatCode>0</c:formatCode>
                <c:ptCount val="30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-4</c:v>
                </c:pt>
                <c:pt idx="20">
                  <c:v>-4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-4</c:v>
                </c:pt>
                <c:pt idx="29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83-42ED-9E3C-77F154657F4F}"/>
            </c:ext>
          </c:extLst>
        </c:ser>
        <c:ser>
          <c:idx val="3"/>
          <c:order val="3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'1c.DenMA-TS'!$W$1:$W$30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83-42ED-9E3C-77F154657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235992"/>
        <c:axId val="663235600"/>
      </c:lineChart>
      <c:catAx>
        <c:axId val="663234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663235208"/>
        <c:crosses val="autoZero"/>
        <c:auto val="1"/>
        <c:lblAlgn val="ctr"/>
        <c:lblOffset val="100"/>
        <c:noMultiLvlLbl val="0"/>
      </c:catAx>
      <c:valAx>
        <c:axId val="66323520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663234816"/>
        <c:crosses val="autoZero"/>
        <c:crossBetween val="between"/>
      </c:valAx>
      <c:valAx>
        <c:axId val="66323560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5992"/>
        <c:crosses val="max"/>
        <c:crossBetween val="between"/>
      </c:valAx>
      <c:catAx>
        <c:axId val="663235992"/>
        <c:scaling>
          <c:orientation val="minMax"/>
        </c:scaling>
        <c:delete val="1"/>
        <c:axPos val="b"/>
        <c:majorTickMark val="out"/>
        <c:minorTickMark val="none"/>
        <c:tickLblPos val="nextTo"/>
        <c:crossAx val="6632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'1c.DenMA-TS'!$A$12:$A$32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xVal>
          <c:yVal>
            <c:numRef>
              <c:f>'1c.DenMA-TS'!$I$12:$I$32</c:f>
              <c:numCache>
                <c:formatCode>0.00</c:formatCode>
                <c:ptCount val="21"/>
                <c:pt idx="0">
                  <c:v>1.1258238346120716E-2</c:v>
                </c:pt>
                <c:pt idx="1">
                  <c:v>-1.8983555561463913E-2</c:v>
                </c:pt>
                <c:pt idx="2">
                  <c:v>0.83473056736409623</c:v>
                </c:pt>
                <c:pt idx="3">
                  <c:v>1.8536071838384691</c:v>
                </c:pt>
                <c:pt idx="4">
                  <c:v>2.428528407950211</c:v>
                </c:pt>
                <c:pt idx="5">
                  <c:v>2.4214634146341463</c:v>
                </c:pt>
                <c:pt idx="6">
                  <c:v>2.8751687525523071</c:v>
                </c:pt>
                <c:pt idx="7">
                  <c:v>0.77911242384780643</c:v>
                </c:pt>
                <c:pt idx="8">
                  <c:v>1.1512621991900824E-2</c:v>
                </c:pt>
                <c:pt idx="9">
                  <c:v>-0.73446369332841865</c:v>
                </c:pt>
                <c:pt idx="10">
                  <c:v>-0.15990460236790552</c:v>
                </c:pt>
                <c:pt idx="11">
                  <c:v>-1.3167743151670288</c:v>
                </c:pt>
                <c:pt idx="12">
                  <c:v>1.235587725767997</c:v>
                </c:pt>
                <c:pt idx="13">
                  <c:v>1.5077046979865771</c:v>
                </c:pt>
                <c:pt idx="14">
                  <c:v>0.21674636969679328</c:v>
                </c:pt>
                <c:pt idx="15">
                  <c:v>2.1303718591031919</c:v>
                </c:pt>
                <c:pt idx="16">
                  <c:v>3.4266437478965401</c:v>
                </c:pt>
                <c:pt idx="17">
                  <c:v>5.0577841411898277</c:v>
                </c:pt>
                <c:pt idx="18">
                  <c:v>5.4582570267510553</c:v>
                </c:pt>
                <c:pt idx="19">
                  <c:v>4.8574057500276542</c:v>
                </c:pt>
                <c:pt idx="20">
                  <c:v>3.5787009364415221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00-4483-8D95-6F820D82CBCA}"/>
            </c:ext>
          </c:extLst>
        </c:ser>
        <c:ser>
          <c:idx val="1"/>
          <c:order val="1"/>
          <c:tx>
            <c:v>Zero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'1c.DenMA-TS'!$AC$25:$AC$26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'1c.DenMA-TS'!$AD$25:$AD$26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00-4483-8D95-6F820D82CBCA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'1c.DenMA-TS'!$AC$25:$AC$26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'1c.DenMA-TS'!$AE$25:$AE$26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E00-4483-8D95-6F820D82CBCA}"/>
            </c:ext>
          </c:extLst>
        </c:ser>
        <c:ser>
          <c:idx val="3"/>
          <c:order val="3"/>
          <c:tx>
            <c:v>UCL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'1c.DenMA-TS'!$AC$25:$AC$26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'1c.DenMA-TS'!$AF$25:$AF$26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E00-4483-8D95-6F820D82C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632296"/>
        <c:axId val="574631968"/>
      </c:scatterChart>
      <c:valAx>
        <c:axId val="574632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631968"/>
        <c:crosses val="autoZero"/>
        <c:crossBetween val="midCat"/>
      </c:valAx>
      <c:valAx>
        <c:axId val="57463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632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'2.ES-MAD-TS'!$C$6</c:f>
          <c:strCache>
            <c:ptCount val="1"/>
            <c:pt idx="0">
              <c:v>Actual vs. Forcast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'2.ES-MAD-TS'!$C$10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'2.ES-MAD-TS'!$C$11:$C$60</c:f>
              <c:numCache>
                <c:formatCode>General</c:formatCode>
                <c:ptCount val="50"/>
                <c:pt idx="0">
                  <c:v>60</c:v>
                </c:pt>
                <c:pt idx="1">
                  <c:v>38</c:v>
                </c:pt>
                <c:pt idx="2">
                  <c:v>29</c:v>
                </c:pt>
                <c:pt idx="3">
                  <c:v>21</c:v>
                </c:pt>
                <c:pt idx="4">
                  <c:v>26</c:v>
                </c:pt>
                <c:pt idx="5">
                  <c:v>43</c:v>
                </c:pt>
                <c:pt idx="6">
                  <c:v>39</c:v>
                </c:pt>
                <c:pt idx="7">
                  <c:v>38</c:v>
                </c:pt>
                <c:pt idx="8">
                  <c:v>45</c:v>
                </c:pt>
                <c:pt idx="9">
                  <c:v>73</c:v>
                </c:pt>
                <c:pt idx="10">
                  <c:v>26</c:v>
                </c:pt>
                <c:pt idx="11">
                  <c:v>96</c:v>
                </c:pt>
                <c:pt idx="12">
                  <c:v>50</c:v>
                </c:pt>
                <c:pt idx="13">
                  <c:v>57</c:v>
                </c:pt>
                <c:pt idx="14">
                  <c:v>72</c:v>
                </c:pt>
                <c:pt idx="15">
                  <c:v>56</c:v>
                </c:pt>
                <c:pt idx="16">
                  <c:v>27</c:v>
                </c:pt>
                <c:pt idx="17">
                  <c:v>33</c:v>
                </c:pt>
                <c:pt idx="18">
                  <c:v>73</c:v>
                </c:pt>
                <c:pt idx="19">
                  <c:v>55</c:v>
                </c:pt>
                <c:pt idx="20">
                  <c:v>31</c:v>
                </c:pt>
                <c:pt idx="21">
                  <c:v>60</c:v>
                </c:pt>
                <c:pt idx="22">
                  <c:v>26</c:v>
                </c:pt>
                <c:pt idx="23">
                  <c:v>25</c:v>
                </c:pt>
                <c:pt idx="24">
                  <c:v>65</c:v>
                </c:pt>
                <c:pt idx="25">
                  <c:v>68</c:v>
                </c:pt>
                <c:pt idx="26">
                  <c:v>100</c:v>
                </c:pt>
                <c:pt idx="27">
                  <c:v>66</c:v>
                </c:pt>
                <c:pt idx="28">
                  <c:v>50</c:v>
                </c:pt>
                <c:pt idx="29">
                  <c:v>57</c:v>
                </c:pt>
                <c:pt idx="30">
                  <c:v>86</c:v>
                </c:pt>
                <c:pt idx="31">
                  <c:v>54</c:v>
                </c:pt>
                <c:pt idx="32">
                  <c:v>77</c:v>
                </c:pt>
                <c:pt idx="33">
                  <c:v>28</c:v>
                </c:pt>
                <c:pt idx="34">
                  <c:v>46</c:v>
                </c:pt>
                <c:pt idx="35">
                  <c:v>34</c:v>
                </c:pt>
                <c:pt idx="36">
                  <c:v>86</c:v>
                </c:pt>
                <c:pt idx="37">
                  <c:v>64</c:v>
                </c:pt>
                <c:pt idx="38">
                  <c:v>69</c:v>
                </c:pt>
                <c:pt idx="39">
                  <c:v>33</c:v>
                </c:pt>
                <c:pt idx="40">
                  <c:v>41</c:v>
                </c:pt>
                <c:pt idx="41">
                  <c:v>56</c:v>
                </c:pt>
                <c:pt idx="42">
                  <c:v>28</c:v>
                </c:pt>
                <c:pt idx="43">
                  <c:v>19</c:v>
                </c:pt>
                <c:pt idx="44">
                  <c:v>16</c:v>
                </c:pt>
                <c:pt idx="45">
                  <c:v>53</c:v>
                </c:pt>
                <c:pt idx="46">
                  <c:v>63</c:v>
                </c:pt>
                <c:pt idx="47">
                  <c:v>84</c:v>
                </c:pt>
                <c:pt idx="48">
                  <c:v>83</c:v>
                </c:pt>
                <c:pt idx="4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A0-4D3B-8A38-2E8FEC3A7540}"/>
            </c:ext>
          </c:extLst>
        </c:ser>
        <c:ser>
          <c:idx val="1"/>
          <c:order val="1"/>
          <c:tx>
            <c:strRef>
              <c:f>'2.ES-MAD-TS'!$D$10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'2.ES-MAD-TS'!$D$11:$D$60</c:f>
              <c:numCache>
                <c:formatCode>0.0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53.4</c:v>
                </c:pt>
                <c:pt idx="3">
                  <c:v>46.08</c:v>
                </c:pt>
                <c:pt idx="4">
                  <c:v>38.555999999999997</c:v>
                </c:pt>
                <c:pt idx="5">
                  <c:v>34.789199999999994</c:v>
                </c:pt>
                <c:pt idx="6">
                  <c:v>37.252439999999993</c:v>
                </c:pt>
                <c:pt idx="7">
                  <c:v>37.776707999999992</c:v>
                </c:pt>
                <c:pt idx="8">
                  <c:v>37.843695599999997</c:v>
                </c:pt>
                <c:pt idx="9">
                  <c:v>39.990586919999998</c:v>
                </c:pt>
                <c:pt idx="10">
                  <c:v>49.893410843999995</c:v>
                </c:pt>
                <c:pt idx="11">
                  <c:v>42.72538759079999</c:v>
                </c:pt>
                <c:pt idx="12">
                  <c:v>58.707771313559988</c:v>
                </c:pt>
                <c:pt idx="13">
                  <c:v>56.095439919491987</c:v>
                </c:pt>
                <c:pt idx="14">
                  <c:v>56.366807943644389</c:v>
                </c:pt>
                <c:pt idx="15">
                  <c:v>61.056765560551071</c:v>
                </c:pt>
                <c:pt idx="16">
                  <c:v>59.53973589238575</c:v>
                </c:pt>
                <c:pt idx="17">
                  <c:v>49.77781512467002</c:v>
                </c:pt>
                <c:pt idx="18">
                  <c:v>44.744470587269014</c:v>
                </c:pt>
                <c:pt idx="19">
                  <c:v>53.221129411088306</c:v>
                </c:pt>
                <c:pt idx="20">
                  <c:v>53.754790587761811</c:v>
                </c:pt>
                <c:pt idx="21">
                  <c:v>46.928353411433264</c:v>
                </c:pt>
                <c:pt idx="22">
                  <c:v>50.849847388003283</c:v>
                </c:pt>
                <c:pt idx="23">
                  <c:v>43.394893171602291</c:v>
                </c:pt>
                <c:pt idx="24">
                  <c:v>37.876425220121604</c:v>
                </c:pt>
                <c:pt idx="25">
                  <c:v>46.013497654085121</c:v>
                </c:pt>
                <c:pt idx="26">
                  <c:v>52.609448357859584</c:v>
                </c:pt>
                <c:pt idx="27">
                  <c:v>66.826613850501701</c:v>
                </c:pt>
                <c:pt idx="28">
                  <c:v>66.578629695351182</c:v>
                </c:pt>
                <c:pt idx="29">
                  <c:v>61.605040786745825</c:v>
                </c:pt>
                <c:pt idx="30">
                  <c:v>60.223528550722079</c:v>
                </c:pt>
                <c:pt idx="31">
                  <c:v>67.95646998550545</c:v>
                </c:pt>
                <c:pt idx="32">
                  <c:v>63.769528989853811</c:v>
                </c:pt>
                <c:pt idx="33">
                  <c:v>67.738670292897666</c:v>
                </c:pt>
                <c:pt idx="34">
                  <c:v>55.817069205028361</c:v>
                </c:pt>
                <c:pt idx="35">
                  <c:v>52.871948443519848</c:v>
                </c:pt>
                <c:pt idx="36">
                  <c:v>47.210363910463897</c:v>
                </c:pt>
                <c:pt idx="37">
                  <c:v>58.847254737324732</c:v>
                </c:pt>
                <c:pt idx="38">
                  <c:v>60.393078316127315</c:v>
                </c:pt>
                <c:pt idx="39">
                  <c:v>62.975154821289124</c:v>
                </c:pt>
                <c:pt idx="40">
                  <c:v>53.982608374902384</c:v>
                </c:pt>
                <c:pt idx="41">
                  <c:v>50.087825862431664</c:v>
                </c:pt>
                <c:pt idx="42">
                  <c:v>51.861478103702169</c:v>
                </c:pt>
                <c:pt idx="43">
                  <c:v>44.703034672591514</c:v>
                </c:pt>
                <c:pt idx="44">
                  <c:v>36.99212427081406</c:v>
                </c:pt>
                <c:pt idx="45">
                  <c:v>30.694486989569842</c:v>
                </c:pt>
                <c:pt idx="46">
                  <c:v>37.38614089269889</c:v>
                </c:pt>
                <c:pt idx="47">
                  <c:v>45.070298624889219</c:v>
                </c:pt>
                <c:pt idx="48">
                  <c:v>56.749209037422446</c:v>
                </c:pt>
                <c:pt idx="49">
                  <c:v>64.624446326195709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A0-4D3B-8A38-2E8FEC3A7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842504"/>
        <c:axId val="819843488"/>
      </c:scatterChart>
      <c:valAx>
        <c:axId val="819842504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843488"/>
        <c:crosses val="autoZero"/>
        <c:crossBetween val="midCat"/>
      </c:valAx>
      <c:valAx>
        <c:axId val="81984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842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'2.ES-MAD-TS'!$C$7</c:f>
          <c:strCache>
            <c:ptCount val="1"/>
            <c:pt idx="0">
              <c:v>Tracking Signal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'2.ES-MAD-TS'!$H$11:$H$60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-4.9318914043630775</c:v>
                </c:pt>
                <c:pt idx="6">
                  <c:v>-5.5167510050603017</c:v>
                </c:pt>
                <c:pt idx="7">
                  <c:v>-6.2709563596426658</c:v>
                </c:pt>
                <c:pt idx="8">
                  <c:v>-5.921465568843078</c:v>
                </c:pt>
                <c:pt idx="9">
                  <c:v>-2.5069047345932005</c:v>
                </c:pt>
                <c:pt idx="10">
                  <c:v>-4.0018659319920129</c:v>
                </c:pt>
                <c:pt idx="11">
                  <c:v>-0.24433376112435912</c:v>
                </c:pt>
                <c:pt idx="12">
                  <c:v>-0.76817509146978813</c:v>
                </c:pt>
                <c:pt idx="13">
                  <c:v>-0.76662193720503746</c:v>
                </c:pt>
                <c:pt idx="14">
                  <c:v>0.22313752594050779</c:v>
                </c:pt>
                <c:pt idx="15">
                  <c:v>-0.10149698319963289</c:v>
                </c:pt>
                <c:pt idx="16">
                  <c:v>-2.1110460590661857</c:v>
                </c:pt>
                <c:pt idx="17">
                  <c:v>-3.1436201855643375</c:v>
                </c:pt>
                <c:pt idx="18">
                  <c:v>-1.3440591755967406</c:v>
                </c:pt>
                <c:pt idx="19">
                  <c:v>-1.296201721520162</c:v>
                </c:pt>
                <c:pt idx="20">
                  <c:v>-2.6602341405624346</c:v>
                </c:pt>
                <c:pt idx="21">
                  <c:v>-1.8794143384953819</c:v>
                </c:pt>
                <c:pt idx="22">
                  <c:v>-3.3336435489988592</c:v>
                </c:pt>
                <c:pt idx="23">
                  <c:v>-4.4216550546226072</c:v>
                </c:pt>
                <c:pt idx="24">
                  <c:v>-2.7270491611737278</c:v>
                </c:pt>
                <c:pt idx="25">
                  <c:v>-1.4253074428536139</c:v>
                </c:pt>
                <c:pt idx="26">
                  <c:v>1.2367615716446911</c:v>
                </c:pt>
                <c:pt idx="27">
                  <c:v>1.2339237077880394</c:v>
                </c:pt>
                <c:pt idx="28">
                  <c:v>0.30174867397337207</c:v>
                </c:pt>
                <c:pt idx="29">
                  <c:v>4.3086707829422831E-2</c:v>
                </c:pt>
                <c:pt idx="30">
                  <c:v>1.5097734530554365</c:v>
                </c:pt>
                <c:pt idx="31">
                  <c:v>0.71990727903777296</c:v>
                </c:pt>
                <c:pt idx="32">
                  <c:v>1.4888535912814402</c:v>
                </c:pt>
                <c:pt idx="33">
                  <c:v>-0.77526311180301455</c:v>
                </c:pt>
                <c:pt idx="34">
                  <c:v>-1.3384786933139212</c:v>
                </c:pt>
                <c:pt idx="35">
                  <c:v>-2.3973869069723666</c:v>
                </c:pt>
                <c:pt idx="36">
                  <c:v>-0.20939399116445087</c:v>
                </c:pt>
                <c:pt idx="37">
                  <c:v>7.2779384200217734E-2</c:v>
                </c:pt>
                <c:pt idx="38">
                  <c:v>0.55832889077337367</c:v>
                </c:pt>
                <c:pt idx="39">
                  <c:v>-1.110163608639229</c:v>
                </c:pt>
                <c:pt idx="40">
                  <c:v>-1.8413616691759487</c:v>
                </c:pt>
                <c:pt idx="41">
                  <c:v>-1.5364024263895624</c:v>
                </c:pt>
                <c:pt idx="42">
                  <c:v>-2.8643774211993196</c:v>
                </c:pt>
                <c:pt idx="43">
                  <c:v>-4.2652275749870432</c:v>
                </c:pt>
                <c:pt idx="44">
                  <c:v>-5.4125487963961882</c:v>
                </c:pt>
                <c:pt idx="45">
                  <c:v>-4.1553309990837599</c:v>
                </c:pt>
                <c:pt idx="46">
                  <c:v>-2.7195175634042261</c:v>
                </c:pt>
                <c:pt idx="47">
                  <c:v>-0.57855880980349095</c:v>
                </c:pt>
                <c:pt idx="48">
                  <c:v>0.81634423773759768</c:v>
                </c:pt>
                <c:pt idx="49">
                  <c:v>1.5336379134883247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F-45FE-9315-9D299F24A76B}"/>
            </c:ext>
          </c:extLst>
        </c:ser>
        <c:ser>
          <c:idx val="1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0F-45FE-9315-9D299F24A76B}"/>
              </c:ext>
            </c:extLst>
          </c:dPt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'2.ES-MAD-TS'!$L$6:$L$7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0F-45FE-9315-9D299F24A76B}"/>
            </c:ext>
          </c:extLst>
        </c:ser>
        <c:ser>
          <c:idx val="2"/>
          <c:order val="2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'2.ES-MAD-TS'!$M$6:$M$7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0F-45FE-9315-9D299F24A76B}"/>
            </c:ext>
          </c:extLst>
        </c:ser>
        <c:ser>
          <c:idx val="3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'2.ES-MAD-TS'!$N$6:$N$7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0F-45FE-9315-9D299F24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13200"/>
        <c:axId val="814311560"/>
      </c:scatterChart>
      <c:valAx>
        <c:axId val="814313200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814311560"/>
        <c:crosses val="autoZero"/>
        <c:crossBetween val="midCat"/>
      </c:valAx>
      <c:valAx>
        <c:axId val="81431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13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'3.ES-DataTable-Solver'!$C$7</c:f>
          <c:strCache>
            <c:ptCount val="1"/>
            <c:pt idx="0">
              <c:v>Actual vs. Forcast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'3.ES-DataTable-Solver'!$C$11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'3.ES-DataTable-Solver'!$B$12:$B$61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'3.ES-DataTable-Solver'!$C$12:$C$61</c:f>
              <c:numCache>
                <c:formatCode>General</c:formatCode>
                <c:ptCount val="50"/>
                <c:pt idx="0">
                  <c:v>60</c:v>
                </c:pt>
                <c:pt idx="1">
                  <c:v>38</c:v>
                </c:pt>
                <c:pt idx="2">
                  <c:v>29</c:v>
                </c:pt>
                <c:pt idx="3">
                  <c:v>21</c:v>
                </c:pt>
                <c:pt idx="4">
                  <c:v>26</c:v>
                </c:pt>
                <c:pt idx="5">
                  <c:v>43</c:v>
                </c:pt>
                <c:pt idx="6">
                  <c:v>39</c:v>
                </c:pt>
                <c:pt idx="7">
                  <c:v>38</c:v>
                </c:pt>
                <c:pt idx="8">
                  <c:v>45</c:v>
                </c:pt>
                <c:pt idx="9">
                  <c:v>73</c:v>
                </c:pt>
                <c:pt idx="10">
                  <c:v>26</c:v>
                </c:pt>
                <c:pt idx="11">
                  <c:v>96</c:v>
                </c:pt>
                <c:pt idx="12">
                  <c:v>50</c:v>
                </c:pt>
                <c:pt idx="13">
                  <c:v>57</c:v>
                </c:pt>
                <c:pt idx="14">
                  <c:v>72</c:v>
                </c:pt>
                <c:pt idx="15">
                  <c:v>56</c:v>
                </c:pt>
                <c:pt idx="16">
                  <c:v>27</c:v>
                </c:pt>
                <c:pt idx="17">
                  <c:v>33</c:v>
                </c:pt>
                <c:pt idx="18">
                  <c:v>73</c:v>
                </c:pt>
                <c:pt idx="19">
                  <c:v>55</c:v>
                </c:pt>
                <c:pt idx="20">
                  <c:v>31</c:v>
                </c:pt>
                <c:pt idx="21">
                  <c:v>60</c:v>
                </c:pt>
                <c:pt idx="22">
                  <c:v>26</c:v>
                </c:pt>
                <c:pt idx="23">
                  <c:v>25</c:v>
                </c:pt>
                <c:pt idx="24">
                  <c:v>65</c:v>
                </c:pt>
                <c:pt idx="25">
                  <c:v>68</c:v>
                </c:pt>
                <c:pt idx="26">
                  <c:v>100</c:v>
                </c:pt>
                <c:pt idx="27">
                  <c:v>66</c:v>
                </c:pt>
                <c:pt idx="28">
                  <c:v>50</c:v>
                </c:pt>
                <c:pt idx="29">
                  <c:v>57</c:v>
                </c:pt>
                <c:pt idx="30">
                  <c:v>86</c:v>
                </c:pt>
                <c:pt idx="31">
                  <c:v>54</c:v>
                </c:pt>
                <c:pt idx="32">
                  <c:v>77</c:v>
                </c:pt>
                <c:pt idx="33">
                  <c:v>28</c:v>
                </c:pt>
                <c:pt idx="34">
                  <c:v>46</c:v>
                </c:pt>
                <c:pt idx="35">
                  <c:v>34</c:v>
                </c:pt>
                <c:pt idx="36">
                  <c:v>86</c:v>
                </c:pt>
                <c:pt idx="37">
                  <c:v>64</c:v>
                </c:pt>
                <c:pt idx="38">
                  <c:v>69</c:v>
                </c:pt>
                <c:pt idx="39">
                  <c:v>33</c:v>
                </c:pt>
                <c:pt idx="40">
                  <c:v>41</c:v>
                </c:pt>
                <c:pt idx="41">
                  <c:v>56</c:v>
                </c:pt>
                <c:pt idx="42">
                  <c:v>28</c:v>
                </c:pt>
                <c:pt idx="43">
                  <c:v>19</c:v>
                </c:pt>
                <c:pt idx="44">
                  <c:v>16</c:v>
                </c:pt>
                <c:pt idx="45">
                  <c:v>53</c:v>
                </c:pt>
                <c:pt idx="46">
                  <c:v>63</c:v>
                </c:pt>
                <c:pt idx="47">
                  <c:v>84</c:v>
                </c:pt>
                <c:pt idx="48">
                  <c:v>83</c:v>
                </c:pt>
                <c:pt idx="4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F4-49CB-BD3C-38AFB98B0E88}"/>
            </c:ext>
          </c:extLst>
        </c:ser>
        <c:ser>
          <c:idx val="1"/>
          <c:order val="1"/>
          <c:tx>
            <c:strRef>
              <c:f>'3.ES-DataTable-Solver'!$D$11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'3.ES-DataTable-Solver'!$B$12:$B$61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'3.ES-DataTable-Solver'!$D$12:$D$61</c:f>
              <c:numCache>
                <c:formatCode>0.0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47.224223763724581</c:v>
                </c:pt>
                <c:pt idx="3">
                  <c:v>36.641105359853753</c:v>
                </c:pt>
                <c:pt idx="4">
                  <c:v>27.558047988694682</c:v>
                </c:pt>
                <c:pt idx="5">
                  <c:v>26.653262876470038</c:v>
                </c:pt>
                <c:pt idx="6">
                  <c:v>36.146092680262548</c:v>
                </c:pt>
                <c:pt idx="7">
                  <c:v>37.803405467355013</c:v>
                </c:pt>
                <c:pt idx="8">
                  <c:v>37.917571274552628</c:v>
                </c:pt>
                <c:pt idx="9">
                  <c:v>42.030458756629216</c:v>
                </c:pt>
                <c:pt idx="10">
                  <c:v>60.01500098687503</c:v>
                </c:pt>
                <c:pt idx="11">
                  <c:v>40.26190820119308</c:v>
                </c:pt>
                <c:pt idx="12">
                  <c:v>72.629971322035587</c:v>
                </c:pt>
                <c:pt idx="13">
                  <c:v>59.488359965505751</c:v>
                </c:pt>
                <c:pt idx="14">
                  <c:v>58.043326778478139</c:v>
                </c:pt>
                <c:pt idx="15">
                  <c:v>66.148205600340887</c:v>
                </c:pt>
                <c:pt idx="16">
                  <c:v>60.254969057173966</c:v>
                </c:pt>
                <c:pt idx="17">
                  <c:v>40.943239810868626</c:v>
                </c:pt>
                <c:pt idx="18">
                  <c:v>36.33046461019898</c:v>
                </c:pt>
                <c:pt idx="19">
                  <c:v>57.62509092057536</c:v>
                </c:pt>
                <c:pt idx="20">
                  <c:v>56.10065572961404</c:v>
                </c:pt>
                <c:pt idx="21">
                  <c:v>41.524275684826158</c:v>
                </c:pt>
                <c:pt idx="22">
                  <c:v>52.253444759997691</c:v>
                </c:pt>
                <c:pt idx="23">
                  <c:v>37.007620410672786</c:v>
                </c:pt>
                <c:pt idx="24">
                  <c:v>30.03458988808692</c:v>
                </c:pt>
                <c:pt idx="25">
                  <c:v>50.339601506241614</c:v>
                </c:pt>
                <c:pt idx="26">
                  <c:v>60.595296933501274</c:v>
                </c:pt>
                <c:pt idx="27">
                  <c:v>83.478281889613243</c:v>
                </c:pt>
                <c:pt idx="28">
                  <c:v>73.328344688874893</c:v>
                </c:pt>
                <c:pt idx="29">
                  <c:v>59.781175974885358</c:v>
                </c:pt>
                <c:pt idx="30">
                  <c:v>58.166099523574431</c:v>
                </c:pt>
                <c:pt idx="31">
                  <c:v>74.329721535827744</c:v>
                </c:pt>
                <c:pt idx="32">
                  <c:v>62.523904568212984</c:v>
                </c:pt>
                <c:pt idx="33">
                  <c:v>70.930420750552969</c:v>
                </c:pt>
                <c:pt idx="34">
                  <c:v>45.9999912397248</c:v>
                </c:pt>
                <c:pt idx="35">
                  <c:v>45.999996326966425</c:v>
                </c:pt>
                <c:pt idx="36">
                  <c:v>39.031393240173244</c:v>
                </c:pt>
                <c:pt idx="37">
                  <c:v>66.306866426225952</c:v>
                </c:pt>
                <c:pt idx="38">
                  <c:v>64.967229641296896</c:v>
                </c:pt>
                <c:pt idx="39">
                  <c:v>67.309128355618483</c:v>
                </c:pt>
                <c:pt idx="40">
                  <c:v>47.385230776844224</c:v>
                </c:pt>
                <c:pt idx="41">
                  <c:v>43.677218066756005</c:v>
                </c:pt>
                <c:pt idx="42">
                  <c:v>50.833268275280673</c:v>
                </c:pt>
                <c:pt idx="43">
                  <c:v>37.5735989012883</c:v>
                </c:pt>
                <c:pt idx="44">
                  <c:v>26.787592380143288</c:v>
                </c:pt>
                <c:pt idx="45">
                  <c:v>20.523052999376908</c:v>
                </c:pt>
                <c:pt idx="46">
                  <c:v>39.382971531983117</c:v>
                </c:pt>
                <c:pt idx="47">
                  <c:v>53.097783853489034</c:v>
                </c:pt>
                <c:pt idx="48">
                  <c:v>71.043229248618189</c:v>
                </c:pt>
                <c:pt idx="49">
                  <c:v>77.986730504440771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F4-49CB-BD3C-38AFB98B0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842504"/>
        <c:axId val="819843488"/>
      </c:scatterChart>
      <c:valAx>
        <c:axId val="819842504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843488"/>
        <c:crosses val="autoZero"/>
        <c:crossBetween val="midCat"/>
      </c:valAx>
      <c:valAx>
        <c:axId val="81984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842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'3.ES-DataTable-Solver'!$C$8</c:f>
          <c:strCache>
            <c:ptCount val="1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'3.ES-DataTable-Solver'!$B$12:$B$61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'3.ES-DataTable-Solver'!$H$12:$H$61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-3.3409171516890988</c:v>
                </c:pt>
                <c:pt idx="6">
                  <c:v>-3.4918439837969184</c:v>
                </c:pt>
                <c:pt idx="7">
                  <c:v>-3.9599930406919848</c:v>
                </c:pt>
                <c:pt idx="8">
                  <c:v>-3.3192285848125604</c:v>
                </c:pt>
                <c:pt idx="9">
                  <c:v>2.2487377836799701E-3</c:v>
                </c:pt>
                <c:pt idx="10">
                  <c:v>-2.5111620661056593</c:v>
                </c:pt>
                <c:pt idx="11">
                  <c:v>1.2754365591295989</c:v>
                </c:pt>
                <c:pt idx="12">
                  <c:v>-5.0399771363652E-2</c:v>
                </c:pt>
                <c:pt idx="13">
                  <c:v>-0.20532296349048723</c:v>
                </c:pt>
                <c:pt idx="14">
                  <c:v>0.65165582012886769</c:v>
                </c:pt>
                <c:pt idx="15">
                  <c:v>2.7673722258405972E-2</c:v>
                </c:pt>
                <c:pt idx="16">
                  <c:v>-1.9430963945021706</c:v>
                </c:pt>
                <c:pt idx="17">
                  <c:v>-2.4866019813131768</c:v>
                </c:pt>
                <c:pt idx="18">
                  <c:v>-0.23424413407349989</c:v>
                </c:pt>
                <c:pt idx="19">
                  <c:v>-0.40166721268487654</c:v>
                </c:pt>
                <c:pt idx="20">
                  <c:v>-1.8587752073599129</c:v>
                </c:pt>
                <c:pt idx="21">
                  <c:v>-0.77654922358228962</c:v>
                </c:pt>
                <c:pt idx="22">
                  <c:v>-2.2531048488917294</c:v>
                </c:pt>
                <c:pt idx="23">
                  <c:v>-2.9756819643034009</c:v>
                </c:pt>
                <c:pt idx="24">
                  <c:v>-0.92183817846018079</c:v>
                </c:pt>
                <c:pt idx="25">
                  <c:v>5.6852578039061567E-2</c:v>
                </c:pt>
                <c:pt idx="26">
                  <c:v>2.1479418865111644</c:v>
                </c:pt>
                <c:pt idx="27">
                  <c:v>1.2224795374650963</c:v>
                </c:pt>
                <c:pt idx="28">
                  <c:v>-1.9904127260108345E-2</c:v>
                </c:pt>
                <c:pt idx="29">
                  <c:v>-0.17169303853988546</c:v>
                </c:pt>
                <c:pt idx="30">
                  <c:v>1.3197234592904181</c:v>
                </c:pt>
                <c:pt idx="31">
                  <c:v>0.23181161648228543</c:v>
                </c:pt>
                <c:pt idx="32">
                  <c:v>1.0109011758853748</c:v>
                </c:pt>
                <c:pt idx="33">
                  <c:v>-1.2469076782592519</c:v>
                </c:pt>
                <c:pt idx="34">
                  <c:v>-1.2835809499764483</c:v>
                </c:pt>
                <c:pt idx="35">
                  <c:v>-1.9419710691138656</c:v>
                </c:pt>
                <c:pt idx="36">
                  <c:v>0.56096249006443732</c:v>
                </c:pt>
                <c:pt idx="37">
                  <c:v>0.45229309659340711</c:v>
                </c:pt>
                <c:pt idx="38">
                  <c:v>0.67923807983648332</c:v>
                </c:pt>
                <c:pt idx="39">
                  <c:v>-1.1478560093549814</c:v>
                </c:pt>
                <c:pt idx="40">
                  <c:v>-1.509656705980801</c:v>
                </c:pt>
                <c:pt idx="41">
                  <c:v>-0.85469136686134073</c:v>
                </c:pt>
                <c:pt idx="42">
                  <c:v>-2.0795731982062264</c:v>
                </c:pt>
                <c:pt idx="43">
                  <c:v>-3.0797344712213834</c:v>
                </c:pt>
                <c:pt idx="44">
                  <c:v>-3.6950485269822946</c:v>
                </c:pt>
                <c:pt idx="45">
                  <c:v>-1.8981776058621977</c:v>
                </c:pt>
                <c:pt idx="46">
                  <c:v>-0.63194407675095843</c:v>
                </c:pt>
                <c:pt idx="47">
                  <c:v>0.99771577066898065</c:v>
                </c:pt>
                <c:pt idx="48">
                  <c:v>1.6374902403966274</c:v>
                </c:pt>
                <c:pt idx="49">
                  <c:v>1.6716003221507449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8-4847-8CF0-6B172F674720}"/>
            </c:ext>
          </c:extLst>
        </c:ser>
        <c:ser>
          <c:idx val="1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D98-4847-8CF0-6B172F674720}"/>
              </c:ext>
            </c:extLst>
          </c:dPt>
          <c:xVal>
            <c:numRef>
              <c:f>'3.ES-DataTable-Solver'!$K$1:$K$2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'3.ES-DataTable-Solver'!$L$1:$L$2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8-4847-8CF0-6B172F674720}"/>
            </c:ext>
          </c:extLst>
        </c:ser>
        <c:ser>
          <c:idx val="2"/>
          <c:order val="2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'3.ES-DataTable-Solver'!$K$1:$K$2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'3.ES-DataTable-Solver'!$M$1:$M$2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98-4847-8CF0-6B172F674720}"/>
            </c:ext>
          </c:extLst>
        </c:ser>
        <c:ser>
          <c:idx val="3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'3.ES-DataTable-Solver'!$K$1:$K$2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'3.ES-DataTable-Solver'!$N$1:$N$2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8-4847-8CF0-6B172F674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13200"/>
        <c:axId val="814311560"/>
      </c:scatterChart>
      <c:valAx>
        <c:axId val="814313200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814311560"/>
        <c:crosses val="autoZero"/>
        <c:crossBetween val="midCat"/>
      </c:valAx>
      <c:valAx>
        <c:axId val="81431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13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'4.Regression'!$Q$2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'4.Regression'!$C$2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'4.Regression'!$C$3:$C$52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'4.Regression'!$D$2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'4.Regression'!$D$3:$D$52</c:f>
              <c:numCache>
                <c:formatCode>0.0</c:formatCode>
                <c:ptCount val="50"/>
                <c:pt idx="0">
                  <c:v>19.818823529411763</c:v>
                </c:pt>
                <c:pt idx="1">
                  <c:v>20.229483793517407</c:v>
                </c:pt>
                <c:pt idx="2">
                  <c:v>20.640144057623047</c:v>
                </c:pt>
                <c:pt idx="3">
                  <c:v>21.050804321728691</c:v>
                </c:pt>
                <c:pt idx="4">
                  <c:v>21.461464585834332</c:v>
                </c:pt>
                <c:pt idx="5">
                  <c:v>21.872124849939976</c:v>
                </c:pt>
                <c:pt idx="6">
                  <c:v>22.282785114045616</c:v>
                </c:pt>
                <c:pt idx="7">
                  <c:v>22.69344537815126</c:v>
                </c:pt>
                <c:pt idx="8">
                  <c:v>23.104105642256901</c:v>
                </c:pt>
                <c:pt idx="9">
                  <c:v>23.514765906362545</c:v>
                </c:pt>
                <c:pt idx="10">
                  <c:v>23.925426170468185</c:v>
                </c:pt>
                <c:pt idx="11">
                  <c:v>24.336086434573829</c:v>
                </c:pt>
                <c:pt idx="12">
                  <c:v>24.74674669867947</c:v>
                </c:pt>
                <c:pt idx="13">
                  <c:v>25.15740696278511</c:v>
                </c:pt>
                <c:pt idx="14">
                  <c:v>25.568067226890754</c:v>
                </c:pt>
                <c:pt idx="15">
                  <c:v>25.978727490996398</c:v>
                </c:pt>
                <c:pt idx="16">
                  <c:v>26.389387755102039</c:v>
                </c:pt>
                <c:pt idx="17">
                  <c:v>26.800048019207679</c:v>
                </c:pt>
                <c:pt idx="18">
                  <c:v>27.210708283313323</c:v>
                </c:pt>
                <c:pt idx="19">
                  <c:v>27.621368547418967</c:v>
                </c:pt>
                <c:pt idx="20">
                  <c:v>28.032028811524608</c:v>
                </c:pt>
                <c:pt idx="21">
                  <c:v>28.442689075630248</c:v>
                </c:pt>
                <c:pt idx="22">
                  <c:v>28.853349339735892</c:v>
                </c:pt>
                <c:pt idx="23">
                  <c:v>29.264009603841533</c:v>
                </c:pt>
                <c:pt idx="24">
                  <c:v>29.674669867947173</c:v>
                </c:pt>
                <c:pt idx="25">
                  <c:v>30.085330132052817</c:v>
                </c:pt>
                <c:pt idx="26">
                  <c:v>30.495990396158462</c:v>
                </c:pt>
                <c:pt idx="27">
                  <c:v>30.906650660264102</c:v>
                </c:pt>
                <c:pt idx="28">
                  <c:v>31.317310924369743</c:v>
                </c:pt>
                <c:pt idx="29">
                  <c:v>31.727971188475387</c:v>
                </c:pt>
                <c:pt idx="30">
                  <c:v>32.138631452581031</c:v>
                </c:pt>
                <c:pt idx="31">
                  <c:v>32.549291716686668</c:v>
                </c:pt>
                <c:pt idx="32">
                  <c:v>32.959951980792312</c:v>
                </c:pt>
                <c:pt idx="33">
                  <c:v>33.370612244897956</c:v>
                </c:pt>
                <c:pt idx="34">
                  <c:v>33.7812725090036</c:v>
                </c:pt>
                <c:pt idx="35">
                  <c:v>34.191932773109244</c:v>
                </c:pt>
                <c:pt idx="36">
                  <c:v>34.602593037214881</c:v>
                </c:pt>
                <c:pt idx="37">
                  <c:v>35.013253301320525</c:v>
                </c:pt>
                <c:pt idx="38">
                  <c:v>35.423913565426162</c:v>
                </c:pt>
                <c:pt idx="39">
                  <c:v>35.834573829531806</c:v>
                </c:pt>
                <c:pt idx="40">
                  <c:v>36.24523409363745</c:v>
                </c:pt>
                <c:pt idx="41">
                  <c:v>36.655894357743094</c:v>
                </c:pt>
                <c:pt idx="42">
                  <c:v>37.066554621848738</c:v>
                </c:pt>
                <c:pt idx="43">
                  <c:v>37.477214885954382</c:v>
                </c:pt>
                <c:pt idx="44">
                  <c:v>37.887875150060019</c:v>
                </c:pt>
                <c:pt idx="45">
                  <c:v>38.298535414165663</c:v>
                </c:pt>
                <c:pt idx="46">
                  <c:v>38.7091956782713</c:v>
                </c:pt>
                <c:pt idx="47">
                  <c:v>39.119855942376944</c:v>
                </c:pt>
                <c:pt idx="48">
                  <c:v>39.530516206482588</c:v>
                </c:pt>
                <c:pt idx="49">
                  <c:v>39.941176470588232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'5.Trend&amp;Season'!$A$4:$A$76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'5.Trend&amp;Season'!$B$4:$B$76</c:f>
              <c:numCache>
                <c:formatCode>0</c:formatCode>
                <c:ptCount val="73"/>
                <c:pt idx="0">
                  <c:v>2551</c:v>
                </c:pt>
                <c:pt idx="1">
                  <c:v>2695</c:v>
                </c:pt>
                <c:pt idx="2">
                  <c:v>3731</c:v>
                </c:pt>
                <c:pt idx="3">
                  <c:v>2531</c:v>
                </c:pt>
                <c:pt idx="4">
                  <c:v>2856</c:v>
                </c:pt>
                <c:pt idx="5">
                  <c:v>3119</c:v>
                </c:pt>
                <c:pt idx="6">
                  <c:v>4090</c:v>
                </c:pt>
                <c:pt idx="7">
                  <c:v>3953</c:v>
                </c:pt>
                <c:pt idx="8">
                  <c:v>3141</c:v>
                </c:pt>
                <c:pt idx="9">
                  <c:v>3379</c:v>
                </c:pt>
                <c:pt idx="10">
                  <c:v>3856</c:v>
                </c:pt>
                <c:pt idx="11">
                  <c:v>4516</c:v>
                </c:pt>
                <c:pt idx="12">
                  <c:v>4935</c:v>
                </c:pt>
                <c:pt idx="13">
                  <c:v>3755</c:v>
                </c:pt>
                <c:pt idx="14">
                  <c:v>4122</c:v>
                </c:pt>
                <c:pt idx="15">
                  <c:v>4538</c:v>
                </c:pt>
                <c:pt idx="16">
                  <c:v>4167</c:v>
                </c:pt>
                <c:pt idx="17">
                  <c:v>5782</c:v>
                </c:pt>
                <c:pt idx="18">
                  <c:v>4155</c:v>
                </c:pt>
                <c:pt idx="19">
                  <c:v>4633</c:v>
                </c:pt>
                <c:pt idx="20">
                  <c:v>5790</c:v>
                </c:pt>
                <c:pt idx="21">
                  <c:v>5351</c:v>
                </c:pt>
                <c:pt idx="22">
                  <c:v>6918</c:v>
                </c:pt>
                <c:pt idx="23">
                  <c:v>4875</c:v>
                </c:pt>
                <c:pt idx="24">
                  <c:v>5455</c:v>
                </c:pt>
                <c:pt idx="25">
                  <c:v>6158</c:v>
                </c:pt>
                <c:pt idx="26">
                  <c:v>6041</c:v>
                </c:pt>
                <c:pt idx="27">
                  <c:v>6778</c:v>
                </c:pt>
                <c:pt idx="28">
                  <c:v>5840</c:v>
                </c:pt>
                <c:pt idx="29">
                  <c:v>5752</c:v>
                </c:pt>
                <c:pt idx="30">
                  <c:v>6310</c:v>
                </c:pt>
                <c:pt idx="31">
                  <c:v>7500</c:v>
                </c:pt>
                <c:pt idx="32">
                  <c:v>7786</c:v>
                </c:pt>
                <c:pt idx="33">
                  <c:v>5970</c:v>
                </c:pt>
                <c:pt idx="34">
                  <c:v>7310</c:v>
                </c:pt>
                <c:pt idx="35">
                  <c:v>6859</c:v>
                </c:pt>
                <c:pt idx="36">
                  <c:v>8389</c:v>
                </c:pt>
                <c:pt idx="37">
                  <c:v>8084</c:v>
                </c:pt>
                <c:pt idx="38">
                  <c:v>7405</c:v>
                </c:pt>
                <c:pt idx="39">
                  <c:v>7352</c:v>
                </c:pt>
                <c:pt idx="40">
                  <c:v>8774</c:v>
                </c:pt>
                <c:pt idx="41">
                  <c:v>7872</c:v>
                </c:pt>
                <c:pt idx="42">
                  <c:v>9670</c:v>
                </c:pt>
                <c:pt idx="43">
                  <c:v>7047</c:v>
                </c:pt>
                <c:pt idx="44">
                  <c:v>7909</c:v>
                </c:pt>
                <c:pt idx="45">
                  <c:v>8653</c:v>
                </c:pt>
                <c:pt idx="46">
                  <c:v>9483</c:v>
                </c:pt>
                <c:pt idx="47">
                  <c:v>9327</c:v>
                </c:pt>
                <c:pt idx="48">
                  <c:v>7907</c:v>
                </c:pt>
                <c:pt idx="49">
                  <c:v>7778</c:v>
                </c:pt>
                <c:pt idx="50">
                  <c:v>9155</c:v>
                </c:pt>
                <c:pt idx="51">
                  <c:v>9645</c:v>
                </c:pt>
                <c:pt idx="52">
                  <c:v>10387</c:v>
                </c:pt>
                <c:pt idx="53">
                  <c:v>7705</c:v>
                </c:pt>
                <c:pt idx="54">
                  <c:v>8087</c:v>
                </c:pt>
                <c:pt idx="55">
                  <c:v>9142</c:v>
                </c:pt>
                <c:pt idx="56">
                  <c:v>10868</c:v>
                </c:pt>
                <c:pt idx="57">
                  <c:v>12595</c:v>
                </c:pt>
                <c:pt idx="58">
                  <c:v>8600</c:v>
                </c:pt>
                <c:pt idx="59">
                  <c:v>8956</c:v>
                </c:pt>
                <c:pt idx="60">
                  <c:v>10625</c:v>
                </c:pt>
                <c:pt idx="61">
                  <c:v>11717</c:v>
                </c:pt>
                <c:pt idx="62">
                  <c:v>13152</c:v>
                </c:pt>
                <c:pt idx="63">
                  <c:v>10388</c:v>
                </c:pt>
                <c:pt idx="64">
                  <c:v>10512</c:v>
                </c:pt>
                <c:pt idx="65">
                  <c:v>10035</c:v>
                </c:pt>
                <c:pt idx="66">
                  <c:v>12513</c:v>
                </c:pt>
                <c:pt idx="67">
                  <c:v>13430</c:v>
                </c:pt>
                <c:pt idx="68">
                  <c:v>11837</c:v>
                </c:pt>
                <c:pt idx="69">
                  <c:v>10326</c:v>
                </c:pt>
                <c:pt idx="70">
                  <c:v>14088</c:v>
                </c:pt>
                <c:pt idx="71">
                  <c:v>12429</c:v>
                </c:pt>
                <c:pt idx="72">
                  <c:v>15107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99-4CA5-81B4-B3BBE23C7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703096"/>
        <c:axId val="661031272"/>
      </c:scatterChart>
      <c:scatterChart>
        <c:scatterStyle val="lineMarker"/>
        <c:varyColors val="0"/>
        <c:ser>
          <c:idx val="1"/>
          <c:order val="1"/>
          <c:marker>
            <c:symbol val="none"/>
          </c:marker>
          <c:xVal>
            <c:numRef>
              <c:f>'5.Trend&amp;Season'!$A$4:$A$76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'5.Trend&amp;Season'!$C$4:$C$76</c:f>
              <c:numCache>
                <c:formatCode>0</c:formatCode>
                <c:ptCount val="73"/>
                <c:pt idx="0">
                  <c:v>2675.6</c:v>
                </c:pt>
                <c:pt idx="1">
                  <c:v>2779.2</c:v>
                </c:pt>
                <c:pt idx="2">
                  <c:v>2872.8</c:v>
                </c:pt>
                <c:pt idx="3">
                  <c:v>2986.4</c:v>
                </c:pt>
                <c:pt idx="4">
                  <c:v>3265.4</c:v>
                </c:pt>
                <c:pt idx="5">
                  <c:v>3309.8</c:v>
                </c:pt>
                <c:pt idx="6">
                  <c:v>3431.8</c:v>
                </c:pt>
                <c:pt idx="7">
                  <c:v>3536.4</c:v>
                </c:pt>
                <c:pt idx="8">
                  <c:v>3683.8</c:v>
                </c:pt>
                <c:pt idx="9">
                  <c:v>3769</c:v>
                </c:pt>
                <c:pt idx="10">
                  <c:v>3965.4</c:v>
                </c:pt>
                <c:pt idx="11">
                  <c:v>4088.2</c:v>
                </c:pt>
                <c:pt idx="12">
                  <c:v>4236.8</c:v>
                </c:pt>
                <c:pt idx="13">
                  <c:v>4373.2</c:v>
                </c:pt>
                <c:pt idx="14">
                  <c:v>4303.3999999999996</c:v>
                </c:pt>
                <c:pt idx="15">
                  <c:v>4472.8</c:v>
                </c:pt>
                <c:pt idx="16">
                  <c:v>4552.8</c:v>
                </c:pt>
                <c:pt idx="17">
                  <c:v>4655</c:v>
                </c:pt>
                <c:pt idx="18">
                  <c:v>4905.3999999999996</c:v>
                </c:pt>
                <c:pt idx="19">
                  <c:v>5142.2</c:v>
                </c:pt>
                <c:pt idx="20">
                  <c:v>5369.4</c:v>
                </c:pt>
                <c:pt idx="21">
                  <c:v>5513.4</c:v>
                </c:pt>
                <c:pt idx="22">
                  <c:v>5677.8</c:v>
                </c:pt>
                <c:pt idx="23">
                  <c:v>5751.4</c:v>
                </c:pt>
                <c:pt idx="24">
                  <c:v>5889.4</c:v>
                </c:pt>
                <c:pt idx="25">
                  <c:v>5861.4</c:v>
                </c:pt>
                <c:pt idx="26">
                  <c:v>6054.4</c:v>
                </c:pt>
                <c:pt idx="27">
                  <c:v>6113.8</c:v>
                </c:pt>
                <c:pt idx="28">
                  <c:v>6144.2</c:v>
                </c:pt>
                <c:pt idx="29">
                  <c:v>6436</c:v>
                </c:pt>
                <c:pt idx="30">
                  <c:v>6637.6</c:v>
                </c:pt>
                <c:pt idx="31">
                  <c:v>6663.6</c:v>
                </c:pt>
                <c:pt idx="32">
                  <c:v>6975.2</c:v>
                </c:pt>
                <c:pt idx="33">
                  <c:v>7085</c:v>
                </c:pt>
                <c:pt idx="34">
                  <c:v>7262.8</c:v>
                </c:pt>
                <c:pt idx="35">
                  <c:v>7322.4</c:v>
                </c:pt>
                <c:pt idx="36">
                  <c:v>7609.4</c:v>
                </c:pt>
                <c:pt idx="37">
                  <c:v>7617.8</c:v>
                </c:pt>
                <c:pt idx="38">
                  <c:v>8000.8</c:v>
                </c:pt>
                <c:pt idx="39">
                  <c:v>7897.4</c:v>
                </c:pt>
                <c:pt idx="40">
                  <c:v>8214.6</c:v>
                </c:pt>
                <c:pt idx="41">
                  <c:v>8143</c:v>
                </c:pt>
                <c:pt idx="42">
                  <c:v>8254.4</c:v>
                </c:pt>
                <c:pt idx="43">
                  <c:v>8230.2000000000007</c:v>
                </c:pt>
                <c:pt idx="44">
                  <c:v>8552.4</c:v>
                </c:pt>
                <c:pt idx="45">
                  <c:v>8483.7999999999993</c:v>
                </c:pt>
                <c:pt idx="46">
                  <c:v>8655.7999999999993</c:v>
                </c:pt>
                <c:pt idx="47">
                  <c:v>8629.6</c:v>
                </c:pt>
                <c:pt idx="48">
                  <c:v>8730</c:v>
                </c:pt>
                <c:pt idx="49">
                  <c:v>8762.4</c:v>
                </c:pt>
                <c:pt idx="50">
                  <c:v>8974.4</c:v>
                </c:pt>
                <c:pt idx="51">
                  <c:v>8934</c:v>
                </c:pt>
                <c:pt idx="52">
                  <c:v>8995.7999999999993</c:v>
                </c:pt>
                <c:pt idx="53">
                  <c:v>8993.2000000000007</c:v>
                </c:pt>
                <c:pt idx="54">
                  <c:v>9237.7999999999993</c:v>
                </c:pt>
                <c:pt idx="55">
                  <c:v>9679.4</c:v>
                </c:pt>
                <c:pt idx="56">
                  <c:v>9858.4</c:v>
                </c:pt>
                <c:pt idx="57">
                  <c:v>10032.200000000001</c:v>
                </c:pt>
                <c:pt idx="58">
                  <c:v>10328.799999999999</c:v>
                </c:pt>
                <c:pt idx="59">
                  <c:v>10498.6</c:v>
                </c:pt>
                <c:pt idx="60">
                  <c:v>10610</c:v>
                </c:pt>
                <c:pt idx="61">
                  <c:v>10967.6</c:v>
                </c:pt>
                <c:pt idx="62">
                  <c:v>11278.8</c:v>
                </c:pt>
                <c:pt idx="63">
                  <c:v>11160.8</c:v>
                </c:pt>
                <c:pt idx="64">
                  <c:v>11320</c:v>
                </c:pt>
                <c:pt idx="65">
                  <c:v>11375.6</c:v>
                </c:pt>
                <c:pt idx="66">
                  <c:v>11665.4</c:v>
                </c:pt>
                <c:pt idx="67">
                  <c:v>11628.2</c:v>
                </c:pt>
                <c:pt idx="68">
                  <c:v>12438.8</c:v>
                </c:pt>
                <c:pt idx="69">
                  <c:v>12422</c:v>
                </c:pt>
                <c:pt idx="70">
                  <c:v>12757.4</c:v>
                </c:pt>
                <c:pt idx="71">
                  <c:v>12987.5</c:v>
                </c:pt>
                <c:pt idx="72">
                  <c:v>13874.666666666666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99-4CA5-81B4-B3BBE23C7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703096"/>
        <c:axId val="661031272"/>
      </c:scatterChart>
      <c:valAx>
        <c:axId val="6667030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1031272"/>
        <c:crosses val="autoZero"/>
        <c:crossBetween val="midCat"/>
      </c:valAx>
      <c:valAx>
        <c:axId val="6610312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703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'5.Trend&amp;Season'!$A$4:$A$76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'5.Trend&amp;Season'!$B$4:$B$76</c:f>
              <c:numCache>
                <c:formatCode>0</c:formatCode>
                <c:ptCount val="73"/>
                <c:pt idx="0">
                  <c:v>2551</c:v>
                </c:pt>
                <c:pt idx="1">
                  <c:v>2695</c:v>
                </c:pt>
                <c:pt idx="2">
                  <c:v>3731</c:v>
                </c:pt>
                <c:pt idx="3">
                  <c:v>2531</c:v>
                </c:pt>
                <c:pt idx="4">
                  <c:v>2856</c:v>
                </c:pt>
                <c:pt idx="5">
                  <c:v>3119</c:v>
                </c:pt>
                <c:pt idx="6">
                  <c:v>4090</c:v>
                </c:pt>
                <c:pt idx="7">
                  <c:v>3953</c:v>
                </c:pt>
                <c:pt idx="8">
                  <c:v>3141</c:v>
                </c:pt>
                <c:pt idx="9">
                  <c:v>3379</c:v>
                </c:pt>
                <c:pt idx="10">
                  <c:v>3856</c:v>
                </c:pt>
                <c:pt idx="11">
                  <c:v>4516</c:v>
                </c:pt>
                <c:pt idx="12">
                  <c:v>4935</c:v>
                </c:pt>
                <c:pt idx="13">
                  <c:v>3755</c:v>
                </c:pt>
                <c:pt idx="14">
                  <c:v>4122</c:v>
                </c:pt>
                <c:pt idx="15">
                  <c:v>4538</c:v>
                </c:pt>
                <c:pt idx="16">
                  <c:v>4167</c:v>
                </c:pt>
                <c:pt idx="17">
                  <c:v>5782</c:v>
                </c:pt>
                <c:pt idx="18">
                  <c:v>4155</c:v>
                </c:pt>
                <c:pt idx="19">
                  <c:v>4633</c:v>
                </c:pt>
                <c:pt idx="20">
                  <c:v>5790</c:v>
                </c:pt>
                <c:pt idx="21">
                  <c:v>5351</c:v>
                </c:pt>
                <c:pt idx="22">
                  <c:v>6918</c:v>
                </c:pt>
                <c:pt idx="23">
                  <c:v>4875</c:v>
                </c:pt>
                <c:pt idx="24">
                  <c:v>5455</c:v>
                </c:pt>
                <c:pt idx="25">
                  <c:v>6158</c:v>
                </c:pt>
                <c:pt idx="26">
                  <c:v>6041</c:v>
                </c:pt>
                <c:pt idx="27">
                  <c:v>6778</c:v>
                </c:pt>
                <c:pt idx="28">
                  <c:v>5840</c:v>
                </c:pt>
                <c:pt idx="29">
                  <c:v>5752</c:v>
                </c:pt>
                <c:pt idx="30">
                  <c:v>6310</c:v>
                </c:pt>
                <c:pt idx="31">
                  <c:v>7500</c:v>
                </c:pt>
                <c:pt idx="32">
                  <c:v>7786</c:v>
                </c:pt>
                <c:pt idx="33">
                  <c:v>5970</c:v>
                </c:pt>
                <c:pt idx="34">
                  <c:v>7310</c:v>
                </c:pt>
                <c:pt idx="35">
                  <c:v>6859</c:v>
                </c:pt>
                <c:pt idx="36">
                  <c:v>8389</c:v>
                </c:pt>
                <c:pt idx="37">
                  <c:v>8084</c:v>
                </c:pt>
                <c:pt idx="38">
                  <c:v>7405</c:v>
                </c:pt>
                <c:pt idx="39">
                  <c:v>7352</c:v>
                </c:pt>
                <c:pt idx="40">
                  <c:v>8774</c:v>
                </c:pt>
                <c:pt idx="41">
                  <c:v>7872</c:v>
                </c:pt>
                <c:pt idx="42">
                  <c:v>9670</c:v>
                </c:pt>
                <c:pt idx="43">
                  <c:v>7047</c:v>
                </c:pt>
                <c:pt idx="44">
                  <c:v>7909</c:v>
                </c:pt>
                <c:pt idx="45">
                  <c:v>8653</c:v>
                </c:pt>
                <c:pt idx="46">
                  <c:v>9483</c:v>
                </c:pt>
                <c:pt idx="47">
                  <c:v>9327</c:v>
                </c:pt>
                <c:pt idx="48">
                  <c:v>7907</c:v>
                </c:pt>
                <c:pt idx="49">
                  <c:v>7778</c:v>
                </c:pt>
                <c:pt idx="50">
                  <c:v>9155</c:v>
                </c:pt>
                <c:pt idx="51">
                  <c:v>9645</c:v>
                </c:pt>
                <c:pt idx="52">
                  <c:v>10387</c:v>
                </c:pt>
                <c:pt idx="53">
                  <c:v>7705</c:v>
                </c:pt>
                <c:pt idx="54">
                  <c:v>8087</c:v>
                </c:pt>
                <c:pt idx="55">
                  <c:v>9142</c:v>
                </c:pt>
                <c:pt idx="56">
                  <c:v>10868</c:v>
                </c:pt>
                <c:pt idx="57">
                  <c:v>12595</c:v>
                </c:pt>
                <c:pt idx="58">
                  <c:v>8600</c:v>
                </c:pt>
                <c:pt idx="59">
                  <c:v>8956</c:v>
                </c:pt>
                <c:pt idx="60">
                  <c:v>10625</c:v>
                </c:pt>
                <c:pt idx="61">
                  <c:v>11717</c:v>
                </c:pt>
                <c:pt idx="62">
                  <c:v>13152</c:v>
                </c:pt>
                <c:pt idx="63">
                  <c:v>10388</c:v>
                </c:pt>
                <c:pt idx="64">
                  <c:v>10512</c:v>
                </c:pt>
                <c:pt idx="65">
                  <c:v>10035</c:v>
                </c:pt>
                <c:pt idx="66">
                  <c:v>12513</c:v>
                </c:pt>
                <c:pt idx="67">
                  <c:v>13430</c:v>
                </c:pt>
                <c:pt idx="68">
                  <c:v>11837</c:v>
                </c:pt>
                <c:pt idx="69">
                  <c:v>10326</c:v>
                </c:pt>
                <c:pt idx="70">
                  <c:v>14088</c:v>
                </c:pt>
                <c:pt idx="71">
                  <c:v>12429</c:v>
                </c:pt>
                <c:pt idx="72">
                  <c:v>15107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3B-45CB-96DE-8D1EC3BC9067}"/>
            </c:ext>
          </c:extLst>
        </c:ser>
        <c:ser>
          <c:idx val="1"/>
          <c:order val="1"/>
          <c:marker>
            <c:symbol val="none"/>
          </c:marker>
          <c:xVal>
            <c:numRef>
              <c:f>'5.Trend&amp;Season'!$A$4:$A$76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'5.Trend&amp;Season'!$G$4:$G$76</c:f>
              <c:numCache>
                <c:formatCode>General</c:formatCode>
                <c:ptCount val="73"/>
                <c:pt idx="0">
                  <c:v>2493.9008804300456</c:v>
                </c:pt>
                <c:pt idx="1">
                  <c:v>2763.7394630571798</c:v>
                </c:pt>
                <c:pt idx="2">
                  <c:v>3220.0298233437825</c:v>
                </c:pt>
                <c:pt idx="3">
                  <c:v>2546.7253933007637</c:v>
                </c:pt>
                <c:pt idx="4">
                  <c:v>2752.6042533903997</c:v>
                </c:pt>
                <c:pt idx="5">
                  <c:v>3183.2503287989066</c:v>
                </c:pt>
                <c:pt idx="6">
                  <c:v>3487.6559591046534</c:v>
                </c:pt>
                <c:pt idx="7">
                  <c:v>4021.4788397051925</c:v>
                </c:pt>
                <c:pt idx="8">
                  <c:v>3150.5353245665765</c:v>
                </c:pt>
                <c:pt idx="9">
                  <c:v>3375.6811600633673</c:v>
                </c:pt>
                <c:pt idx="10">
                  <c:v>3872.5997771677671</c:v>
                </c:pt>
                <c:pt idx="11">
                  <c:v>4211.5724551521271</c:v>
                </c:pt>
                <c:pt idx="12">
                  <c:v>4822.9278560666025</c:v>
                </c:pt>
                <c:pt idx="13">
                  <c:v>3754.3452558323893</c:v>
                </c:pt>
                <c:pt idx="14">
                  <c:v>3998.758066736335</c:v>
                </c:pt>
                <c:pt idx="15">
                  <c:v>4561.9492255366267</c:v>
                </c:pt>
                <c:pt idx="16">
                  <c:v>4935.4889511996025</c:v>
                </c:pt>
                <c:pt idx="17">
                  <c:v>5624.3768724280126</c:v>
                </c:pt>
                <c:pt idx="18">
                  <c:v>4358.1551870982012</c:v>
                </c:pt>
                <c:pt idx="19">
                  <c:v>4621.8349734093026</c:v>
                </c:pt>
                <c:pt idx="20">
                  <c:v>5251.2986739054886</c:v>
                </c:pt>
                <c:pt idx="21">
                  <c:v>5659.4054472470752</c:v>
                </c:pt>
                <c:pt idx="22">
                  <c:v>6425.8258887894226</c:v>
                </c:pt>
                <c:pt idx="23">
                  <c:v>4961.9651183640135</c:v>
                </c:pt>
                <c:pt idx="24">
                  <c:v>5244.9118800822698</c:v>
                </c:pt>
                <c:pt idx="25">
                  <c:v>5940.6481222743487</c:v>
                </c:pt>
                <c:pt idx="26">
                  <c:v>6383.3219432945498</c:v>
                </c:pt>
                <c:pt idx="27">
                  <c:v>7227.2749051508326</c:v>
                </c:pt>
                <c:pt idx="28">
                  <c:v>5565.7750496298258</c:v>
                </c:pt>
                <c:pt idx="29">
                  <c:v>5867.988786755237</c:v>
                </c:pt>
                <c:pt idx="30">
                  <c:v>6629.9975706432097</c:v>
                </c:pt>
                <c:pt idx="31">
                  <c:v>7107.2384393420234</c:v>
                </c:pt>
                <c:pt idx="32">
                  <c:v>8028.7239215122427</c:v>
                </c:pt>
                <c:pt idx="33">
                  <c:v>6169.5849808956382</c:v>
                </c:pt>
                <c:pt idx="34">
                  <c:v>6491.0656934282042</c:v>
                </c:pt>
                <c:pt idx="35">
                  <c:v>7319.3470190120706</c:v>
                </c:pt>
                <c:pt idx="36">
                  <c:v>7831.154935389498</c:v>
                </c:pt>
                <c:pt idx="37">
                  <c:v>8830.1729378736527</c:v>
                </c:pt>
                <c:pt idx="38">
                  <c:v>6773.3949121614505</c:v>
                </c:pt>
                <c:pt idx="39">
                  <c:v>7114.1426001011723</c:v>
                </c:pt>
                <c:pt idx="40">
                  <c:v>8008.6964673809316</c:v>
                </c:pt>
                <c:pt idx="41">
                  <c:v>8555.0714314369725</c:v>
                </c:pt>
                <c:pt idx="42">
                  <c:v>9631.6219542350627</c:v>
                </c:pt>
                <c:pt idx="43">
                  <c:v>7377.2048434272619</c:v>
                </c:pt>
                <c:pt idx="44">
                  <c:v>7737.2195067741395</c:v>
                </c:pt>
                <c:pt idx="45">
                  <c:v>8698.0459157497917</c:v>
                </c:pt>
                <c:pt idx="46">
                  <c:v>9278.9879274844461</c:v>
                </c:pt>
                <c:pt idx="47">
                  <c:v>10433.070970596473</c:v>
                </c:pt>
                <c:pt idx="48">
                  <c:v>7981.0147746930752</c:v>
                </c:pt>
                <c:pt idx="49">
                  <c:v>8360.2964134471058</c:v>
                </c:pt>
                <c:pt idx="50">
                  <c:v>9387.3953641186508</c:v>
                </c:pt>
                <c:pt idx="51">
                  <c:v>10002.90442353192</c:v>
                </c:pt>
                <c:pt idx="52">
                  <c:v>11234.519986957885</c:v>
                </c:pt>
                <c:pt idx="53">
                  <c:v>8584.8247059588884</c:v>
                </c:pt>
                <c:pt idx="54">
                  <c:v>8983.3733201200739</c:v>
                </c:pt>
                <c:pt idx="55">
                  <c:v>10076.744812487512</c:v>
                </c:pt>
                <c:pt idx="56">
                  <c:v>10726.820919579393</c:v>
                </c:pt>
                <c:pt idx="57">
                  <c:v>12035.969003319293</c:v>
                </c:pt>
                <c:pt idx="58">
                  <c:v>9188.6346372247008</c:v>
                </c:pt>
                <c:pt idx="59">
                  <c:v>9606.4502267930402</c:v>
                </c:pt>
                <c:pt idx="60">
                  <c:v>10766.094260856375</c:v>
                </c:pt>
                <c:pt idx="61">
                  <c:v>11450.737415626867</c:v>
                </c:pt>
                <c:pt idx="62">
                  <c:v>12837.418019680703</c:v>
                </c:pt>
                <c:pt idx="63">
                  <c:v>9792.4445684905131</c:v>
                </c:pt>
                <c:pt idx="64">
                  <c:v>10229.52713346601</c:v>
                </c:pt>
                <c:pt idx="65">
                  <c:v>11455.443709225234</c:v>
                </c:pt>
                <c:pt idx="66">
                  <c:v>12174.653911674341</c:v>
                </c:pt>
                <c:pt idx="67">
                  <c:v>13638.867036042113</c:v>
                </c:pt>
                <c:pt idx="68">
                  <c:v>10396.254499756325</c:v>
                </c:pt>
                <c:pt idx="69">
                  <c:v>10852.604040138976</c:v>
                </c:pt>
                <c:pt idx="70">
                  <c:v>12144.793157594095</c:v>
                </c:pt>
                <c:pt idx="71">
                  <c:v>12898.570407721816</c:v>
                </c:pt>
                <c:pt idx="72">
                  <c:v>14440.316052403523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3B-45CB-96DE-8D1EC3BC9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599520"/>
        <c:axId val="228969872"/>
      </c:scatterChart>
      <c:valAx>
        <c:axId val="66359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969872"/>
        <c:crosses val="autoZero"/>
        <c:crossBetween val="midCat"/>
      </c:valAx>
      <c:valAx>
        <c:axId val="2289698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5995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'5.Trend&amp;Season'!$B$1</c:f>
              <c:strCache>
                <c:ptCount val="1"/>
                <c:pt idx="0">
                  <c:v>Trend&amp;S</c:v>
                </c:pt>
              </c:strCache>
            </c:strRef>
          </c:tx>
          <c:xVal>
            <c:numRef>
              <c:f>'5.Trend&amp;Season'!$A$2:$A$76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'5.Trend&amp;Season'!$B$2:$B$76</c:f>
              <c:numCache>
                <c:formatCode>0</c:formatCode>
                <c:ptCount val="75"/>
                <c:pt idx="0">
                  <c:v>2013</c:v>
                </c:pt>
                <c:pt idx="1">
                  <c:v>2388</c:v>
                </c:pt>
                <c:pt idx="2">
                  <c:v>2551</c:v>
                </c:pt>
                <c:pt idx="3">
                  <c:v>2695</c:v>
                </c:pt>
                <c:pt idx="4">
                  <c:v>3731</c:v>
                </c:pt>
                <c:pt idx="5">
                  <c:v>2531</c:v>
                </c:pt>
                <c:pt idx="6">
                  <c:v>2856</c:v>
                </c:pt>
                <c:pt idx="7">
                  <c:v>3119</c:v>
                </c:pt>
                <c:pt idx="8">
                  <c:v>4090</c:v>
                </c:pt>
                <c:pt idx="9">
                  <c:v>3953</c:v>
                </c:pt>
                <c:pt idx="10">
                  <c:v>3141</c:v>
                </c:pt>
                <c:pt idx="11">
                  <c:v>3379</c:v>
                </c:pt>
                <c:pt idx="12">
                  <c:v>3856</c:v>
                </c:pt>
                <c:pt idx="13">
                  <c:v>4516</c:v>
                </c:pt>
                <c:pt idx="14">
                  <c:v>4935</c:v>
                </c:pt>
                <c:pt idx="15">
                  <c:v>3755</c:v>
                </c:pt>
                <c:pt idx="16">
                  <c:v>4122</c:v>
                </c:pt>
                <c:pt idx="17">
                  <c:v>4538</c:v>
                </c:pt>
                <c:pt idx="18">
                  <c:v>4167</c:v>
                </c:pt>
                <c:pt idx="19">
                  <c:v>5782</c:v>
                </c:pt>
                <c:pt idx="20">
                  <c:v>4155</c:v>
                </c:pt>
                <c:pt idx="21">
                  <c:v>4633</c:v>
                </c:pt>
                <c:pt idx="22">
                  <c:v>5790</c:v>
                </c:pt>
                <c:pt idx="23">
                  <c:v>5351</c:v>
                </c:pt>
                <c:pt idx="24">
                  <c:v>6918</c:v>
                </c:pt>
                <c:pt idx="25">
                  <c:v>4875</c:v>
                </c:pt>
                <c:pt idx="26">
                  <c:v>5455</c:v>
                </c:pt>
                <c:pt idx="27">
                  <c:v>6158</c:v>
                </c:pt>
                <c:pt idx="28">
                  <c:v>6041</c:v>
                </c:pt>
                <c:pt idx="29">
                  <c:v>6778</c:v>
                </c:pt>
                <c:pt idx="30">
                  <c:v>5840</c:v>
                </c:pt>
                <c:pt idx="31">
                  <c:v>5752</c:v>
                </c:pt>
                <c:pt idx="32">
                  <c:v>6310</c:v>
                </c:pt>
                <c:pt idx="33">
                  <c:v>7500</c:v>
                </c:pt>
                <c:pt idx="34">
                  <c:v>7786</c:v>
                </c:pt>
                <c:pt idx="35">
                  <c:v>5970</c:v>
                </c:pt>
                <c:pt idx="36">
                  <c:v>7310</c:v>
                </c:pt>
                <c:pt idx="37">
                  <c:v>6859</c:v>
                </c:pt>
                <c:pt idx="38">
                  <c:v>8389</c:v>
                </c:pt>
                <c:pt idx="39">
                  <c:v>8084</c:v>
                </c:pt>
                <c:pt idx="40">
                  <c:v>7405</c:v>
                </c:pt>
                <c:pt idx="41">
                  <c:v>7352</c:v>
                </c:pt>
                <c:pt idx="42">
                  <c:v>8774</c:v>
                </c:pt>
                <c:pt idx="43">
                  <c:v>7872</c:v>
                </c:pt>
                <c:pt idx="44">
                  <c:v>9670</c:v>
                </c:pt>
                <c:pt idx="45">
                  <c:v>7047</c:v>
                </c:pt>
                <c:pt idx="46">
                  <c:v>7909</c:v>
                </c:pt>
                <c:pt idx="47">
                  <c:v>8653</c:v>
                </c:pt>
                <c:pt idx="48">
                  <c:v>9483</c:v>
                </c:pt>
                <c:pt idx="49">
                  <c:v>9327</c:v>
                </c:pt>
                <c:pt idx="50">
                  <c:v>7907</c:v>
                </c:pt>
                <c:pt idx="51">
                  <c:v>7778</c:v>
                </c:pt>
                <c:pt idx="52">
                  <c:v>9155</c:v>
                </c:pt>
                <c:pt idx="53">
                  <c:v>9645</c:v>
                </c:pt>
                <c:pt idx="54">
                  <c:v>10387</c:v>
                </c:pt>
                <c:pt idx="55">
                  <c:v>7705</c:v>
                </c:pt>
                <c:pt idx="56">
                  <c:v>8087</c:v>
                </c:pt>
                <c:pt idx="57">
                  <c:v>9142</c:v>
                </c:pt>
                <c:pt idx="58">
                  <c:v>10868</c:v>
                </c:pt>
                <c:pt idx="59">
                  <c:v>12595</c:v>
                </c:pt>
                <c:pt idx="60">
                  <c:v>8600</c:v>
                </c:pt>
                <c:pt idx="61">
                  <c:v>8956</c:v>
                </c:pt>
                <c:pt idx="62">
                  <c:v>10625</c:v>
                </c:pt>
                <c:pt idx="63">
                  <c:v>11717</c:v>
                </c:pt>
                <c:pt idx="64">
                  <c:v>13152</c:v>
                </c:pt>
                <c:pt idx="65">
                  <c:v>10388</c:v>
                </c:pt>
                <c:pt idx="66">
                  <c:v>10512</c:v>
                </c:pt>
                <c:pt idx="67">
                  <c:v>10035</c:v>
                </c:pt>
                <c:pt idx="68">
                  <c:v>12513</c:v>
                </c:pt>
                <c:pt idx="69">
                  <c:v>13430</c:v>
                </c:pt>
                <c:pt idx="70">
                  <c:v>11837</c:v>
                </c:pt>
                <c:pt idx="71">
                  <c:v>10326</c:v>
                </c:pt>
                <c:pt idx="72">
                  <c:v>14088</c:v>
                </c:pt>
                <c:pt idx="73">
                  <c:v>12429</c:v>
                </c:pt>
                <c:pt idx="74">
                  <c:v>15107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8D-4DC0-AD53-0DE1DBED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458544"/>
        <c:axId val="669458936"/>
      </c:scatterChart>
      <c:valAx>
        <c:axId val="669458544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9458936"/>
        <c:crosses val="autoZero"/>
        <c:crossBetween val="midCat"/>
      </c:valAx>
      <c:valAx>
        <c:axId val="66945893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6694585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'5.Trend&amp;Season'!$B$1</c:f>
              <c:strCache>
                <c:ptCount val="1"/>
                <c:pt idx="0">
                  <c:v>Trend&amp;S</c:v>
                </c:pt>
              </c:strCache>
            </c:strRef>
          </c:tx>
          <c:marker>
            <c:symbol val="none"/>
          </c:marker>
          <c:xVal>
            <c:numRef>
              <c:f>'5.Trend&amp;Season'!$A$2:$A$76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'5.Trend&amp;Season'!$C$2:$C$76</c:f>
              <c:numCache>
                <c:formatCode>General</c:formatCode>
                <c:ptCount val="75"/>
                <c:pt idx="2" formatCode="0">
                  <c:v>2675.6</c:v>
                </c:pt>
                <c:pt idx="3" formatCode="0">
                  <c:v>2779.2</c:v>
                </c:pt>
                <c:pt idx="4" formatCode="0">
                  <c:v>2872.8</c:v>
                </c:pt>
                <c:pt idx="5" formatCode="0">
                  <c:v>2986.4</c:v>
                </c:pt>
                <c:pt idx="6" formatCode="0">
                  <c:v>3265.4</c:v>
                </c:pt>
                <c:pt idx="7" formatCode="0">
                  <c:v>3309.8</c:v>
                </c:pt>
                <c:pt idx="8" formatCode="0">
                  <c:v>3431.8</c:v>
                </c:pt>
                <c:pt idx="9" formatCode="0">
                  <c:v>3536.4</c:v>
                </c:pt>
                <c:pt idx="10" formatCode="0">
                  <c:v>3683.8</c:v>
                </c:pt>
                <c:pt idx="11" formatCode="0">
                  <c:v>3769</c:v>
                </c:pt>
                <c:pt idx="12" formatCode="0">
                  <c:v>3965.4</c:v>
                </c:pt>
                <c:pt idx="13" formatCode="0">
                  <c:v>4088.2</c:v>
                </c:pt>
                <c:pt idx="14" formatCode="0">
                  <c:v>4236.8</c:v>
                </c:pt>
                <c:pt idx="15" formatCode="0">
                  <c:v>4373.2</c:v>
                </c:pt>
                <c:pt idx="16" formatCode="0">
                  <c:v>4303.3999999999996</c:v>
                </c:pt>
                <c:pt idx="17" formatCode="0">
                  <c:v>4472.8</c:v>
                </c:pt>
                <c:pt idx="18" formatCode="0">
                  <c:v>4552.8</c:v>
                </c:pt>
                <c:pt idx="19" formatCode="0">
                  <c:v>4655</c:v>
                </c:pt>
                <c:pt idx="20" formatCode="0">
                  <c:v>4905.3999999999996</c:v>
                </c:pt>
                <c:pt idx="21" formatCode="0">
                  <c:v>5142.2</c:v>
                </c:pt>
                <c:pt idx="22" formatCode="0">
                  <c:v>5369.4</c:v>
                </c:pt>
                <c:pt idx="23" formatCode="0">
                  <c:v>5513.4</c:v>
                </c:pt>
                <c:pt idx="24" formatCode="0">
                  <c:v>5677.8</c:v>
                </c:pt>
                <c:pt idx="25" formatCode="0">
                  <c:v>5751.4</c:v>
                </c:pt>
                <c:pt idx="26" formatCode="0">
                  <c:v>5889.4</c:v>
                </c:pt>
                <c:pt idx="27" formatCode="0">
                  <c:v>5861.4</c:v>
                </c:pt>
                <c:pt idx="28" formatCode="0">
                  <c:v>6054.4</c:v>
                </c:pt>
                <c:pt idx="29" formatCode="0">
                  <c:v>6113.8</c:v>
                </c:pt>
                <c:pt idx="30" formatCode="0">
                  <c:v>6144.2</c:v>
                </c:pt>
                <c:pt idx="31" formatCode="0">
                  <c:v>6436</c:v>
                </c:pt>
                <c:pt idx="32" formatCode="0">
                  <c:v>6637.6</c:v>
                </c:pt>
                <c:pt idx="33" formatCode="0">
                  <c:v>6663.6</c:v>
                </c:pt>
                <c:pt idx="34" formatCode="0">
                  <c:v>6975.2</c:v>
                </c:pt>
                <c:pt idx="35" formatCode="0">
                  <c:v>7085</c:v>
                </c:pt>
                <c:pt idx="36" formatCode="0">
                  <c:v>7262.8</c:v>
                </c:pt>
                <c:pt idx="37" formatCode="0">
                  <c:v>7322.4</c:v>
                </c:pt>
                <c:pt idx="38" formatCode="0">
                  <c:v>7609.4</c:v>
                </c:pt>
                <c:pt idx="39" formatCode="0">
                  <c:v>7617.8</c:v>
                </c:pt>
                <c:pt idx="40" formatCode="0">
                  <c:v>8000.8</c:v>
                </c:pt>
                <c:pt idx="41" formatCode="0">
                  <c:v>7897.4</c:v>
                </c:pt>
                <c:pt idx="42" formatCode="0">
                  <c:v>8214.6</c:v>
                </c:pt>
                <c:pt idx="43" formatCode="0">
                  <c:v>8143</c:v>
                </c:pt>
                <c:pt idx="44" formatCode="0">
                  <c:v>8254.4</c:v>
                </c:pt>
                <c:pt idx="45" formatCode="0">
                  <c:v>8230.2000000000007</c:v>
                </c:pt>
                <c:pt idx="46" formatCode="0">
                  <c:v>8552.4</c:v>
                </c:pt>
                <c:pt idx="47" formatCode="0">
                  <c:v>8483.7999999999993</c:v>
                </c:pt>
                <c:pt idx="48" formatCode="0">
                  <c:v>8655.7999999999993</c:v>
                </c:pt>
                <c:pt idx="49" formatCode="0">
                  <c:v>8629.6</c:v>
                </c:pt>
                <c:pt idx="50" formatCode="0">
                  <c:v>8730</c:v>
                </c:pt>
                <c:pt idx="51" formatCode="0">
                  <c:v>8762.4</c:v>
                </c:pt>
                <c:pt idx="52" formatCode="0">
                  <c:v>8974.4</c:v>
                </c:pt>
                <c:pt idx="53" formatCode="0">
                  <c:v>8934</c:v>
                </c:pt>
                <c:pt idx="54" formatCode="0">
                  <c:v>8995.7999999999993</c:v>
                </c:pt>
                <c:pt idx="55" formatCode="0">
                  <c:v>8993.2000000000007</c:v>
                </c:pt>
                <c:pt idx="56" formatCode="0">
                  <c:v>9237.7999999999993</c:v>
                </c:pt>
                <c:pt idx="57" formatCode="0">
                  <c:v>9679.4</c:v>
                </c:pt>
                <c:pt idx="58" formatCode="0">
                  <c:v>9858.4</c:v>
                </c:pt>
                <c:pt idx="59" formatCode="0">
                  <c:v>10032.200000000001</c:v>
                </c:pt>
                <c:pt idx="60" formatCode="0">
                  <c:v>10328.799999999999</c:v>
                </c:pt>
                <c:pt idx="61" formatCode="0">
                  <c:v>10498.6</c:v>
                </c:pt>
                <c:pt idx="62" formatCode="0">
                  <c:v>10610</c:v>
                </c:pt>
                <c:pt idx="63" formatCode="0">
                  <c:v>10967.6</c:v>
                </c:pt>
                <c:pt idx="64" formatCode="0">
                  <c:v>11278.8</c:v>
                </c:pt>
                <c:pt idx="65" formatCode="0">
                  <c:v>11160.8</c:v>
                </c:pt>
                <c:pt idx="66" formatCode="0">
                  <c:v>11320</c:v>
                </c:pt>
                <c:pt idx="67" formatCode="0">
                  <c:v>11375.6</c:v>
                </c:pt>
                <c:pt idx="68" formatCode="0">
                  <c:v>11665.4</c:v>
                </c:pt>
                <c:pt idx="69" formatCode="0">
                  <c:v>11628.2</c:v>
                </c:pt>
                <c:pt idx="70" formatCode="0">
                  <c:v>12438.8</c:v>
                </c:pt>
                <c:pt idx="71" formatCode="0">
                  <c:v>12422</c:v>
                </c:pt>
                <c:pt idx="72" formatCode="0">
                  <c:v>12757.4</c:v>
                </c:pt>
                <c:pt idx="73" formatCode="0">
                  <c:v>12987.5</c:v>
                </c:pt>
                <c:pt idx="74" formatCode="0">
                  <c:v>13874.666666666666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74-4D2D-BB3C-D57A208D7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459720"/>
        <c:axId val="669460112"/>
      </c:scatterChart>
      <c:valAx>
        <c:axId val="66945972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9460112"/>
        <c:crosses val="autoZero"/>
        <c:crossBetween val="midCat"/>
      </c:valAx>
      <c:valAx>
        <c:axId val="669460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94597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xVal>
            <c:numRef>
              <c:f>'2.1.MAvs6MA'!$A$9:$A$14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'2.1.MAvs6MA'!$B$9:$B$14</c:f>
              <c:numCache>
                <c:formatCode>0</c:formatCode>
                <c:ptCount val="6"/>
                <c:pt idx="0">
                  <c:v>1572</c:v>
                </c:pt>
                <c:pt idx="1">
                  <c:v>1488</c:v>
                </c:pt>
                <c:pt idx="2">
                  <c:v>1704</c:v>
                </c:pt>
                <c:pt idx="3">
                  <c:v>1566</c:v>
                </c:pt>
                <c:pt idx="4">
                  <c:v>1548</c:v>
                </c:pt>
                <c:pt idx="5">
                  <c:v>1236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F5-4749-9C79-D5B5E51DCC70}"/>
            </c:ext>
          </c:extLst>
        </c:ser>
        <c:ser>
          <c:idx val="1"/>
          <c:order val="1"/>
          <c:tx>
            <c:v>3-P-MA</c:v>
          </c:tx>
          <c:xVal>
            <c:numRef>
              <c:f>'2.1.MAvs6MA'!$A$9:$A$14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'2.1.MAvs6MA'!$D$9:$D$14</c:f>
              <c:numCache>
                <c:formatCode>0</c:formatCode>
                <c:ptCount val="6"/>
                <c:pt idx="0">
                  <c:v>1336</c:v>
                </c:pt>
                <c:pt idx="1">
                  <c:v>1370</c:v>
                </c:pt>
                <c:pt idx="2">
                  <c:v>1530</c:v>
                </c:pt>
                <c:pt idx="3">
                  <c:v>1588</c:v>
                </c:pt>
                <c:pt idx="4">
                  <c:v>1586</c:v>
                </c:pt>
                <c:pt idx="5">
                  <c:v>1606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F5-4749-9C79-D5B5E51DCC70}"/>
            </c:ext>
          </c:extLst>
        </c:ser>
        <c:ser>
          <c:idx val="2"/>
          <c:order val="2"/>
          <c:tx>
            <c:v>6-P-MA</c:v>
          </c:tx>
          <c:xVal>
            <c:numRef>
              <c:f>'2.1.MAvs6MA'!$A$9:$A$14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'2.1.MAvs6MA'!$H$9:$H$14</c:f>
              <c:numCache>
                <c:formatCode>0</c:formatCode>
                <c:ptCount val="6"/>
                <c:pt idx="0">
                  <c:v>1359</c:v>
                </c:pt>
                <c:pt idx="1">
                  <c:v>1393</c:v>
                </c:pt>
                <c:pt idx="2">
                  <c:v>1348</c:v>
                </c:pt>
                <c:pt idx="3">
                  <c:v>1462</c:v>
                </c:pt>
                <c:pt idx="4">
                  <c:v>1478</c:v>
                </c:pt>
                <c:pt idx="5">
                  <c:v>1568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F5-4749-9C79-D5B5E51DC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7752"/>
        <c:axId val="663608144"/>
      </c:scatterChart>
      <c:valAx>
        <c:axId val="663607752"/>
        <c:scaling>
          <c:orientation val="minMax"/>
          <c:max val="12"/>
          <c:min val="7"/>
        </c:scaling>
        <c:delete val="0"/>
        <c:axPos val="b"/>
        <c:numFmt formatCode="General" sourceLinked="1"/>
        <c:majorTickMark val="out"/>
        <c:minorTickMark val="none"/>
        <c:tickLblPos val="nextTo"/>
        <c:crossAx val="663608144"/>
        <c:crosses val="autoZero"/>
        <c:crossBetween val="midCat"/>
      </c:valAx>
      <c:valAx>
        <c:axId val="663608144"/>
        <c:scaling>
          <c:orientation val="minMax"/>
          <c:max val="1800"/>
          <c:min val="1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607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'2.1.MAvs6MA'!$A$27:$A$32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'2.1.MAvs6MA'!$B$27:$B$32</c:f>
              <c:numCache>
                <c:formatCode>0</c:formatCode>
                <c:ptCount val="6"/>
                <c:pt idx="0">
                  <c:v>1104</c:v>
                </c:pt>
                <c:pt idx="1">
                  <c:v>1716</c:v>
                </c:pt>
                <c:pt idx="2">
                  <c:v>1650</c:v>
                </c:pt>
                <c:pt idx="3">
                  <c:v>1692</c:v>
                </c:pt>
                <c:pt idx="4">
                  <c:v>1320</c:v>
                </c:pt>
                <c:pt idx="5">
                  <c:v>1758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F5-4749-9C79-D5B5E51DCC70}"/>
            </c:ext>
          </c:extLst>
        </c:ser>
        <c:ser>
          <c:idx val="1"/>
          <c:order val="1"/>
          <c:xVal>
            <c:numRef>
              <c:f>'2.1.MAvs6MA'!$A$27:$A$32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'2.1.MAvs6MA'!$D$27:$D$32</c:f>
              <c:numCache>
                <c:formatCode>0</c:formatCode>
                <c:ptCount val="6"/>
                <c:pt idx="0">
                  <c:v>1554</c:v>
                </c:pt>
                <c:pt idx="1">
                  <c:v>1444</c:v>
                </c:pt>
                <c:pt idx="2">
                  <c:v>1386</c:v>
                </c:pt>
                <c:pt idx="3">
                  <c:v>1490</c:v>
                </c:pt>
                <c:pt idx="4">
                  <c:v>1686</c:v>
                </c:pt>
                <c:pt idx="5">
                  <c:v>1554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F5-4749-9C79-D5B5E51DCC70}"/>
            </c:ext>
          </c:extLst>
        </c:ser>
        <c:ser>
          <c:idx val="2"/>
          <c:order val="2"/>
          <c:xVal>
            <c:numRef>
              <c:f>'2.1.MAvs6MA'!$A$27:$A$32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'2.1.MAvs6MA'!$H$27:$H$32</c:f>
              <c:numCache>
                <c:formatCode>0</c:formatCode>
                <c:ptCount val="6"/>
                <c:pt idx="0">
                  <c:v>1473</c:v>
                </c:pt>
                <c:pt idx="1">
                  <c:v>1469</c:v>
                </c:pt>
                <c:pt idx="2">
                  <c:v>1444</c:v>
                </c:pt>
                <c:pt idx="3">
                  <c:v>1522</c:v>
                </c:pt>
                <c:pt idx="4">
                  <c:v>1565</c:v>
                </c:pt>
                <c:pt idx="5">
                  <c:v>1470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F5-4749-9C79-D5B5E51DC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8928"/>
        <c:axId val="663609320"/>
      </c:scatterChart>
      <c:valAx>
        <c:axId val="663608928"/>
        <c:scaling>
          <c:orientation val="minMax"/>
          <c:max val="12"/>
          <c:min val="7"/>
        </c:scaling>
        <c:delete val="0"/>
        <c:axPos val="b"/>
        <c:numFmt formatCode="General" sourceLinked="1"/>
        <c:majorTickMark val="out"/>
        <c:minorTickMark val="none"/>
        <c:tickLblPos val="nextTo"/>
        <c:crossAx val="663609320"/>
        <c:crosses val="autoZero"/>
        <c:crossBetween val="midCat"/>
      </c:valAx>
      <c:valAx>
        <c:axId val="663609320"/>
        <c:scaling>
          <c:orientation val="minMax"/>
          <c:max val="1800"/>
          <c:min val="12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608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TrAdES!$F$1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TrAdES2!$B$1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TrAdES2!$B$3:$B$23</c:f>
              <c:numCache>
                <c:formatCode>0</c:formatCode>
                <c:ptCount val="21"/>
                <c:pt idx="0">
                  <c:v>173</c:v>
                </c:pt>
                <c:pt idx="1">
                  <c:v>184</c:v>
                </c:pt>
                <c:pt idx="2">
                  <c:v>255</c:v>
                </c:pt>
                <c:pt idx="3">
                  <c:v>265</c:v>
                </c:pt>
                <c:pt idx="4">
                  <c:v>293</c:v>
                </c:pt>
                <c:pt idx="5">
                  <c:v>322</c:v>
                </c:pt>
                <c:pt idx="6">
                  <c:v>336</c:v>
                </c:pt>
                <c:pt idx="7">
                  <c:v>324</c:v>
                </c:pt>
                <c:pt idx="8">
                  <c:v>431</c:v>
                </c:pt>
                <c:pt idx="9">
                  <c:v>347</c:v>
                </c:pt>
                <c:pt idx="10">
                  <c:v>407</c:v>
                </c:pt>
                <c:pt idx="11">
                  <c:v>423</c:v>
                </c:pt>
                <c:pt idx="12">
                  <c:v>444</c:v>
                </c:pt>
                <c:pt idx="13">
                  <c:v>535</c:v>
                </c:pt>
                <c:pt idx="14">
                  <c:v>567</c:v>
                </c:pt>
                <c:pt idx="15">
                  <c:v>440</c:v>
                </c:pt>
                <c:pt idx="16">
                  <c:v>555</c:v>
                </c:pt>
                <c:pt idx="17">
                  <c:v>531</c:v>
                </c:pt>
                <c:pt idx="18">
                  <c:v>579</c:v>
                </c:pt>
                <c:pt idx="19">
                  <c:v>597</c:v>
                </c:pt>
                <c:pt idx="20">
                  <c:v>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9-430A-8A5A-9269B1A4ACC3}"/>
            </c:ext>
          </c:extLst>
        </c:ser>
        <c:ser>
          <c:idx val="1"/>
          <c:order val="1"/>
          <c:tx>
            <c:strRef>
              <c:f>TrAdES2!$C$1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TrAdES2!$C$4:$C$23</c:f>
              <c:numCache>
                <c:formatCode>0.0</c:formatCode>
                <c:ptCount val="20"/>
                <c:pt idx="0">
                  <c:v>173</c:v>
                </c:pt>
                <c:pt idx="1">
                  <c:v>178.5</c:v>
                </c:pt>
                <c:pt idx="2">
                  <c:v>216.75</c:v>
                </c:pt>
                <c:pt idx="3">
                  <c:v>240.875</c:v>
                </c:pt>
                <c:pt idx="4">
                  <c:v>266.9375</c:v>
                </c:pt>
                <c:pt idx="5">
                  <c:v>294.46875</c:v>
                </c:pt>
                <c:pt idx="6">
                  <c:v>315.234375</c:v>
                </c:pt>
                <c:pt idx="7">
                  <c:v>319.6171875</c:v>
                </c:pt>
                <c:pt idx="8">
                  <c:v>375.30859375</c:v>
                </c:pt>
                <c:pt idx="9">
                  <c:v>361.154296875</c:v>
                </c:pt>
                <c:pt idx="10">
                  <c:v>384.0771484375</c:v>
                </c:pt>
                <c:pt idx="11">
                  <c:v>403.53857421875</c:v>
                </c:pt>
                <c:pt idx="12">
                  <c:v>423.769287109375</c:v>
                </c:pt>
                <c:pt idx="13">
                  <c:v>479.3846435546875</c:v>
                </c:pt>
                <c:pt idx="14">
                  <c:v>523.19232177734375</c:v>
                </c:pt>
                <c:pt idx="15">
                  <c:v>481.59616088867188</c:v>
                </c:pt>
                <c:pt idx="16">
                  <c:v>518.29808044433594</c:v>
                </c:pt>
                <c:pt idx="17">
                  <c:v>524.64904022216797</c:v>
                </c:pt>
                <c:pt idx="18">
                  <c:v>551.82452011108398</c:v>
                </c:pt>
                <c:pt idx="19">
                  <c:v>574.41226005554199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9-430A-8A5A-9269B1A4ACC3}"/>
            </c:ext>
          </c:extLst>
        </c:ser>
        <c:ser>
          <c:idx val="2"/>
          <c:order val="2"/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TrAdES2!$I$3:$I$23</c:f>
              <c:numCache>
                <c:formatCode>0</c:formatCode>
                <c:ptCount val="21"/>
                <c:pt idx="0">
                  <c:v>188.6753246753247</c:v>
                </c:pt>
                <c:pt idx="1">
                  <c:v>197.68961038961041</c:v>
                </c:pt>
                <c:pt idx="2">
                  <c:v>234.77077922077922</c:v>
                </c:pt>
                <c:pt idx="3">
                  <c:v>271.84837662337662</c:v>
                </c:pt>
                <c:pt idx="4">
                  <c:v>295.90568181818185</c:v>
                </c:pt>
                <c:pt idx="5">
                  <c:v>322.69358766233768</c:v>
                </c:pt>
                <c:pt idx="6">
                  <c:v>343.46716720779222</c:v>
                </c:pt>
                <c:pt idx="7">
                  <c:v>344.2937702922078</c:v>
                </c:pt>
                <c:pt idx="8">
                  <c:v>389.92697849025973</c:v>
                </c:pt>
                <c:pt idx="9">
                  <c:v>396.35353591720775</c:v>
                </c:pt>
                <c:pt idx="10">
                  <c:v>394.62179129464283</c:v>
                </c:pt>
                <c:pt idx="11">
                  <c:v>420.28340731534092</c:v>
                </c:pt>
                <c:pt idx="12">
                  <c:v>441.8779594916802</c:v>
                </c:pt>
                <c:pt idx="13">
                  <c:v>498.557107662845</c:v>
                </c:pt>
                <c:pt idx="14">
                  <c:v>560.58761778992493</c:v>
                </c:pt>
                <c:pt idx="15">
                  <c:v>522.19834087421373</c:v>
                </c:pt>
                <c:pt idx="16">
                  <c:v>517.80143642673249</c:v>
                </c:pt>
                <c:pt idx="17">
                  <c:v>542.751851208179</c:v>
                </c:pt>
                <c:pt idx="18">
                  <c:v>564.05149210149591</c:v>
                </c:pt>
                <c:pt idx="19">
                  <c:v>594.11352929945122</c:v>
                </c:pt>
                <c:pt idx="20">
                  <c:v>669.35065627407721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9-430A-8A5A-9269B1A4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TrAdES2!$M$3:$M$77</c:f>
              <c:numCache>
                <c:formatCode>0.0</c:formatCode>
                <c:ptCount val="75"/>
                <c:pt idx="0">
                  <c:v>-1</c:v>
                </c:pt>
                <c:pt idx="1">
                  <c:v>-2</c:v>
                </c:pt>
                <c:pt idx="2">
                  <c:v>-0.55262847790507574</c:v>
                </c:pt>
                <c:pt idx="3">
                  <c:v>-1.1327692228044866</c:v>
                </c:pt>
                <c:pt idx="4">
                  <c:v>-1.5914356442414253</c:v>
                </c:pt>
                <c:pt idx="5">
                  <c:v>-1.9569726178325495</c:v>
                </c:pt>
                <c:pt idx="6">
                  <c:v>-2.8048671983821354</c:v>
                </c:pt>
                <c:pt idx="7">
                  <c:v>-4.3136966511275148</c:v>
                </c:pt>
                <c:pt idx="8">
                  <c:v>-0.43795269955625643</c:v>
                </c:pt>
                <c:pt idx="9">
                  <c:v>-3.1209690703145205</c:v>
                </c:pt>
                <c:pt idx="10">
                  <c:v>-2.4957707623343066</c:v>
                </c:pt>
                <c:pt idx="11">
                  <c:v>-2.5157760219733136</c:v>
                </c:pt>
                <c:pt idx="12">
                  <c:v>-2.5546865152588163</c:v>
                </c:pt>
                <c:pt idx="13">
                  <c:v>-0.11863904355660683</c:v>
                </c:pt>
                <c:pt idx="14">
                  <c:v>0.2799377531915162</c:v>
                </c:pt>
                <c:pt idx="15">
                  <c:v>-3.8814899897101731</c:v>
                </c:pt>
                <c:pt idx="16">
                  <c:v>-1.9273002117914055</c:v>
                </c:pt>
                <c:pt idx="17">
                  <c:v>-2.5483215804187389</c:v>
                </c:pt>
                <c:pt idx="18">
                  <c:v>-1.8464176790385431</c:v>
                </c:pt>
                <c:pt idx="19">
                  <c:v>-1.7800499697646763</c:v>
                </c:pt>
                <c:pt idx="20">
                  <c:v>0.86781092367164214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ADF-9616-C9B23212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BookData!$B$1</c:f>
          <c:strCache>
            <c:ptCount val="1"/>
            <c:pt idx="0">
              <c:v>Office 1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A-423D-A506-AB199EC6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1480"/>
        <c:axId val="663241872"/>
      </c:barChart>
      <c:catAx>
        <c:axId val="663241480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1872"/>
        <c:crosses val="autoZero"/>
        <c:auto val="1"/>
        <c:lblAlgn val="ctr"/>
        <c:lblOffset val="100"/>
        <c:noMultiLvlLbl val="0"/>
      </c:catAx>
      <c:valAx>
        <c:axId val="6632418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1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0-4F9C-A4D8-A042C346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2656"/>
        <c:axId val="663243048"/>
      </c:barChart>
      <c:catAx>
        <c:axId val="66324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3048"/>
        <c:crosses val="autoZero"/>
        <c:auto val="1"/>
        <c:lblAlgn val="ctr"/>
        <c:lblOffset val="100"/>
        <c:noMultiLvlLbl val="0"/>
      </c:catAx>
      <c:valAx>
        <c:axId val="6632430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F-4DA7-94EB-870607BE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3832"/>
        <c:axId val="666687416"/>
      </c:barChart>
      <c:catAx>
        <c:axId val="663243832"/>
        <c:scaling>
          <c:orientation val="minMax"/>
        </c:scaling>
        <c:delete val="0"/>
        <c:axPos val="b"/>
        <c:majorTickMark val="out"/>
        <c:minorTickMark val="none"/>
        <c:tickLblPos val="nextTo"/>
        <c:crossAx val="666687416"/>
        <c:crosses val="autoZero"/>
        <c:auto val="1"/>
        <c:lblAlgn val="ctr"/>
        <c:lblOffset val="100"/>
        <c:noMultiLvlLbl val="0"/>
      </c:catAx>
      <c:valAx>
        <c:axId val="66668741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3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9-437F-930B-8D0ECDDB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8200"/>
        <c:axId val="666688592"/>
      </c:scatterChart>
      <c:valAx>
        <c:axId val="66668820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8592"/>
        <c:crosses val="autoZero"/>
        <c:crossBetween val="midCat"/>
      </c:valAx>
      <c:valAx>
        <c:axId val="6666885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8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6A-4625-BC05-91AE3EF7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9376"/>
        <c:axId val="666689768"/>
      </c:scatterChart>
      <c:valAx>
        <c:axId val="6666893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9768"/>
        <c:crosses val="autoZero"/>
        <c:crossBetween val="midCat"/>
      </c:valAx>
      <c:valAx>
        <c:axId val="666689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9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4-4FCA-B067-77B36B99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90552"/>
        <c:axId val="666690944"/>
      </c:scatterChart>
      <c:valAx>
        <c:axId val="66669055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90944"/>
        <c:crosses val="autoZero"/>
        <c:crossBetween val="midCat"/>
      </c:valAx>
      <c:valAx>
        <c:axId val="666690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90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'2.ESGameDatTabSolver (2)'!$I$1</c:f>
          <c:strCache>
            <c:ptCount val="1"/>
            <c:pt idx="0">
              <c:v>At vs Ft (ES)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'2.ESGameDatTabSolver (2)'!$B$2:$B$51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'2.ESGameDatTabSolver (2)'!$C$2:$C$51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D3-4ABB-9A83-BB940B41A67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'2.ESGameDatTabSolver (2)'!$B$2:$B$51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'2.ESGameDatTabSolver (2)'!$D$2:$D$51</c:f>
              <c:numCache>
                <c:formatCode>0.0</c:formatCode>
                <c:ptCount val="50"/>
                <c:pt idx="0" formatCode="General">
                  <c:v>26</c:v>
                </c:pt>
                <c:pt idx="1">
                  <c:v>26</c:v>
                </c:pt>
                <c:pt idx="2">
                  <c:v>25.867194804658556</c:v>
                </c:pt>
                <c:pt idx="3">
                  <c:v>25.373584627105558</c:v>
                </c:pt>
                <c:pt idx="4">
                  <c:v>24.630752557882786</c:v>
                </c:pt>
                <c:pt idx="5">
                  <c:v>24.742615949058795</c:v>
                </c:pt>
                <c:pt idx="6">
                  <c:v>24.352745847825215</c:v>
                </c:pt>
                <c:pt idx="7">
                  <c:v>23.809813446152859</c:v>
                </c:pt>
                <c:pt idx="8">
                  <c:v>23.251705806560466</c:v>
                </c:pt>
                <c:pt idx="9">
                  <c:v>23.542160536376507</c:v>
                </c:pt>
                <c:pt idx="10">
                  <c:v>24.121783481428029</c:v>
                </c:pt>
                <c:pt idx="11">
                  <c:v>23.619720629137511</c:v>
                </c:pt>
                <c:pt idx="12">
                  <c:v>23.30033340981683</c:v>
                </c:pt>
                <c:pt idx="13">
                  <c:v>23.688777536551591</c:v>
                </c:pt>
                <c:pt idx="14">
                  <c:v>24.197130009095233</c:v>
                </c:pt>
                <c:pt idx="15">
                  <c:v>24.323390232095289</c:v>
                </c:pt>
                <c:pt idx="16">
                  <c:v>24.14664676218225</c:v>
                </c:pt>
                <c:pt idx="17">
                  <c:v>25.60263504796368</c:v>
                </c:pt>
                <c:pt idx="18">
                  <c:v>25.283815092129323</c:v>
                </c:pt>
                <c:pt idx="19">
                  <c:v>25.340794660112273</c:v>
                </c:pt>
                <c:pt idx="20">
                  <c:v>24.831460352229975</c:v>
                </c:pt>
                <c:pt idx="21">
                  <c:v>24.903458685111914</c:v>
                </c:pt>
                <c:pt idx="22">
                  <c:v>25.338280867017165</c:v>
                </c:pt>
                <c:pt idx="23">
                  <c:v>25.758666387720734</c:v>
                </c:pt>
                <c:pt idx="24">
                  <c:v>25.965886770113201</c:v>
                </c:pt>
                <c:pt idx="25">
                  <c:v>26.299032362006521</c:v>
                </c:pt>
                <c:pt idx="26">
                  <c:v>27.185539167748846</c:v>
                </c:pt>
                <c:pt idx="27">
                  <c:v>27.777002405431251</c:v>
                </c:pt>
                <c:pt idx="28">
                  <c:v>27.618399721031288</c:v>
                </c:pt>
                <c:pt idx="29">
                  <c:v>27.23265375990465</c:v>
                </c:pt>
                <c:pt idx="30">
                  <c:v>26.992520261049357</c:v>
                </c:pt>
                <c:pt idx="31">
                  <c:v>27.059171195768187</c:v>
                </c:pt>
                <c:pt idx="32">
                  <c:v>28.750472875818453</c:v>
                </c:pt>
                <c:pt idx="33">
                  <c:v>27.895523730716544</c:v>
                </c:pt>
                <c:pt idx="34">
                  <c:v>27.998596375060309</c:v>
                </c:pt>
                <c:pt idx="35">
                  <c:v>27.467422195865606</c:v>
                </c:pt>
                <c:pt idx="36">
                  <c:v>28.381539539248497</c:v>
                </c:pt>
                <c:pt idx="37">
                  <c:v>28.10326154030551</c:v>
                </c:pt>
                <c:pt idx="38">
                  <c:v>27.369404548669685</c:v>
                </c:pt>
                <c:pt idx="39">
                  <c:v>28.419581400589713</c:v>
                </c:pt>
                <c:pt idx="40">
                  <c:v>29.169280626336278</c:v>
                </c:pt>
                <c:pt idx="41">
                  <c:v>28.267225221119503</c:v>
                </c:pt>
                <c:pt idx="42">
                  <c:v>29.553203651275847</c:v>
                </c:pt>
                <c:pt idx="43">
                  <c:v>30.730083329606021</c:v>
                </c:pt>
                <c:pt idx="44">
                  <c:v>31.137460499664748</c:v>
                </c:pt>
                <c:pt idx="45">
                  <c:v>31.000091437195877</c:v>
                </c:pt>
                <c:pt idx="46">
                  <c:v>31.000088401362213</c:v>
                </c:pt>
                <c:pt idx="47">
                  <c:v>31.3985010523465</c:v>
                </c:pt>
                <c:pt idx="48">
                  <c:v>30.854049518455561</c:v>
                </c:pt>
                <c:pt idx="49">
                  <c:v>31.058103057020649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D3-4ABB-9A83-BB940B41A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28936"/>
        <c:axId val="663229328"/>
      </c:scatterChart>
      <c:valAx>
        <c:axId val="663228936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29328"/>
        <c:crosses val="autoZero"/>
        <c:crossBetween val="midCat"/>
      </c:valAx>
      <c:valAx>
        <c:axId val="66322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28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'2.ESGameDatTabSolver'!$I$1</c:f>
          <c:strCache>
            <c:ptCount val="1"/>
            <c:pt idx="0">
              <c:v>At vs Ft (ES)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'2.ESGameDatTabSolver'!$B$2:$B$51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'2.ESGameDatTabSolver'!$C$2:$C$51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CC-446F-9A14-E282CBE0194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'2.ESGameDatTabSolver'!$B$2:$B$51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'2.ESGameDatTabSolver'!$D$2:$D$51</c:f>
              <c:numCache>
                <c:formatCode>0.0</c:formatCode>
                <c:ptCount val="50"/>
                <c:pt idx="0" formatCode="General">
                  <c:v>26</c:v>
                </c:pt>
                <c:pt idx="1">
                  <c:v>26</c:v>
                </c:pt>
                <c:pt idx="2">
                  <c:v>25.867194804658556</c:v>
                </c:pt>
                <c:pt idx="3">
                  <c:v>25.373584627105558</c:v>
                </c:pt>
                <c:pt idx="4">
                  <c:v>24.630752557882786</c:v>
                </c:pt>
                <c:pt idx="5">
                  <c:v>24.742615949058795</c:v>
                </c:pt>
                <c:pt idx="6">
                  <c:v>24.352745847825215</c:v>
                </c:pt>
                <c:pt idx="7">
                  <c:v>23.809813446152859</c:v>
                </c:pt>
                <c:pt idx="8">
                  <c:v>23.251705806560466</c:v>
                </c:pt>
                <c:pt idx="9">
                  <c:v>23.542160536376507</c:v>
                </c:pt>
                <c:pt idx="10">
                  <c:v>24.121783481428029</c:v>
                </c:pt>
                <c:pt idx="11">
                  <c:v>23.619720629137511</c:v>
                </c:pt>
                <c:pt idx="12">
                  <c:v>23.30033340981683</c:v>
                </c:pt>
                <c:pt idx="13">
                  <c:v>23.688777536551591</c:v>
                </c:pt>
                <c:pt idx="14">
                  <c:v>24.197130009095233</c:v>
                </c:pt>
                <c:pt idx="15">
                  <c:v>24.323390232095289</c:v>
                </c:pt>
                <c:pt idx="16">
                  <c:v>24.14664676218225</c:v>
                </c:pt>
                <c:pt idx="17">
                  <c:v>25.60263504796368</c:v>
                </c:pt>
                <c:pt idx="18">
                  <c:v>25.283815092129323</c:v>
                </c:pt>
                <c:pt idx="19">
                  <c:v>25.340794660112273</c:v>
                </c:pt>
                <c:pt idx="20">
                  <c:v>24.831460352229975</c:v>
                </c:pt>
                <c:pt idx="21">
                  <c:v>24.903458685111914</c:v>
                </c:pt>
                <c:pt idx="22">
                  <c:v>25.338280867017165</c:v>
                </c:pt>
                <c:pt idx="23">
                  <c:v>25.758666387720734</c:v>
                </c:pt>
                <c:pt idx="24">
                  <c:v>25.965886770113201</c:v>
                </c:pt>
                <c:pt idx="25">
                  <c:v>26.299032362006521</c:v>
                </c:pt>
                <c:pt idx="26">
                  <c:v>27.185539167748846</c:v>
                </c:pt>
                <c:pt idx="27">
                  <c:v>27.777002405431251</c:v>
                </c:pt>
                <c:pt idx="28">
                  <c:v>27.618399721031288</c:v>
                </c:pt>
                <c:pt idx="29">
                  <c:v>27.23265375990465</c:v>
                </c:pt>
                <c:pt idx="30">
                  <c:v>26.992520261049357</c:v>
                </c:pt>
                <c:pt idx="31">
                  <c:v>27.059171195768187</c:v>
                </c:pt>
                <c:pt idx="32">
                  <c:v>28.750472875818453</c:v>
                </c:pt>
                <c:pt idx="33">
                  <c:v>27.895523730716544</c:v>
                </c:pt>
                <c:pt idx="34">
                  <c:v>27.998596375060309</c:v>
                </c:pt>
                <c:pt idx="35">
                  <c:v>27.467422195865606</c:v>
                </c:pt>
                <c:pt idx="36">
                  <c:v>28.381539539248497</c:v>
                </c:pt>
                <c:pt idx="37">
                  <c:v>28.10326154030551</c:v>
                </c:pt>
                <c:pt idx="38">
                  <c:v>27.369404548669685</c:v>
                </c:pt>
                <c:pt idx="39">
                  <c:v>28.419581400589713</c:v>
                </c:pt>
                <c:pt idx="40">
                  <c:v>29.169280626336278</c:v>
                </c:pt>
                <c:pt idx="41">
                  <c:v>28.267225221119503</c:v>
                </c:pt>
                <c:pt idx="42">
                  <c:v>29.553203651275847</c:v>
                </c:pt>
                <c:pt idx="43">
                  <c:v>30.730083329606021</c:v>
                </c:pt>
                <c:pt idx="44">
                  <c:v>31.137460499664748</c:v>
                </c:pt>
                <c:pt idx="45">
                  <c:v>31.000091437195877</c:v>
                </c:pt>
                <c:pt idx="46">
                  <c:v>31.000088401362213</c:v>
                </c:pt>
                <c:pt idx="47">
                  <c:v>31.3985010523465</c:v>
                </c:pt>
                <c:pt idx="48">
                  <c:v>30.854049518455561</c:v>
                </c:pt>
                <c:pt idx="49">
                  <c:v>31.058103057020649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CC-446F-9A14-E282CBE01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28936"/>
        <c:axId val="663229328"/>
      </c:scatterChart>
      <c:valAx>
        <c:axId val="663228936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29328"/>
        <c:crosses val="autoZero"/>
        <c:crossBetween val="midCat"/>
      </c:valAx>
      <c:valAx>
        <c:axId val="66322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28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'2.2.Set2ES'!$Q$1</c:f>
          <c:strCache>
            <c:ptCount val="1"/>
            <c:pt idx="0">
              <c:v> F(next) ~ N ( 633, 792)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'2.2.Set2ES'!$C$1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'2.2.Set2ES'!$A$2:$A$76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'2.2.Set2ES'!$C$2:$C$76</c:f>
              <c:numCache>
                <c:formatCode>0</c:formatCode>
                <c:ptCount val="75"/>
                <c:pt idx="0">
                  <c:v>813.7560202157822</c:v>
                </c:pt>
                <c:pt idx="1">
                  <c:v>971.91895568188852</c:v>
                </c:pt>
                <c:pt idx="2">
                  <c:v>1197.6902940186837</c:v>
                </c:pt>
                <c:pt idx="3">
                  <c:v>1273.3732540356295</c:v>
                </c:pt>
                <c:pt idx="4">
                  <c:v>1793.0585649697487</c:v>
                </c:pt>
                <c:pt idx="5">
                  <c:v>1968.6896935950203</c:v>
                </c:pt>
                <c:pt idx="6">
                  <c:v>2092.1756199964375</c:v>
                </c:pt>
                <c:pt idx="7">
                  <c:v>1790.3866345879967</c:v>
                </c:pt>
                <c:pt idx="8">
                  <c:v>2115.2652262874017</c:v>
                </c:pt>
                <c:pt idx="9">
                  <c:v>2081.3859788488126</c:v>
                </c:pt>
                <c:pt idx="10">
                  <c:v>2379.5747430100864</c:v>
                </c:pt>
                <c:pt idx="11">
                  <c:v>2083.4352211194964</c:v>
                </c:pt>
                <c:pt idx="12">
                  <c:v>2580.0148896403261</c:v>
                </c:pt>
                <c:pt idx="13">
                  <c:v>1956.9437715605227</c:v>
                </c:pt>
                <c:pt idx="14">
                  <c:v>2859.8492799507676</c:v>
                </c:pt>
                <c:pt idx="15">
                  <c:v>3016.2795387422866</c:v>
                </c:pt>
                <c:pt idx="16">
                  <c:v>2492.4834281017133</c:v>
                </c:pt>
                <c:pt idx="17">
                  <c:v>2603.8849118726844</c:v>
                </c:pt>
                <c:pt idx="18">
                  <c:v>2501.5060538056237</c:v>
                </c:pt>
                <c:pt idx="19">
                  <c:v>2651.7772641293841</c:v>
                </c:pt>
                <c:pt idx="20">
                  <c:v>2890.535550986539</c:v>
                </c:pt>
                <c:pt idx="21">
                  <c:v>2618.5015031336229</c:v>
                </c:pt>
                <c:pt idx="22">
                  <c:v>3340.5677547283176</c:v>
                </c:pt>
                <c:pt idx="23">
                  <c:v>3297.4181797000938</c:v>
                </c:pt>
                <c:pt idx="24">
                  <c:v>3012.2868676098265</c:v>
                </c:pt>
                <c:pt idx="25">
                  <c:v>4253.508630442172</c:v>
                </c:pt>
                <c:pt idx="26">
                  <c:v>3925.3849167055446</c:v>
                </c:pt>
                <c:pt idx="27">
                  <c:v>4513.0436538897147</c:v>
                </c:pt>
                <c:pt idx="28">
                  <c:v>4529.4937202327037</c:v>
                </c:pt>
                <c:pt idx="29">
                  <c:v>4091.6601146578901</c:v>
                </c:pt>
                <c:pt idx="30">
                  <c:v>4654.4843527322882</c:v>
                </c:pt>
                <c:pt idx="31">
                  <c:v>3711.6192180651265</c:v>
                </c:pt>
                <c:pt idx="32">
                  <c:v>3824.1755301351577</c:v>
                </c:pt>
                <c:pt idx="33">
                  <c:v>4120.8109460850601</c:v>
                </c:pt>
                <c:pt idx="34">
                  <c:v>4645.0880263983881</c:v>
                </c:pt>
                <c:pt idx="35">
                  <c:v>4574.6690767847804</c:v>
                </c:pt>
                <c:pt idx="36">
                  <c:v>4905.4804363122594</c:v>
                </c:pt>
                <c:pt idx="37">
                  <c:v>5232.5324315407588</c:v>
                </c:pt>
                <c:pt idx="38">
                  <c:v>4012.3185797892461</c:v>
                </c:pt>
                <c:pt idx="39">
                  <c:v>6049.1393349934842</c:v>
                </c:pt>
                <c:pt idx="40">
                  <c:v>6090.2253151130353</c:v>
                </c:pt>
                <c:pt idx="41">
                  <c:v>5108.2916368527403</c:v>
                </c:pt>
                <c:pt idx="42">
                  <c:v>4762.74473147967</c:v>
                </c:pt>
                <c:pt idx="43">
                  <c:v>5054.4032043911011</c:v>
                </c:pt>
                <c:pt idx="44">
                  <c:v>4932.6057689550162</c:v>
                </c:pt>
                <c:pt idx="45">
                  <c:v>5683.7432797636711</c:v>
                </c:pt>
                <c:pt idx="46">
                  <c:v>6924.5264206914335</c:v>
                </c:pt>
                <c:pt idx="47">
                  <c:v>4916.2583889534781</c:v>
                </c:pt>
                <c:pt idx="48">
                  <c:v>5141.8115531947178</c:v>
                </c:pt>
                <c:pt idx="49">
                  <c:v>7100.604016809134</c:v>
                </c:pt>
                <c:pt idx="50">
                  <c:v>5982.6146700161325</c:v>
                </c:pt>
                <c:pt idx="51">
                  <c:v>5659.9803666885555</c:v>
                </c:pt>
                <c:pt idx="52">
                  <c:v>7723.2066159860906</c:v>
                </c:pt>
                <c:pt idx="53">
                  <c:v>6927.4135681425769</c:v>
                </c:pt>
                <c:pt idx="54">
                  <c:v>5926.8438869796746</c:v>
                </c:pt>
                <c:pt idx="55">
                  <c:v>7486.5550561221644</c:v>
                </c:pt>
                <c:pt idx="56">
                  <c:v>6986.4813177252881</c:v>
                </c:pt>
                <c:pt idx="57">
                  <c:v>6686.3330629669581</c:v>
                </c:pt>
                <c:pt idx="58">
                  <c:v>7533.5055163754796</c:v>
                </c:pt>
                <c:pt idx="59">
                  <c:v>6434.5710155389233</c:v>
                </c:pt>
                <c:pt idx="60">
                  <c:v>8315.5973937368453</c:v>
                </c:pt>
                <c:pt idx="61">
                  <c:v>9011.1024654822631</c:v>
                </c:pt>
                <c:pt idx="62">
                  <c:v>8306.4119214323</c:v>
                </c:pt>
                <c:pt idx="63">
                  <c:v>8885.4733418467258</c:v>
                </c:pt>
                <c:pt idx="64">
                  <c:v>6914.6423260468209</c:v>
                </c:pt>
                <c:pt idx="65">
                  <c:v>8565.4158206351694</c:v>
                </c:pt>
                <c:pt idx="66">
                  <c:v>6764.4558525776556</c:v>
                </c:pt>
                <c:pt idx="67">
                  <c:v>8455.6389297141741</c:v>
                </c:pt>
                <c:pt idx="68">
                  <c:v>6849.0876037981689</c:v>
                </c:pt>
                <c:pt idx="69">
                  <c:v>7663.5928886265056</c:v>
                </c:pt>
                <c:pt idx="70">
                  <c:v>10100.858821105861</c:v>
                </c:pt>
                <c:pt idx="71">
                  <c:v>9156.3311338769909</c:v>
                </c:pt>
                <c:pt idx="72">
                  <c:v>11759.859099206014</c:v>
                </c:pt>
                <c:pt idx="73">
                  <c:v>11274.184747966403</c:v>
                </c:pt>
                <c:pt idx="74">
                  <c:v>11998.719677013674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C0-4729-9660-858EBCFB2C11}"/>
            </c:ext>
          </c:extLst>
        </c:ser>
        <c:ser>
          <c:idx val="1"/>
          <c:order val="1"/>
          <c:tx>
            <c:strRef>
              <c:f>'2.2.Set2ES'!$D$1</c:f>
              <c:strCache>
                <c:ptCount val="1"/>
                <c:pt idx="0">
                  <c:v>ExpoSmoo</c:v>
                </c:pt>
              </c:strCache>
            </c:strRef>
          </c:tx>
          <c:xVal>
            <c:numRef>
              <c:f>'2.2.Set2ES'!$A$2:$A$76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'2.2.Set2ES'!$D$2:$D$76</c:f>
              <c:numCache>
                <c:formatCode>0.0</c:formatCode>
                <c:ptCount val="75"/>
                <c:pt idx="0">
                  <c:v>813.7560202157822</c:v>
                </c:pt>
                <c:pt idx="1">
                  <c:v>813.7560202157822</c:v>
                </c:pt>
                <c:pt idx="2">
                  <c:v>899.48690761559783</c:v>
                </c:pt>
                <c:pt idx="3">
                  <c:v>1061.1255422718518</c:v>
                </c:pt>
                <c:pt idx="4">
                  <c:v>1176.1726272571218</c:v>
                </c:pt>
                <c:pt idx="5">
                  <c:v>1510.5504554677275</c:v>
                </c:pt>
                <c:pt idx="6">
                  <c:v>1758.8809718531231</c:v>
                </c:pt>
                <c:pt idx="7">
                  <c:v>1939.5405294588861</c:v>
                </c:pt>
                <c:pt idx="8">
                  <c:v>1858.6929166554405</c:v>
                </c:pt>
                <c:pt idx="9">
                  <c:v>1997.7657766914883</c:v>
                </c:pt>
                <c:pt idx="10">
                  <c:v>2043.0914031688471</c:v>
                </c:pt>
                <c:pt idx="11">
                  <c:v>2225.4793642599266</c:v>
                </c:pt>
                <c:pt idx="12">
                  <c:v>2148.4855325161734</c:v>
                </c:pt>
                <c:pt idx="13">
                  <c:v>2382.3923869653527</c:v>
                </c:pt>
                <c:pt idx="14">
                  <c:v>2151.7815473638384</c:v>
                </c:pt>
                <c:pt idx="15">
                  <c:v>2535.5836997136294</c:v>
                </c:pt>
                <c:pt idx="16">
                  <c:v>2796.1408316856578</c:v>
                </c:pt>
                <c:pt idx="17">
                  <c:v>2631.5458929406432</c:v>
                </c:pt>
                <c:pt idx="18">
                  <c:v>2616.5524910648046</c:v>
                </c:pt>
                <c:pt idx="19">
                  <c:v>2554.1925384668684</c:v>
                </c:pt>
                <c:pt idx="20">
                  <c:v>2607.0875173256027</c:v>
                </c:pt>
                <c:pt idx="21">
                  <c:v>2760.7281372715588</c:v>
                </c:pt>
                <c:pt idx="22">
                  <c:v>2683.6353878192249</c:v>
                </c:pt>
                <c:pt idx="23">
                  <c:v>3039.7200457753029</c:v>
                </c:pt>
                <c:pt idx="24">
                  <c:v>3179.4031493895704</c:v>
                </c:pt>
                <c:pt idx="25">
                  <c:v>3088.8191760097561</c:v>
                </c:pt>
                <c:pt idx="26">
                  <c:v>3720.1292878222384</c:v>
                </c:pt>
                <c:pt idx="27">
                  <c:v>3831.3863731571519</c:v>
                </c:pt>
                <c:pt idx="28">
                  <c:v>4200.8729624615789</c:v>
                </c:pt>
                <c:pt idx="29">
                  <c:v>4378.9990771463672</c:v>
                </c:pt>
                <c:pt idx="30">
                  <c:v>4223.2494119919902</c:v>
                </c:pt>
                <c:pt idx="31">
                  <c:v>4456.9966805193571</c:v>
                </c:pt>
                <c:pt idx="32">
                  <c:v>4052.9711032518071</c:v>
                </c:pt>
                <c:pt idx="33">
                  <c:v>3928.9543893571467</c:v>
                </c:pt>
                <c:pt idx="34">
                  <c:v>4032.9486204536088</c:v>
                </c:pt>
                <c:pt idx="35">
                  <c:v>4364.7536310863807</c:v>
                </c:pt>
                <c:pt idx="36">
                  <c:v>4478.5365308891487</c:v>
                </c:pt>
                <c:pt idx="37">
                  <c:v>4709.9578798543735</c:v>
                </c:pt>
                <c:pt idx="38">
                  <c:v>4993.2150153937882</c:v>
                </c:pt>
                <c:pt idx="39">
                  <c:v>4461.5283618559615</c:v>
                </c:pt>
                <c:pt idx="40">
                  <c:v>5322.0795217826289</c:v>
                </c:pt>
                <c:pt idx="41">
                  <c:v>5738.4464810868412</c:v>
                </c:pt>
                <c:pt idx="42">
                  <c:v>5396.8763538236235</c:v>
                </c:pt>
                <c:pt idx="43">
                  <c:v>5053.1506474713797</c:v>
                </c:pt>
                <c:pt idx="44">
                  <c:v>5053.8295854028875</c:v>
                </c:pt>
                <c:pt idx="45">
                  <c:v>4988.1212364307266</c:v>
                </c:pt>
                <c:pt idx="46">
                  <c:v>5365.1773077160633</c:v>
                </c:pt>
                <c:pt idx="47">
                  <c:v>6210.4093643134302</c:v>
                </c:pt>
                <c:pt idx="48">
                  <c:v>5508.9257251790186</c:v>
                </c:pt>
                <c:pt idx="49">
                  <c:v>5309.934579443694</c:v>
                </c:pt>
                <c:pt idx="50">
                  <c:v>6280.5518701044712</c:v>
                </c:pt>
                <c:pt idx="51">
                  <c:v>6119.0575194987741</c:v>
                </c:pt>
                <c:pt idx="52">
                  <c:v>5870.2186143569634</c:v>
                </c:pt>
                <c:pt idx="53">
                  <c:v>6874.6151580397182</c:v>
                </c:pt>
                <c:pt idx="54">
                  <c:v>6903.2340916607845</c:v>
                </c:pt>
                <c:pt idx="55">
                  <c:v>6373.9900026514661</c:v>
                </c:pt>
                <c:pt idx="56">
                  <c:v>6977.0465218225199</c:v>
                </c:pt>
                <c:pt idx="57">
                  <c:v>6982.1605734983868</c:v>
                </c:pt>
                <c:pt idx="58">
                  <c:v>6821.8097623529247</c:v>
                </c:pt>
                <c:pt idx="59">
                  <c:v>7207.5784531730915</c:v>
                </c:pt>
                <c:pt idx="60">
                  <c:v>6788.5762805102277</c:v>
                </c:pt>
                <c:pt idx="61">
                  <c:v>7616.2852170532406</c:v>
                </c:pt>
                <c:pt idx="62">
                  <c:v>8372.3341618707473</c:v>
                </c:pt>
                <c:pt idx="63">
                  <c:v>8336.601566522053</c:v>
                </c:pt>
                <c:pt idx="64">
                  <c:v>8634.1128907057155</c:v>
                </c:pt>
                <c:pt idx="65">
                  <c:v>7702.0883494840546</c:v>
                </c:pt>
                <c:pt idx="66">
                  <c:v>8170.0477357985837</c:v>
                </c:pt>
                <c:pt idx="67">
                  <c:v>7408.1584909171161</c:v>
                </c:pt>
                <c:pt idx="68">
                  <c:v>7975.9364427322807</c:v>
                </c:pt>
                <c:pt idx="69">
                  <c:v>7365.1375179236584</c:v>
                </c:pt>
                <c:pt idx="70">
                  <c:v>7526.9127385478296</c:v>
                </c:pt>
                <c:pt idx="71">
                  <c:v>8922.0985393593401</c:v>
                </c:pt>
                <c:pt idx="72">
                  <c:v>9049.0623449233972</c:v>
                </c:pt>
                <c:pt idx="73">
                  <c:v>10518.426900027967</c:v>
                </c:pt>
                <c:pt idx="74">
                  <c:v>10928.079077841912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C0-4729-9660-858EBCFB2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0112"/>
        <c:axId val="663230504"/>
      </c:scatterChart>
      <c:valAx>
        <c:axId val="66323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0504"/>
        <c:crosses val="autoZero"/>
        <c:crossBetween val="midCat"/>
      </c:valAx>
      <c:valAx>
        <c:axId val="6632305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011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27</xdr:row>
      <xdr:rowOff>66676</xdr:rowOff>
    </xdr:from>
    <xdr:to>
      <xdr:col>12</xdr:col>
      <xdr:colOff>238125</xdr:colOff>
      <xdr:row>40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391568</xdr:colOff>
      <xdr:row>27</xdr:row>
      <xdr:rowOff>79723</xdr:rowOff>
    </xdr:from>
    <xdr:to>
      <xdr:col>18</xdr:col>
      <xdr:colOff>143527</xdr:colOff>
      <xdr:row>40</xdr:row>
      <xdr:rowOff>108298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288491</xdr:colOff>
      <xdr:row>27</xdr:row>
      <xdr:rowOff>92771</xdr:rowOff>
    </xdr:from>
    <xdr:to>
      <xdr:col>25</xdr:col>
      <xdr:colOff>182672</xdr:colOff>
      <xdr:row>40</xdr:row>
      <xdr:rowOff>107058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276225</xdr:colOff>
      <xdr:row>41</xdr:row>
      <xdr:rowOff>4762</xdr:rowOff>
    </xdr:from>
    <xdr:to>
      <xdr:col>12</xdr:col>
      <xdr:colOff>221815</xdr:colOff>
      <xdr:row>56</xdr:row>
      <xdr:rowOff>65239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404619</xdr:colOff>
      <xdr:row>41</xdr:row>
      <xdr:rowOff>22574</xdr:rowOff>
    </xdr:from>
    <xdr:to>
      <xdr:col>18</xdr:col>
      <xdr:colOff>143528</xdr:colOff>
      <xdr:row>56</xdr:row>
      <xdr:rowOff>94012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294492</xdr:colOff>
      <xdr:row>41</xdr:row>
      <xdr:rowOff>26096</xdr:rowOff>
    </xdr:from>
    <xdr:to>
      <xdr:col>25</xdr:col>
      <xdr:colOff>208767</xdr:colOff>
      <xdr:row>56</xdr:row>
      <xdr:rowOff>104383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150916</xdr:colOff>
      <xdr:row>23</xdr:row>
      <xdr:rowOff>38594</xdr:rowOff>
    </xdr:from>
    <xdr:to>
      <xdr:col>24</xdr:col>
      <xdr:colOff>59377</xdr:colOff>
      <xdr:row>36</xdr:row>
      <xdr:rowOff>47996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360222</xdr:colOff>
      <xdr:row>3</xdr:row>
      <xdr:rowOff>186677</xdr:rowOff>
    </xdr:from>
    <xdr:to>
      <xdr:col>19</xdr:col>
      <xdr:colOff>347056</xdr:colOff>
      <xdr:row>18</xdr:row>
      <xdr:rowOff>32737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115241</xdr:colOff>
      <xdr:row>3</xdr:row>
      <xdr:rowOff>67546</xdr:rowOff>
    </xdr:from>
    <xdr:to>
      <xdr:col>36</xdr:col>
      <xdr:colOff>391166</xdr:colOff>
      <xdr:row>17</xdr:row>
      <xdr:rowOff>143746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115373</xdr:colOff>
      <xdr:row>18</xdr:row>
      <xdr:rowOff>157766</xdr:rowOff>
    </xdr:from>
    <xdr:to>
      <xdr:col>20</xdr:col>
      <xdr:colOff>327338</xdr:colOff>
      <xdr:row>31</xdr:row>
      <xdr:rowOff>110543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360222</xdr:colOff>
      <xdr:row>3</xdr:row>
      <xdr:rowOff>186677</xdr:rowOff>
    </xdr:from>
    <xdr:to>
      <xdr:col>19</xdr:col>
      <xdr:colOff>347056</xdr:colOff>
      <xdr:row>18</xdr:row>
      <xdr:rowOff>32737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115241</xdr:colOff>
      <xdr:row>3</xdr:row>
      <xdr:rowOff>67546</xdr:rowOff>
    </xdr:from>
    <xdr:to>
      <xdr:col>36</xdr:col>
      <xdr:colOff>391166</xdr:colOff>
      <xdr:row>17</xdr:row>
      <xdr:rowOff>143746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115373</xdr:colOff>
      <xdr:row>18</xdr:row>
      <xdr:rowOff>157766</xdr:rowOff>
    </xdr:from>
    <xdr:to>
      <xdr:col>20</xdr:col>
      <xdr:colOff>327338</xdr:colOff>
      <xdr:row>31</xdr:row>
      <xdr:rowOff>110543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119063</xdr:colOff>
      <xdr:row>0</xdr:row>
      <xdr:rowOff>33337</xdr:rowOff>
    </xdr:from>
    <xdr:to>
      <xdr:col>21</xdr:col>
      <xdr:colOff>440531</xdr:colOff>
      <xdr:row>12</xdr:row>
      <xdr:rowOff>204787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214312</xdr:colOff>
      <xdr:row>3</xdr:row>
      <xdr:rowOff>152399</xdr:rowOff>
    </xdr:from>
    <xdr:to>
      <xdr:col>16</xdr:col>
      <xdr:colOff>535782</xdr:colOff>
      <xdr:row>16</xdr:row>
      <xdr:rowOff>109537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23814</xdr:colOff>
      <xdr:row>1</xdr:row>
      <xdr:rowOff>211930</xdr:rowOff>
    </xdr:from>
    <xdr:to>
      <xdr:col>19</xdr:col>
      <xdr:colOff>345281</xdr:colOff>
      <xdr:row>14</xdr:row>
      <xdr:rowOff>169069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595313</xdr:colOff>
      <xdr:row>5</xdr:row>
      <xdr:rowOff>92868</xdr:rowOff>
    </xdr:from>
    <xdr:to>
      <xdr:col>24</xdr:col>
      <xdr:colOff>309564</xdr:colOff>
      <xdr:row>18</xdr:row>
      <xdr:rowOff>50005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383715</xdr:colOff>
      <xdr:row>18</xdr:row>
      <xdr:rowOff>126675</xdr:rowOff>
    </xdr:from>
    <xdr:to>
      <xdr:col>3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497087</xdr:colOff>
      <xdr:row>2</xdr:row>
      <xdr:rowOff>72030</xdr:rowOff>
    </xdr:from>
    <xdr:to>
      <xdr:col>26</xdr:col>
      <xdr:colOff>59531</xdr:colOff>
      <xdr:row>20</xdr:row>
      <xdr:rowOff>148828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16</xdr:row>
      <xdr:rowOff>138112</xdr:rowOff>
    </xdr:from>
    <xdr:to>
      <xdr:col>16</xdr:col>
      <xdr:colOff>123825</xdr:colOff>
      <xdr:row>33</xdr:row>
      <xdr:rowOff>128587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314325</xdr:colOff>
      <xdr:row>17</xdr:row>
      <xdr:rowOff>14287</xdr:rowOff>
    </xdr:from>
    <xdr:to>
      <xdr:col>24</xdr:col>
      <xdr:colOff>9525</xdr:colOff>
      <xdr:row>34</xdr:row>
      <xdr:rowOff>4762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0</xdr:row>
      <xdr:rowOff>123825</xdr:rowOff>
    </xdr:from>
    <xdr:to>
      <xdr:col>17</xdr:col>
      <xdr:colOff>400050</xdr:colOff>
      <xdr:row>16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466725</xdr:colOff>
      <xdr:row>0</xdr:row>
      <xdr:rowOff>114300</xdr:rowOff>
    </xdr:from>
    <xdr:to>
      <xdr:col>24</xdr:col>
      <xdr:colOff>123825</xdr:colOff>
      <xdr:row>16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39144</xdr:colOff>
      <xdr:row>3</xdr:row>
      <xdr:rowOff>78286</xdr:rowOff>
    </xdr:from>
    <xdr:to>
      <xdr:col>17</xdr:col>
      <xdr:colOff>156576</xdr:colOff>
      <xdr:row>13</xdr:row>
      <xdr:rowOff>208766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521918</xdr:colOff>
      <xdr:row>21</xdr:row>
      <xdr:rowOff>104383</xdr:rowOff>
    </xdr:from>
    <xdr:to>
      <xdr:col>21</xdr:col>
      <xdr:colOff>182671</xdr:colOff>
      <xdr:row>31</xdr:row>
      <xdr:rowOff>234863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</xdr:colOff>
      <xdr:row>19</xdr:row>
      <xdr:rowOff>9496</xdr:rowOff>
    </xdr:from>
    <xdr:to>
      <xdr:col>31</xdr:col>
      <xdr:colOff>97194</xdr:colOff>
      <xdr:row>54</xdr:row>
      <xdr:rowOff>106913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561780</xdr:colOff>
      <xdr:row>13</xdr:row>
      <xdr:rowOff>100886</xdr:rowOff>
    </xdr:from>
    <xdr:to>
      <xdr:col>25</xdr:col>
      <xdr:colOff>507351</xdr:colOff>
      <xdr:row>30</xdr:row>
      <xdr:rowOff>35183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278805</xdr:colOff>
      <xdr:row>1</xdr:row>
      <xdr:rowOff>62111</xdr:rowOff>
    </xdr:from>
    <xdr:to>
      <xdr:col>18</xdr:col>
      <xdr:colOff>8930</xdr:colOff>
      <xdr:row>15</xdr:row>
      <xdr:rowOff>156171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278805</xdr:colOff>
      <xdr:row>1</xdr:row>
      <xdr:rowOff>62111</xdr:rowOff>
    </xdr:from>
    <xdr:to>
      <xdr:col>18</xdr:col>
      <xdr:colOff>8930</xdr:colOff>
      <xdr:row>15</xdr:row>
      <xdr:rowOff>156171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10</xdr:row>
      <xdr:rowOff>38099</xdr:rowOff>
    </xdr:from>
    <xdr:to>
      <xdr:col>27</xdr:col>
      <xdr:colOff>6162</xdr:colOff>
      <xdr:row>46</xdr:row>
      <xdr:rowOff>65552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0OZRbgA82vU&amp;t=63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topLeftCell="D28" zoomScale="73" zoomScaleNormal="73" workbookViewId="0">
      <selection activeCell="AA50" sqref="AA50"/>
    </sheetView>
  </sheetViews>
  <sheetFormatPr defaultRowHeight="13.5" x14ac:dyDescent="0.25"/>
  <cols>
    <col min="1" max="1" width="4.5703125" style="358" bestFit="1" customWidth="1"/>
    <col min="2" max="2" width="9.7109375" style="358" bestFit="1" customWidth="1"/>
    <col min="3" max="3" width="6.7109375" style="358" bestFit="1" customWidth="1"/>
    <col min="4" max="4" width="11.7109375" style="358" bestFit="1" customWidth="1"/>
    <col min="5" max="5" width="9.140625" style="366" customWidth="1"/>
    <col min="6" max="6" width="13" style="358" customWidth="1"/>
    <col min="7" max="8" width="5.85546875" style="358" customWidth="1"/>
    <col min="9" max="9" width="9.7109375" style="358" customWidth="1"/>
    <col min="10" max="10" width="6" style="358" bestFit="1" customWidth="1"/>
    <col min="11" max="11" width="4.85546875" style="358" bestFit="1" customWidth="1"/>
    <col min="12" max="12" width="8.7109375" style="358" bestFit="1" customWidth="1"/>
    <col min="13" max="13" width="9.140625" style="358"/>
    <col min="14" max="14" width="12.140625" style="358" bestFit="1" customWidth="1"/>
    <col min="15" max="15" width="11.7109375" style="358" bestFit="1" customWidth="1"/>
    <col min="16" max="16" width="12.42578125" style="358" bestFit="1" customWidth="1"/>
    <col min="17" max="17" width="12.140625" style="358" bestFit="1" customWidth="1"/>
    <col min="18" max="21" width="9.28515625" style="358" bestFit="1" customWidth="1"/>
    <col min="22" max="23" width="9.140625" style="358"/>
    <col min="24" max="24" width="9.28515625" style="358" bestFit="1" customWidth="1"/>
    <col min="25" max="27" width="9.140625" style="358"/>
    <col min="28" max="30" width="9.28515625" style="358" bestFit="1" customWidth="1"/>
    <col min="31" max="31" width="12.28515625" style="358" customWidth="1"/>
    <col min="32" max="36" width="9.28515625" style="358" bestFit="1" customWidth="1"/>
    <col min="37" max="16384" width="9.140625" style="358"/>
  </cols>
  <sheetData>
    <row r="1" spans="1:37" ht="17.25" thickBot="1" x14ac:dyDescent="0.35">
      <c r="A1" s="351" t="s">
        <v>54</v>
      </c>
      <c r="B1" s="352"/>
      <c r="C1" s="353"/>
      <c r="D1" s="352"/>
      <c r="E1" s="354"/>
      <c r="F1" s="355" t="s">
        <v>40</v>
      </c>
      <c r="G1" s="355" t="s">
        <v>41</v>
      </c>
      <c r="H1" s="356" t="s">
        <v>42</v>
      </c>
      <c r="I1" s="357" t="s">
        <v>43</v>
      </c>
      <c r="J1" s="357" t="s">
        <v>44</v>
      </c>
      <c r="K1" s="357" t="s">
        <v>45</v>
      </c>
      <c r="L1" s="357" t="s">
        <v>46</v>
      </c>
      <c r="N1" s="402" t="s">
        <v>170</v>
      </c>
      <c r="O1" s="402" t="s">
        <v>171</v>
      </c>
      <c r="P1" s="404" t="s">
        <v>172</v>
      </c>
      <c r="Q1" s="403" t="s">
        <v>173</v>
      </c>
      <c r="R1" s="359" t="s">
        <v>65</v>
      </c>
      <c r="AB1" s="305"/>
      <c r="AC1" s="360" t="s">
        <v>55</v>
      </c>
      <c r="AD1" s="360"/>
      <c r="AE1" s="360"/>
      <c r="AF1" s="305"/>
      <c r="AG1" s="305"/>
      <c r="AH1" s="361">
        <f ca="1">RANDBETWEEN(100,150)</f>
        <v>115</v>
      </c>
      <c r="AI1" s="361">
        <f ca="1">RANDBETWEEN(5,15)</f>
        <v>15</v>
      </c>
      <c r="AJ1" s="361">
        <v>0.1</v>
      </c>
      <c r="AK1" s="305"/>
    </row>
    <row r="2" spans="1:37" ht="17.25" thickBot="1" x14ac:dyDescent="0.35">
      <c r="A2" s="362" t="s">
        <v>36</v>
      </c>
      <c r="B2" s="363" t="s">
        <v>67</v>
      </c>
      <c r="C2" s="364" t="s">
        <v>56</v>
      </c>
      <c r="D2" s="365" t="s">
        <v>63</v>
      </c>
      <c r="F2" s="367" t="str">
        <f ca="1">G2&amp;" - "&amp;H2</f>
        <v>0 - 2000</v>
      </c>
      <c r="G2" s="368">
        <f ca="1">R4</f>
        <v>0</v>
      </c>
      <c r="H2" s="369">
        <f ca="1">G2+$S$5</f>
        <v>2000</v>
      </c>
      <c r="I2" s="370">
        <f ca="1">COUNTIF($C$3:$C$77, "&lt;"&amp;H2)</f>
        <v>2</v>
      </c>
      <c r="J2" s="370">
        <f ca="1">I2</f>
        <v>2</v>
      </c>
      <c r="K2" s="371">
        <f t="shared" ref="K2:K14" ca="1" si="0">J2/$J$15</f>
        <v>2.6666666666666668E-2</v>
      </c>
      <c r="L2" s="372">
        <f t="shared" ref="L2:L14" ca="1" si="1">I2/$J$15</f>
        <v>2.6666666666666668E-2</v>
      </c>
      <c r="N2" s="396" t="s">
        <v>47</v>
      </c>
      <c r="O2" s="393">
        <f ca="1">AVERAGE(B$3:B$77)</f>
        <v>10356.226666666667</v>
      </c>
      <c r="P2" s="399">
        <f ca="1">AVERAGE(C$3:C$77)</f>
        <v>10356.226666666667</v>
      </c>
      <c r="Q2" s="399">
        <f ca="1">AVERAGE(D$3:D$77)</f>
        <v>10356.226666666667</v>
      </c>
      <c r="T2" s="358" t="b">
        <f ca="1">O2=P2</f>
        <v>1</v>
      </c>
      <c r="U2" s="358" t="b">
        <f ca="1">P2=Q2</f>
        <v>1</v>
      </c>
      <c r="X2" s="358">
        <v>20</v>
      </c>
      <c r="AB2" s="305"/>
      <c r="AC2" s="361"/>
      <c r="AD2" s="361"/>
      <c r="AE2" s="361" t="s">
        <v>66</v>
      </c>
      <c r="AF2" s="305" t="s">
        <v>57</v>
      </c>
      <c r="AG2" s="305" t="s">
        <v>58</v>
      </c>
      <c r="AH2" s="305"/>
      <c r="AI2" s="306"/>
      <c r="AJ2" s="305"/>
      <c r="AK2" s="305"/>
    </row>
    <row r="3" spans="1:37" ht="16.5" x14ac:dyDescent="0.3">
      <c r="A3" s="79">
        <v>1</v>
      </c>
      <c r="B3" s="373">
        <f t="shared" ref="B3:B34" ca="1" si="2">INDEX($AG$3:$AG$77,RANK(AB3,$AB$3:$AB$77))</f>
        <v>5673</v>
      </c>
      <c r="C3" s="374">
        <f ca="1">SMALL($AG$3:$AG$77,AC3)</f>
        <v>1730</v>
      </c>
      <c r="D3" s="375">
        <f ca="1">AG3</f>
        <v>1841</v>
      </c>
      <c r="E3" s="376"/>
      <c r="F3" s="377" t="str">
        <f t="shared" ref="F3:F14" ca="1" si="3">G3&amp;" - "&amp;H3</f>
        <v>2000 - 4000</v>
      </c>
      <c r="G3" s="378">
        <f ca="1">H2</f>
        <v>2000</v>
      </c>
      <c r="H3" s="379">
        <f ca="1">G3+$S$5</f>
        <v>4000</v>
      </c>
      <c r="I3" s="380">
        <f t="shared" ref="I3:I14" ca="1" si="4">COUNTIF($C$3:$C$77, "&lt;"&amp;H3)</f>
        <v>9</v>
      </c>
      <c r="J3" s="380">
        <f ca="1">I3-I2</f>
        <v>7</v>
      </c>
      <c r="K3" s="381">
        <f t="shared" ca="1" si="0"/>
        <v>9.3333333333333338E-2</v>
      </c>
      <c r="L3" s="382">
        <f t="shared" ca="1" si="1"/>
        <v>0.12</v>
      </c>
      <c r="N3" s="397" t="s">
        <v>48</v>
      </c>
      <c r="O3" s="394">
        <f ca="1">MAX(B$3:B$77)</f>
        <v>22720</v>
      </c>
      <c r="P3" s="400">
        <f ca="1">MAX(C$3:C$77)</f>
        <v>22720</v>
      </c>
      <c r="Q3" s="400">
        <f ca="1">MAX(D$3:D$77)</f>
        <v>22720</v>
      </c>
      <c r="R3" s="358">
        <f ca="1">ROUNDUP(O3/S5,0)</f>
        <v>12</v>
      </c>
      <c r="S3" s="358">
        <f ca="1">R3*S5</f>
        <v>24000</v>
      </c>
      <c r="T3" s="358" t="b">
        <f t="shared" ref="T3:T8" ca="1" si="5">O3=P3</f>
        <v>1</v>
      </c>
      <c r="U3" s="358" t="b">
        <f t="shared" ref="U3:U9" ca="1" si="6">P3=Q3</f>
        <v>1</v>
      </c>
      <c r="AB3" s="305">
        <f t="shared" ref="AB3:AB66" ca="1" si="7">RAND()</f>
        <v>0.74790336642048982</v>
      </c>
      <c r="AC3" s="361">
        <v>1</v>
      </c>
      <c r="AD3" s="361">
        <v>1</v>
      </c>
      <c r="AE3" s="361">
        <f ca="1">INT($AH$1+$AI$1*AD3)</f>
        <v>130</v>
      </c>
      <c r="AF3" s="383">
        <f ca="1">(((IF(MOD(AD3,5)&lt;&gt;0,MOD(AD3,5),5))+12)+_xlfn.NORM.S.INV(RAND()))</f>
        <v>14.161880083796765</v>
      </c>
      <c r="AG3" s="305">
        <f ca="1">ROUND(AE3*AF3,0)</f>
        <v>1841</v>
      </c>
      <c r="AH3" s="305"/>
      <c r="AI3" s="306"/>
      <c r="AJ3" s="305"/>
      <c r="AK3" s="305"/>
    </row>
    <row r="4" spans="1:37" ht="16.5" x14ac:dyDescent="0.3">
      <c r="A4" s="79">
        <v>2</v>
      </c>
      <c r="B4" s="373">
        <f t="shared" ca="1" si="2"/>
        <v>10089</v>
      </c>
      <c r="C4" s="374">
        <f t="shared" ref="C4:C67" ca="1" si="8">SMALL($AG$3:$AG$77,AC4)</f>
        <v>1841</v>
      </c>
      <c r="D4" s="375">
        <f t="shared" ref="D4:D67" ca="1" si="9">AG4</f>
        <v>1730</v>
      </c>
      <c r="E4" s="376"/>
      <c r="F4" s="377" t="str">
        <f t="shared" ca="1" si="3"/>
        <v>4000 - 6000</v>
      </c>
      <c r="G4" s="378">
        <f t="shared" ref="G4:G13" ca="1" si="10">H3</f>
        <v>4000</v>
      </c>
      <c r="H4" s="379">
        <f t="shared" ref="H4:H14" ca="1" si="11">G4+$S$5</f>
        <v>6000</v>
      </c>
      <c r="I4" s="380">
        <f t="shared" ca="1" si="4"/>
        <v>20</v>
      </c>
      <c r="J4" s="380">
        <f t="shared" ref="J4:J14" ca="1" si="12">I4-I3</f>
        <v>11</v>
      </c>
      <c r="K4" s="381">
        <f t="shared" ca="1" si="0"/>
        <v>0.14666666666666667</v>
      </c>
      <c r="L4" s="382">
        <f t="shared" ca="1" si="1"/>
        <v>0.26666666666666666</v>
      </c>
      <c r="N4" s="397" t="s">
        <v>49</v>
      </c>
      <c r="O4" s="394">
        <f ca="1">MIN(B$3:B$77)</f>
        <v>1730</v>
      </c>
      <c r="P4" s="400">
        <f ca="1">MIN(C$3:C$77)</f>
        <v>1730</v>
      </c>
      <c r="Q4" s="400">
        <f ca="1">MIN(D$3:D$77)</f>
        <v>1730</v>
      </c>
      <c r="R4" s="358">
        <f ca="1">S5*INT(O4/S5)</f>
        <v>0</v>
      </c>
      <c r="T4" s="358" t="b">
        <f ca="1">O4=P4</f>
        <v>1</v>
      </c>
      <c r="U4" s="358" t="b">
        <f t="shared" ca="1" si="6"/>
        <v>1</v>
      </c>
      <c r="AB4" s="305">
        <f t="shared" ca="1" si="7"/>
        <v>0.38016714965049625</v>
      </c>
      <c r="AC4" s="361">
        <v>2</v>
      </c>
      <c r="AD4" s="361">
        <v>2</v>
      </c>
      <c r="AE4" s="361">
        <f t="shared" ref="AE4:AE67" ca="1" si="13">INT($AH$1+$AI$1*AD4)</f>
        <v>145</v>
      </c>
      <c r="AF4" s="383">
        <f t="shared" ref="AF4:AF67" ca="1" si="14">(((IF(MOD(AD4,5)&lt;&gt;0,MOD(AD4,5),5))+12)+_xlfn.NORM.S.INV(RAND()))</f>
        <v>11.934404981684873</v>
      </c>
      <c r="AG4" s="305">
        <f t="shared" ref="AG4:AG67" ca="1" si="15">ROUND(AE4*AF4,0)</f>
        <v>1730</v>
      </c>
      <c r="AH4" s="305"/>
      <c r="AI4" s="306"/>
      <c r="AJ4" s="305"/>
      <c r="AK4" s="305"/>
    </row>
    <row r="5" spans="1:37" ht="16.5" x14ac:dyDescent="0.3">
      <c r="A5" s="79">
        <v>3</v>
      </c>
      <c r="B5" s="373">
        <f t="shared" ca="1" si="2"/>
        <v>3359</v>
      </c>
      <c r="C5" s="374">
        <f t="shared" ca="1" si="8"/>
        <v>2550</v>
      </c>
      <c r="D5" s="375">
        <f t="shared" ca="1" si="9"/>
        <v>2648</v>
      </c>
      <c r="E5" s="376"/>
      <c r="F5" s="377" t="str">
        <f t="shared" ca="1" si="3"/>
        <v>6000 - 8000</v>
      </c>
      <c r="G5" s="378">
        <f t="shared" ca="1" si="10"/>
        <v>6000</v>
      </c>
      <c r="H5" s="379">
        <f t="shared" ca="1" si="11"/>
        <v>8000</v>
      </c>
      <c r="I5" s="380">
        <f t="shared" ca="1" si="4"/>
        <v>30</v>
      </c>
      <c r="J5" s="380">
        <f t="shared" ca="1" si="12"/>
        <v>10</v>
      </c>
      <c r="K5" s="381">
        <f t="shared" ca="1" si="0"/>
        <v>0.13333333333333333</v>
      </c>
      <c r="L5" s="382">
        <f t="shared" ca="1" si="1"/>
        <v>0.4</v>
      </c>
      <c r="N5" s="397" t="s">
        <v>40</v>
      </c>
      <c r="O5" s="394">
        <f ca="1">O3-O4</f>
        <v>20990</v>
      </c>
      <c r="P5" s="400">
        <f ca="1">P3-P4</f>
        <v>20990</v>
      </c>
      <c r="Q5" s="400">
        <f ca="1">Q3-Q4</f>
        <v>20990</v>
      </c>
      <c r="R5" s="358">
        <f ca="1">ROUND(O5/10,0)</f>
        <v>2099</v>
      </c>
      <c r="S5" s="358">
        <f ca="1">ROUND(R5,-LEN(R5)+1)</f>
        <v>2000</v>
      </c>
      <c r="T5" s="358" t="b">
        <f t="shared" ca="1" si="5"/>
        <v>1</v>
      </c>
      <c r="U5" s="358" t="b">
        <f t="shared" ca="1" si="6"/>
        <v>1</v>
      </c>
      <c r="AB5" s="305">
        <f t="shared" ca="1" si="7"/>
        <v>0.89098279487266618</v>
      </c>
      <c r="AC5" s="361">
        <v>3</v>
      </c>
      <c r="AD5" s="361">
        <v>3</v>
      </c>
      <c r="AE5" s="361">
        <f t="shared" ca="1" si="13"/>
        <v>160</v>
      </c>
      <c r="AF5" s="383">
        <f t="shared" ca="1" si="14"/>
        <v>16.549247715995481</v>
      </c>
      <c r="AG5" s="305">
        <f t="shared" ca="1" si="15"/>
        <v>2648</v>
      </c>
      <c r="AH5" s="305"/>
      <c r="AI5" s="306"/>
      <c r="AJ5" s="305"/>
      <c r="AK5" s="305"/>
    </row>
    <row r="6" spans="1:37" ht="16.5" x14ac:dyDescent="0.3">
      <c r="A6" s="79">
        <v>4</v>
      </c>
      <c r="B6" s="373">
        <f t="shared" ca="1" si="2"/>
        <v>11048</v>
      </c>
      <c r="C6" s="374">
        <f t="shared" ca="1" si="8"/>
        <v>2648</v>
      </c>
      <c r="D6" s="375">
        <f t="shared" ca="1" si="9"/>
        <v>2550</v>
      </c>
      <c r="E6" s="376"/>
      <c r="F6" s="377" t="str">
        <f t="shared" ca="1" si="3"/>
        <v>8000 - 10000</v>
      </c>
      <c r="G6" s="378">
        <f t="shared" ca="1" si="10"/>
        <v>8000</v>
      </c>
      <c r="H6" s="379">
        <f t="shared" ca="1" si="11"/>
        <v>10000</v>
      </c>
      <c r="I6" s="380">
        <f t="shared" ca="1" si="4"/>
        <v>38</v>
      </c>
      <c r="J6" s="380">
        <f t="shared" ca="1" si="12"/>
        <v>8</v>
      </c>
      <c r="K6" s="381">
        <f t="shared" ca="1" si="0"/>
        <v>0.10666666666666667</v>
      </c>
      <c r="L6" s="382">
        <f t="shared" ca="1" si="1"/>
        <v>0.50666666666666671</v>
      </c>
      <c r="N6" s="397" t="s">
        <v>50</v>
      </c>
      <c r="O6" s="394">
        <f ca="1">_xlfn.STDEV.S(B$3:B$77)</f>
        <v>5363.837219584334</v>
      </c>
      <c r="P6" s="400">
        <f ca="1">_xlfn.STDEV.S(C$3:C$77)</f>
        <v>5363.837219584334</v>
      </c>
      <c r="Q6" s="400">
        <f ca="1">_xlfn.STDEV.S(D$3:D$77)</f>
        <v>5363.837219584334</v>
      </c>
      <c r="T6" s="358" t="b">
        <f t="shared" ca="1" si="5"/>
        <v>1</v>
      </c>
      <c r="U6" s="358" t="b">
        <f t="shared" ca="1" si="6"/>
        <v>1</v>
      </c>
      <c r="AB6" s="305">
        <f t="shared" ca="1" si="7"/>
        <v>0.36390534319943846</v>
      </c>
      <c r="AC6" s="361">
        <v>4</v>
      </c>
      <c r="AD6" s="361">
        <v>4</v>
      </c>
      <c r="AE6" s="361">
        <f t="shared" ca="1" si="13"/>
        <v>175</v>
      </c>
      <c r="AF6" s="383">
        <f t="shared" ca="1" si="14"/>
        <v>14.573651305059109</v>
      </c>
      <c r="AG6" s="305">
        <f t="shared" ca="1" si="15"/>
        <v>2550</v>
      </c>
      <c r="AH6" s="305"/>
      <c r="AI6" s="306"/>
      <c r="AJ6" s="305"/>
      <c r="AK6" s="305"/>
    </row>
    <row r="7" spans="1:37" ht="16.5" x14ac:dyDescent="0.3">
      <c r="A7" s="79">
        <v>5</v>
      </c>
      <c r="B7" s="373">
        <f t="shared" ca="1" si="2"/>
        <v>9953</v>
      </c>
      <c r="C7" s="374">
        <f t="shared" ca="1" si="8"/>
        <v>2931</v>
      </c>
      <c r="D7" s="375">
        <f t="shared" ca="1" si="9"/>
        <v>3473</v>
      </c>
      <c r="E7" s="376"/>
      <c r="F7" s="377" t="str">
        <f t="shared" ca="1" si="3"/>
        <v>10000 - 12000</v>
      </c>
      <c r="G7" s="378">
        <f t="shared" ca="1" si="10"/>
        <v>10000</v>
      </c>
      <c r="H7" s="379">
        <f t="shared" ca="1" si="11"/>
        <v>12000</v>
      </c>
      <c r="I7" s="380">
        <f t="shared" ca="1" si="4"/>
        <v>48</v>
      </c>
      <c r="J7" s="380">
        <f t="shared" ca="1" si="12"/>
        <v>10</v>
      </c>
      <c r="K7" s="381">
        <f t="shared" ca="1" si="0"/>
        <v>0.13333333333333333</v>
      </c>
      <c r="L7" s="382">
        <f t="shared" ca="1" si="1"/>
        <v>0.64</v>
      </c>
      <c r="N7" s="397" t="s">
        <v>51</v>
      </c>
      <c r="O7" s="394">
        <f ca="1">O6/O2</f>
        <v>0.51793354782864931</v>
      </c>
      <c r="P7" s="400">
        <f ca="1">P6/P2</f>
        <v>0.51793354782864931</v>
      </c>
      <c r="Q7" s="400">
        <f ca="1">Q6/Q2</f>
        <v>0.51793354782864931</v>
      </c>
      <c r="T7" s="358" t="b">
        <f t="shared" ca="1" si="5"/>
        <v>1</v>
      </c>
      <c r="U7" s="358" t="b">
        <f t="shared" ca="1" si="6"/>
        <v>1</v>
      </c>
      <c r="AB7" s="305">
        <f t="shared" ca="1" si="7"/>
        <v>0.30846226103531327</v>
      </c>
      <c r="AC7" s="361">
        <v>5</v>
      </c>
      <c r="AD7" s="361">
        <v>5</v>
      </c>
      <c r="AE7" s="361">
        <f t="shared" ca="1" si="13"/>
        <v>190</v>
      </c>
      <c r="AF7" s="383">
        <f t="shared" ca="1" si="14"/>
        <v>18.278012804870023</v>
      </c>
      <c r="AG7" s="305">
        <f t="shared" ca="1" si="15"/>
        <v>3473</v>
      </c>
      <c r="AH7" s="305"/>
      <c r="AI7" s="306"/>
      <c r="AJ7" s="305"/>
      <c r="AK7" s="305"/>
    </row>
    <row r="8" spans="1:37" ht="16.5" x14ac:dyDescent="0.3">
      <c r="A8" s="79">
        <v>6</v>
      </c>
      <c r="B8" s="373">
        <f t="shared" ca="1" si="2"/>
        <v>15394</v>
      </c>
      <c r="C8" s="374">
        <f t="shared" ca="1" si="8"/>
        <v>3222</v>
      </c>
      <c r="D8" s="375">
        <f t="shared" ca="1" si="9"/>
        <v>2931</v>
      </c>
      <c r="E8" s="376"/>
      <c r="F8" s="377" t="str">
        <f t="shared" ca="1" si="3"/>
        <v>12000 - 14000</v>
      </c>
      <c r="G8" s="378">
        <f t="shared" ca="1" si="10"/>
        <v>12000</v>
      </c>
      <c r="H8" s="379">
        <f t="shared" ca="1" si="11"/>
        <v>14000</v>
      </c>
      <c r="I8" s="380">
        <f t="shared" ca="1" si="4"/>
        <v>53</v>
      </c>
      <c r="J8" s="380">
        <f t="shared" ca="1" si="12"/>
        <v>5</v>
      </c>
      <c r="K8" s="381">
        <f t="shared" ca="1" si="0"/>
        <v>6.6666666666666666E-2</v>
      </c>
      <c r="L8" s="382">
        <f t="shared" ca="1" si="1"/>
        <v>0.70666666666666667</v>
      </c>
      <c r="N8" s="397" t="s">
        <v>174</v>
      </c>
      <c r="O8" s="394">
        <f ca="1">O5/O2</f>
        <v>2.0267999799154648</v>
      </c>
      <c r="P8" s="400">
        <f ca="1">P5/P2</f>
        <v>2.0267999799154648</v>
      </c>
      <c r="Q8" s="400">
        <f ca="1">Q5/Q2</f>
        <v>2.0267999799154648</v>
      </c>
      <c r="T8" s="358" t="b">
        <f t="shared" ca="1" si="5"/>
        <v>1</v>
      </c>
      <c r="U8" s="358" t="b">
        <f t="shared" ca="1" si="6"/>
        <v>1</v>
      </c>
      <c r="AB8" s="305">
        <f t="shared" ca="1" si="7"/>
        <v>0.28350086724363222</v>
      </c>
      <c r="AC8" s="361">
        <v>6</v>
      </c>
      <c r="AD8" s="361">
        <v>6</v>
      </c>
      <c r="AE8" s="361">
        <f t="shared" ca="1" si="13"/>
        <v>205</v>
      </c>
      <c r="AF8" s="383">
        <f t="shared" ca="1" si="14"/>
        <v>14.29989149927907</v>
      </c>
      <c r="AG8" s="305">
        <f t="shared" ca="1" si="15"/>
        <v>2931</v>
      </c>
      <c r="AH8" s="305"/>
      <c r="AI8" s="306"/>
      <c r="AJ8" s="305"/>
      <c r="AK8" s="305"/>
    </row>
    <row r="9" spans="1:37" ht="17.25" thickBot="1" x14ac:dyDescent="0.35">
      <c r="A9" s="79">
        <v>7</v>
      </c>
      <c r="B9" s="373">
        <f t="shared" ca="1" si="2"/>
        <v>2550</v>
      </c>
      <c r="C9" s="374">
        <f t="shared" ca="1" si="8"/>
        <v>3359</v>
      </c>
      <c r="D9" s="375">
        <f t="shared" ca="1" si="9"/>
        <v>3222</v>
      </c>
      <c r="E9" s="376"/>
      <c r="F9" s="377" t="str">
        <f t="shared" ca="1" si="3"/>
        <v>14000 - 16000</v>
      </c>
      <c r="G9" s="378">
        <f t="shared" ca="1" si="10"/>
        <v>14000</v>
      </c>
      <c r="H9" s="379">
        <f t="shared" ca="1" si="11"/>
        <v>16000</v>
      </c>
      <c r="I9" s="380">
        <f t="shared" ca="1" si="4"/>
        <v>64</v>
      </c>
      <c r="J9" s="380">
        <f t="shared" ca="1" si="12"/>
        <v>11</v>
      </c>
      <c r="K9" s="381">
        <f t="shared" ca="1" si="0"/>
        <v>0.14666666666666667</v>
      </c>
      <c r="L9" s="382">
        <f t="shared" ca="1" si="1"/>
        <v>0.85333333333333339</v>
      </c>
      <c r="N9" s="398" t="s">
        <v>53</v>
      </c>
      <c r="O9" s="395">
        <f ca="1">SKEW(B$3:B$77)</f>
        <v>0.32147032061925918</v>
      </c>
      <c r="P9" s="401">
        <f ca="1">SKEW(C$3:C$77)</f>
        <v>0.32147032061925923</v>
      </c>
      <c r="Q9" s="401">
        <f ca="1">SKEW(D$3:D$77)</f>
        <v>0.32147032061925918</v>
      </c>
      <c r="T9" s="358" t="b">
        <f ca="1">O9=P9</f>
        <v>1</v>
      </c>
      <c r="U9" s="358" t="b">
        <f t="shared" ca="1" si="6"/>
        <v>1</v>
      </c>
      <c r="AB9" s="305">
        <f t="shared" ca="1" si="7"/>
        <v>0.96626403061454624</v>
      </c>
      <c r="AC9" s="361">
        <v>8</v>
      </c>
      <c r="AD9" s="361">
        <v>7</v>
      </c>
      <c r="AE9" s="361">
        <f t="shared" ca="1" si="13"/>
        <v>220</v>
      </c>
      <c r="AF9" s="383">
        <f t="shared" ca="1" si="14"/>
        <v>14.645601855021502</v>
      </c>
      <c r="AG9" s="305">
        <f t="shared" ca="1" si="15"/>
        <v>3222</v>
      </c>
      <c r="AH9" s="305"/>
      <c r="AI9" s="306"/>
      <c r="AJ9" s="305"/>
      <c r="AK9" s="305"/>
    </row>
    <row r="10" spans="1:37" ht="16.5" x14ac:dyDescent="0.3">
      <c r="A10" s="79">
        <v>8</v>
      </c>
      <c r="B10" s="373">
        <f t="shared" ca="1" si="2"/>
        <v>6418</v>
      </c>
      <c r="C10" s="374">
        <f t="shared" ca="1" si="8"/>
        <v>3236</v>
      </c>
      <c r="D10" s="375">
        <f t="shared" ca="1" si="9"/>
        <v>3359</v>
      </c>
      <c r="E10" s="376"/>
      <c r="F10" s="377" t="str">
        <f t="shared" ca="1" si="3"/>
        <v>16000 - 18000</v>
      </c>
      <c r="G10" s="378">
        <f t="shared" ca="1" si="10"/>
        <v>16000</v>
      </c>
      <c r="H10" s="379">
        <f t="shared" ca="1" si="11"/>
        <v>18000</v>
      </c>
      <c r="I10" s="380">
        <f t="shared" ca="1" si="4"/>
        <v>66</v>
      </c>
      <c r="J10" s="380">
        <f t="shared" ca="1" si="12"/>
        <v>2</v>
      </c>
      <c r="K10" s="381">
        <f t="shared" ca="1" si="0"/>
        <v>2.6666666666666668E-2</v>
      </c>
      <c r="L10" s="382">
        <f t="shared" ca="1" si="1"/>
        <v>0.88</v>
      </c>
      <c r="AB10" s="305">
        <f t="shared" ca="1" si="7"/>
        <v>0.71645405065508894</v>
      </c>
      <c r="AC10" s="361">
        <v>7</v>
      </c>
      <c r="AD10" s="361">
        <v>8</v>
      </c>
      <c r="AE10" s="361">
        <f ca="1">INT($AH$1+$AI$1*AD10)</f>
        <v>235</v>
      </c>
      <c r="AF10" s="383">
        <f t="shared" ca="1" si="14"/>
        <v>14.295529623686296</v>
      </c>
      <c r="AG10" s="305">
        <f t="shared" ca="1" si="15"/>
        <v>3359</v>
      </c>
      <c r="AH10" s="305"/>
      <c r="AI10" s="306"/>
      <c r="AJ10" s="305"/>
      <c r="AK10" s="305"/>
    </row>
    <row r="11" spans="1:37" ht="16.5" x14ac:dyDescent="0.3">
      <c r="A11" s="79">
        <v>9</v>
      </c>
      <c r="B11" s="373">
        <f t="shared" ca="1" si="2"/>
        <v>18141</v>
      </c>
      <c r="C11" s="374">
        <f t="shared" ca="1" si="8"/>
        <v>4308</v>
      </c>
      <c r="D11" s="375">
        <f t="shared" ca="1" si="9"/>
        <v>4225</v>
      </c>
      <c r="E11" s="376"/>
      <c r="F11" s="377" t="str">
        <f t="shared" ca="1" si="3"/>
        <v>18000 - 20000</v>
      </c>
      <c r="G11" s="378">
        <f t="shared" ca="1" si="10"/>
        <v>18000</v>
      </c>
      <c r="H11" s="379">
        <f t="shared" ca="1" si="11"/>
        <v>20000</v>
      </c>
      <c r="I11" s="380">
        <f t="shared" ca="1" si="4"/>
        <v>73</v>
      </c>
      <c r="J11" s="380">
        <f t="shared" ca="1" si="12"/>
        <v>7</v>
      </c>
      <c r="K11" s="381">
        <f t="shared" ca="1" si="0"/>
        <v>9.3333333333333338E-2</v>
      </c>
      <c r="L11" s="382">
        <f t="shared" ca="1" si="1"/>
        <v>0.97333333333333338</v>
      </c>
      <c r="AB11" s="305">
        <f t="shared" ca="1" si="7"/>
        <v>0.12453965900621189</v>
      </c>
      <c r="AC11" s="361">
        <v>12</v>
      </c>
      <c r="AD11" s="361">
        <v>9</v>
      </c>
      <c r="AE11" s="361">
        <f t="shared" ca="1" si="13"/>
        <v>250</v>
      </c>
      <c r="AF11" s="383">
        <f t="shared" ca="1" si="14"/>
        <v>16.901313855635408</v>
      </c>
      <c r="AG11" s="305">
        <f t="shared" ca="1" si="15"/>
        <v>4225</v>
      </c>
      <c r="AH11" s="305"/>
      <c r="AI11" s="306"/>
      <c r="AJ11" s="305"/>
      <c r="AK11" s="305"/>
    </row>
    <row r="12" spans="1:37" ht="16.5" x14ac:dyDescent="0.3">
      <c r="A12" s="79">
        <v>10</v>
      </c>
      <c r="B12" s="373">
        <f t="shared" ca="1" si="2"/>
        <v>2648</v>
      </c>
      <c r="C12" s="374">
        <f t="shared" ca="1" si="8"/>
        <v>3473</v>
      </c>
      <c r="D12" s="375">
        <f t="shared" ca="1" si="9"/>
        <v>4308</v>
      </c>
      <c r="E12" s="376"/>
      <c r="F12" s="377" t="str">
        <f t="shared" ca="1" si="3"/>
        <v>20000 - 22000</v>
      </c>
      <c r="G12" s="378">
        <f t="shared" ca="1" si="10"/>
        <v>20000</v>
      </c>
      <c r="H12" s="379">
        <f t="shared" ca="1" si="11"/>
        <v>22000</v>
      </c>
      <c r="I12" s="380">
        <f t="shared" ca="1" si="4"/>
        <v>74</v>
      </c>
      <c r="J12" s="380">
        <f t="shared" ca="1" si="12"/>
        <v>1</v>
      </c>
      <c r="K12" s="381">
        <f t="shared" ca="1" si="0"/>
        <v>1.3333333333333334E-2</v>
      </c>
      <c r="L12" s="382">
        <f t="shared" ca="1" si="1"/>
        <v>0.98666666666666669</v>
      </c>
      <c r="AB12" s="305">
        <f t="shared" ca="1" si="7"/>
        <v>0.98101027743501745</v>
      </c>
      <c r="AC12" s="361">
        <v>9</v>
      </c>
      <c r="AD12" s="361">
        <v>10</v>
      </c>
      <c r="AE12" s="361">
        <f t="shared" ca="1" si="13"/>
        <v>265</v>
      </c>
      <c r="AF12" s="383">
        <f t="shared" ca="1" si="14"/>
        <v>16.257339628041606</v>
      </c>
      <c r="AG12" s="305">
        <f t="shared" ca="1" si="15"/>
        <v>4308</v>
      </c>
      <c r="AH12" s="305"/>
      <c r="AI12" s="306"/>
      <c r="AJ12" s="305"/>
      <c r="AK12" s="305"/>
    </row>
    <row r="13" spans="1:37" ht="16.5" x14ac:dyDescent="0.3">
      <c r="A13" s="79">
        <v>11</v>
      </c>
      <c r="B13" s="373">
        <f t="shared" ca="1" si="2"/>
        <v>7267</v>
      </c>
      <c r="C13" s="374">
        <f t="shared" ca="1" si="8"/>
        <v>4071</v>
      </c>
      <c r="D13" s="375">
        <f t="shared" ca="1" si="9"/>
        <v>3236</v>
      </c>
      <c r="E13" s="376"/>
      <c r="F13" s="377" t="str">
        <f t="shared" ca="1" si="3"/>
        <v>22000 - 24000</v>
      </c>
      <c r="G13" s="378">
        <f t="shared" ca="1" si="10"/>
        <v>22000</v>
      </c>
      <c r="H13" s="379">
        <f t="shared" ca="1" si="11"/>
        <v>24000</v>
      </c>
      <c r="I13" s="380">
        <f t="shared" ca="1" si="4"/>
        <v>75</v>
      </c>
      <c r="J13" s="380">
        <f t="shared" ca="1" si="12"/>
        <v>1</v>
      </c>
      <c r="K13" s="381">
        <f t="shared" ca="1" si="0"/>
        <v>1.3333333333333334E-2</v>
      </c>
      <c r="L13" s="382">
        <f t="shared" ca="1" si="1"/>
        <v>1</v>
      </c>
      <c r="AB13" s="305">
        <f t="shared" ca="1" si="7"/>
        <v>0.66589534913225989</v>
      </c>
      <c r="AC13" s="361">
        <v>10</v>
      </c>
      <c r="AD13" s="361">
        <v>11</v>
      </c>
      <c r="AE13" s="361">
        <f t="shared" ca="1" si="13"/>
        <v>280</v>
      </c>
      <c r="AF13" s="383">
        <f t="shared" ca="1" si="14"/>
        <v>11.557916145862134</v>
      </c>
      <c r="AG13" s="305">
        <f t="shared" ca="1" si="15"/>
        <v>3236</v>
      </c>
      <c r="AH13" s="305"/>
      <c r="AI13" s="306"/>
      <c r="AJ13" s="305"/>
      <c r="AK13" s="305"/>
    </row>
    <row r="14" spans="1:37" ht="17.25" thickBot="1" x14ac:dyDescent="0.35">
      <c r="A14" s="79">
        <v>12</v>
      </c>
      <c r="B14" s="373">
        <f t="shared" ca="1" si="2"/>
        <v>13114</v>
      </c>
      <c r="C14" s="374">
        <f t="shared" ca="1" si="8"/>
        <v>4225</v>
      </c>
      <c r="D14" s="375">
        <f t="shared" ca="1" si="9"/>
        <v>4071</v>
      </c>
      <c r="E14" s="376"/>
      <c r="F14" s="384" t="str">
        <f t="shared" ca="1" si="3"/>
        <v>24000 - 26000</v>
      </c>
      <c r="G14" s="385">
        <f ca="1">H13</f>
        <v>24000</v>
      </c>
      <c r="H14" s="386">
        <f t="shared" ca="1" si="11"/>
        <v>26000</v>
      </c>
      <c r="I14" s="387">
        <f t="shared" ca="1" si="4"/>
        <v>75</v>
      </c>
      <c r="J14" s="387">
        <f t="shared" ca="1" si="12"/>
        <v>0</v>
      </c>
      <c r="K14" s="388">
        <f t="shared" ca="1" si="0"/>
        <v>0</v>
      </c>
      <c r="L14" s="389">
        <f t="shared" ca="1" si="1"/>
        <v>1</v>
      </c>
      <c r="AB14" s="305">
        <f t="shared" ca="1" si="7"/>
        <v>0.12435726642297074</v>
      </c>
      <c r="AC14" s="361">
        <v>11</v>
      </c>
      <c r="AD14" s="361">
        <v>12</v>
      </c>
      <c r="AE14" s="361">
        <f t="shared" ca="1" si="13"/>
        <v>295</v>
      </c>
      <c r="AF14" s="383">
        <f t="shared" ca="1" si="14"/>
        <v>13.801026834098549</v>
      </c>
      <c r="AG14" s="305">
        <f t="shared" ca="1" si="15"/>
        <v>4071</v>
      </c>
      <c r="AH14" s="305"/>
      <c r="AI14" s="306"/>
      <c r="AJ14" s="305"/>
      <c r="AK14" s="305"/>
    </row>
    <row r="15" spans="1:37" ht="16.5" x14ac:dyDescent="0.3">
      <c r="A15" s="79">
        <v>13</v>
      </c>
      <c r="B15" s="373">
        <f t="shared" ca="1" si="2"/>
        <v>15681</v>
      </c>
      <c r="C15" s="374">
        <f t="shared" ca="1" si="8"/>
        <v>4436</v>
      </c>
      <c r="D15" s="375">
        <f t="shared" ca="1" si="9"/>
        <v>4436</v>
      </c>
      <c r="E15" s="376"/>
      <c r="F15" s="390"/>
      <c r="G15" s="380"/>
      <c r="H15" s="380"/>
      <c r="I15" s="380"/>
      <c r="J15" s="380">
        <f ca="1">SUM(J2:J14)</f>
        <v>75</v>
      </c>
      <c r="K15" s="381">
        <f ca="1">SUM(K2:K14)</f>
        <v>0.99999999999999989</v>
      </c>
      <c r="L15" s="381"/>
      <c r="AB15" s="305">
        <f t="shared" ca="1" si="7"/>
        <v>8.9285397623432128E-2</v>
      </c>
      <c r="AC15" s="361">
        <v>14</v>
      </c>
      <c r="AD15" s="361">
        <v>13</v>
      </c>
      <c r="AE15" s="361">
        <f t="shared" ca="1" si="13"/>
        <v>310</v>
      </c>
      <c r="AF15" s="383">
        <f t="shared" ca="1" si="14"/>
        <v>14.311173233960076</v>
      </c>
      <c r="AG15" s="305">
        <f t="shared" ca="1" si="15"/>
        <v>4436</v>
      </c>
      <c r="AH15" s="305"/>
      <c r="AI15" s="306"/>
      <c r="AJ15" s="305"/>
      <c r="AK15" s="305"/>
    </row>
    <row r="16" spans="1:37" ht="16.5" x14ac:dyDescent="0.3">
      <c r="A16" s="79">
        <v>14</v>
      </c>
      <c r="B16" s="373">
        <f t="shared" ca="1" si="2"/>
        <v>11992</v>
      </c>
      <c r="C16" s="374">
        <f t="shared" ca="1" si="8"/>
        <v>5351</v>
      </c>
      <c r="D16" s="375">
        <f t="shared" ca="1" si="9"/>
        <v>5351</v>
      </c>
      <c r="E16" s="376"/>
      <c r="F16" s="391"/>
      <c r="G16" s="391"/>
      <c r="H16" s="391"/>
      <c r="I16" s="391"/>
      <c r="L16" s="391"/>
      <c r="AB16" s="305">
        <f t="shared" ca="1" si="7"/>
        <v>0.22928842285899431</v>
      </c>
      <c r="AC16" s="361">
        <v>16</v>
      </c>
      <c r="AD16" s="361">
        <v>14</v>
      </c>
      <c r="AE16" s="361">
        <f t="shared" ca="1" si="13"/>
        <v>325</v>
      </c>
      <c r="AF16" s="383">
        <f t="shared" ca="1" si="14"/>
        <v>16.464347622632594</v>
      </c>
      <c r="AG16" s="305">
        <f t="shared" ca="1" si="15"/>
        <v>5351</v>
      </c>
      <c r="AH16" s="305"/>
      <c r="AI16" s="306"/>
      <c r="AJ16" s="305"/>
      <c r="AK16" s="305"/>
    </row>
    <row r="17" spans="1:37" ht="16.5" x14ac:dyDescent="0.3">
      <c r="A17" s="79">
        <v>15</v>
      </c>
      <c r="B17" s="373">
        <f t="shared" ca="1" si="2"/>
        <v>11086</v>
      </c>
      <c r="C17" s="374">
        <f t="shared" ca="1" si="8"/>
        <v>5673</v>
      </c>
      <c r="D17" s="375">
        <f t="shared" ca="1" si="9"/>
        <v>5307</v>
      </c>
      <c r="E17" s="376"/>
      <c r="J17" s="392"/>
      <c r="K17" s="392"/>
      <c r="AB17" s="305">
        <f t="shared" ca="1" si="7"/>
        <v>0.43209698093705051</v>
      </c>
      <c r="AC17" s="361">
        <v>18</v>
      </c>
      <c r="AD17" s="361">
        <v>15</v>
      </c>
      <c r="AE17" s="361">
        <f t="shared" ca="1" si="13"/>
        <v>340</v>
      </c>
      <c r="AF17" s="383">
        <f t="shared" ca="1" si="14"/>
        <v>15.607590053201191</v>
      </c>
      <c r="AG17" s="305">
        <f t="shared" ca="1" si="15"/>
        <v>5307</v>
      </c>
      <c r="AH17" s="305"/>
      <c r="AI17" s="306"/>
      <c r="AJ17" s="305"/>
      <c r="AK17" s="305"/>
    </row>
    <row r="18" spans="1:37" ht="16.5" x14ac:dyDescent="0.3">
      <c r="A18" s="79">
        <v>16</v>
      </c>
      <c r="B18" s="373">
        <f t="shared" ca="1" si="2"/>
        <v>14267</v>
      </c>
      <c r="C18" s="374">
        <f t="shared" ca="1" si="8"/>
        <v>4402</v>
      </c>
      <c r="D18" s="375">
        <f t="shared" ca="1" si="9"/>
        <v>4402</v>
      </c>
      <c r="E18" s="376"/>
      <c r="AB18" s="305">
        <f t="shared" ca="1" si="7"/>
        <v>0.12125115603378478</v>
      </c>
      <c r="AC18" s="361">
        <v>13</v>
      </c>
      <c r="AD18" s="361">
        <v>16</v>
      </c>
      <c r="AE18" s="361">
        <f t="shared" ca="1" si="13"/>
        <v>355</v>
      </c>
      <c r="AF18" s="383">
        <f t="shared" ca="1" si="14"/>
        <v>12.399701799278358</v>
      </c>
      <c r="AG18" s="305">
        <f t="shared" ca="1" si="15"/>
        <v>4402</v>
      </c>
      <c r="AH18" s="305"/>
      <c r="AI18" s="306"/>
      <c r="AJ18" s="305"/>
      <c r="AK18" s="305"/>
    </row>
    <row r="19" spans="1:37" ht="16.5" x14ac:dyDescent="0.3">
      <c r="A19" s="79">
        <v>17</v>
      </c>
      <c r="B19" s="373">
        <f t="shared" ca="1" si="2"/>
        <v>4436</v>
      </c>
      <c r="C19" s="374">
        <f t="shared" ca="1" si="8"/>
        <v>5545</v>
      </c>
      <c r="D19" s="375">
        <f t="shared" ca="1" si="9"/>
        <v>5786</v>
      </c>
      <c r="E19" s="376"/>
      <c r="AB19" s="305">
        <f t="shared" ca="1" si="7"/>
        <v>0.84639498976138017</v>
      </c>
      <c r="AC19" s="361">
        <v>17</v>
      </c>
      <c r="AD19" s="361">
        <v>17</v>
      </c>
      <c r="AE19" s="361">
        <f t="shared" ca="1" si="13"/>
        <v>370</v>
      </c>
      <c r="AF19" s="383">
        <f t="shared" ca="1" si="14"/>
        <v>15.636559807932585</v>
      </c>
      <c r="AG19" s="305">
        <f t="shared" ca="1" si="15"/>
        <v>5786</v>
      </c>
      <c r="AH19" s="305"/>
      <c r="AI19" s="306"/>
      <c r="AJ19" s="305"/>
      <c r="AK19" s="305"/>
    </row>
    <row r="20" spans="1:37" ht="16.5" x14ac:dyDescent="0.3">
      <c r="A20" s="79">
        <v>18</v>
      </c>
      <c r="B20" s="373">
        <f t="shared" ca="1" si="2"/>
        <v>6851</v>
      </c>
      <c r="C20" s="374">
        <f t="shared" ca="1" si="8"/>
        <v>5307</v>
      </c>
      <c r="D20" s="375">
        <f t="shared" ca="1" si="9"/>
        <v>5673</v>
      </c>
      <c r="E20" s="376"/>
      <c r="AB20" s="305">
        <f t="shared" ca="1" si="7"/>
        <v>0.71051950943669073</v>
      </c>
      <c r="AC20" s="361">
        <v>15</v>
      </c>
      <c r="AD20" s="361">
        <v>18</v>
      </c>
      <c r="AE20" s="361">
        <f t="shared" ca="1" si="13"/>
        <v>385</v>
      </c>
      <c r="AF20" s="383">
        <f t="shared" ca="1" si="14"/>
        <v>14.733942158511278</v>
      </c>
      <c r="AG20" s="305">
        <f t="shared" ca="1" si="15"/>
        <v>5673</v>
      </c>
      <c r="AH20" s="305"/>
      <c r="AI20" s="306"/>
      <c r="AJ20" s="305"/>
      <c r="AK20" s="305"/>
    </row>
    <row r="21" spans="1:37" ht="16.5" x14ac:dyDescent="0.3">
      <c r="A21" s="79">
        <v>19</v>
      </c>
      <c r="B21" s="373">
        <f t="shared" ca="1" si="2"/>
        <v>5786</v>
      </c>
      <c r="C21" s="374">
        <f t="shared" ca="1" si="8"/>
        <v>5786</v>
      </c>
      <c r="D21" s="375">
        <f t="shared" ca="1" si="9"/>
        <v>6829</v>
      </c>
      <c r="E21" s="376"/>
      <c r="AB21" s="305">
        <f t="shared" ca="1" si="7"/>
        <v>0.748305435457844</v>
      </c>
      <c r="AC21" s="361">
        <v>19</v>
      </c>
      <c r="AD21" s="361">
        <v>19</v>
      </c>
      <c r="AE21" s="361">
        <f t="shared" ca="1" si="13"/>
        <v>400</v>
      </c>
      <c r="AF21" s="383">
        <f t="shared" ca="1" si="14"/>
        <v>17.071479255151701</v>
      </c>
      <c r="AG21" s="305">
        <f t="shared" ca="1" si="15"/>
        <v>6829</v>
      </c>
      <c r="AH21" s="305"/>
      <c r="AI21" s="306"/>
      <c r="AJ21" s="305"/>
      <c r="AK21" s="305"/>
    </row>
    <row r="22" spans="1:37" ht="16.5" x14ac:dyDescent="0.3">
      <c r="A22" s="79">
        <v>20</v>
      </c>
      <c r="B22" s="373">
        <f t="shared" ca="1" si="2"/>
        <v>10452</v>
      </c>
      <c r="C22" s="374">
        <f t="shared" ca="1" si="8"/>
        <v>5970</v>
      </c>
      <c r="D22" s="375">
        <f t="shared" ca="1" si="9"/>
        <v>7282</v>
      </c>
      <c r="E22" s="376"/>
      <c r="AB22" s="305">
        <f t="shared" ca="1" si="7"/>
        <v>0.43696984209220424</v>
      </c>
      <c r="AC22" s="361">
        <v>20</v>
      </c>
      <c r="AD22" s="361">
        <v>20</v>
      </c>
      <c r="AE22" s="361">
        <f t="shared" ca="1" si="13"/>
        <v>415</v>
      </c>
      <c r="AF22" s="383">
        <f t="shared" ca="1" si="14"/>
        <v>17.545908564602552</v>
      </c>
      <c r="AG22" s="305">
        <f t="shared" ca="1" si="15"/>
        <v>7282</v>
      </c>
      <c r="AH22" s="305"/>
      <c r="AI22" s="306"/>
      <c r="AJ22" s="305"/>
      <c r="AK22" s="305"/>
    </row>
    <row r="23" spans="1:37" ht="16.5" x14ac:dyDescent="0.3">
      <c r="A23" s="79">
        <v>21</v>
      </c>
      <c r="B23" s="373">
        <f t="shared" ca="1" si="2"/>
        <v>1730</v>
      </c>
      <c r="C23" s="374">
        <f t="shared" ca="1" si="8"/>
        <v>7221</v>
      </c>
      <c r="D23" s="375">
        <f t="shared" ca="1" si="9"/>
        <v>5970</v>
      </c>
      <c r="E23" s="376"/>
      <c r="AB23" s="305">
        <f t="shared" ca="1" si="7"/>
        <v>0.98908164412569088</v>
      </c>
      <c r="AC23" s="361">
        <v>24</v>
      </c>
      <c r="AD23" s="361">
        <v>21</v>
      </c>
      <c r="AE23" s="361">
        <f t="shared" ca="1" si="13"/>
        <v>430</v>
      </c>
      <c r="AF23" s="383">
        <f t="shared" ca="1" si="14"/>
        <v>13.883649316086101</v>
      </c>
      <c r="AG23" s="305">
        <f t="shared" ca="1" si="15"/>
        <v>5970</v>
      </c>
      <c r="AH23" s="305"/>
      <c r="AI23" s="306"/>
      <c r="AJ23" s="305"/>
      <c r="AK23" s="305"/>
    </row>
    <row r="24" spans="1:37" ht="16.5" x14ac:dyDescent="0.3">
      <c r="A24" s="79">
        <v>22</v>
      </c>
      <c r="B24" s="373">
        <f t="shared" ca="1" si="2"/>
        <v>18063</v>
      </c>
      <c r="C24" s="374">
        <f t="shared" ca="1" si="8"/>
        <v>6829</v>
      </c>
      <c r="D24" s="375">
        <f t="shared" ca="1" si="9"/>
        <v>6418</v>
      </c>
      <c r="E24" s="376"/>
      <c r="AB24" s="305">
        <f t="shared" ca="1" si="7"/>
        <v>4.9180925548307108E-2</v>
      </c>
      <c r="AC24" s="361">
        <v>22</v>
      </c>
      <c r="AD24" s="361">
        <v>22</v>
      </c>
      <c r="AE24" s="361">
        <f t="shared" ca="1" si="13"/>
        <v>445</v>
      </c>
      <c r="AF24" s="383">
        <f t="shared" ca="1" si="14"/>
        <v>14.422463347905852</v>
      </c>
      <c r="AG24" s="305">
        <f t="shared" ca="1" si="15"/>
        <v>6418</v>
      </c>
      <c r="AH24" s="305"/>
      <c r="AI24" s="306"/>
      <c r="AJ24" s="305"/>
      <c r="AK24" s="305"/>
    </row>
    <row r="25" spans="1:37" ht="16.5" x14ac:dyDescent="0.3">
      <c r="A25" s="79">
        <v>23</v>
      </c>
      <c r="B25" s="373">
        <f t="shared" ca="1" si="2"/>
        <v>10025</v>
      </c>
      <c r="C25" s="374">
        <f t="shared" ca="1" si="8"/>
        <v>6851</v>
      </c>
      <c r="D25" s="375">
        <f t="shared" ca="1" si="9"/>
        <v>6851</v>
      </c>
      <c r="E25" s="376"/>
      <c r="AB25" s="305">
        <f t="shared" ca="1" si="7"/>
        <v>0.37852679434000147</v>
      </c>
      <c r="AC25" s="361">
        <v>23</v>
      </c>
      <c r="AD25" s="361">
        <v>23</v>
      </c>
      <c r="AE25" s="361">
        <f t="shared" ca="1" si="13"/>
        <v>460</v>
      </c>
      <c r="AF25" s="383">
        <f t="shared" ca="1" si="14"/>
        <v>14.89449313790653</v>
      </c>
      <c r="AG25" s="305">
        <f t="shared" ca="1" si="15"/>
        <v>6851</v>
      </c>
      <c r="AH25" s="305"/>
      <c r="AI25" s="306"/>
      <c r="AJ25" s="305"/>
      <c r="AK25" s="305"/>
    </row>
    <row r="26" spans="1:37" ht="16.5" x14ac:dyDescent="0.3">
      <c r="A26" s="79">
        <v>24</v>
      </c>
      <c r="B26" s="373">
        <f t="shared" ca="1" si="2"/>
        <v>4071</v>
      </c>
      <c r="C26" s="374">
        <f t="shared" ca="1" si="8"/>
        <v>7267</v>
      </c>
      <c r="D26" s="375">
        <f t="shared" ca="1" si="9"/>
        <v>8172</v>
      </c>
      <c r="E26" s="376"/>
      <c r="AB26" s="305">
        <f t="shared" ca="1" si="7"/>
        <v>0.84832400044161371</v>
      </c>
      <c r="AC26" s="361">
        <v>25</v>
      </c>
      <c r="AD26" s="361">
        <v>24</v>
      </c>
      <c r="AE26" s="361">
        <f t="shared" ca="1" si="13"/>
        <v>475</v>
      </c>
      <c r="AF26" s="383">
        <f t="shared" ca="1" si="14"/>
        <v>17.203240724551918</v>
      </c>
      <c r="AG26" s="305">
        <f t="shared" ca="1" si="15"/>
        <v>8172</v>
      </c>
      <c r="AH26" s="305"/>
      <c r="AI26" s="306"/>
      <c r="AJ26" s="305"/>
      <c r="AK26" s="305"/>
    </row>
    <row r="27" spans="1:37" ht="16.5" x14ac:dyDescent="0.3">
      <c r="A27" s="79">
        <v>25</v>
      </c>
      <c r="B27" s="373">
        <f t="shared" ca="1" si="2"/>
        <v>17998</v>
      </c>
      <c r="C27" s="374">
        <f t="shared" ca="1" si="8"/>
        <v>6418</v>
      </c>
      <c r="D27" s="375">
        <f t="shared" ca="1" si="9"/>
        <v>7666</v>
      </c>
      <c r="E27" s="405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305">
        <f t="shared" ca="1" si="7"/>
        <v>0.10614246426021612</v>
      </c>
      <c r="AC27" s="361">
        <v>21</v>
      </c>
      <c r="AD27" s="361">
        <v>25</v>
      </c>
      <c r="AE27" s="361">
        <f t="shared" ca="1" si="13"/>
        <v>490</v>
      </c>
      <c r="AF27" s="383">
        <f t="shared" ca="1" si="14"/>
        <v>15.645866060233118</v>
      </c>
      <c r="AG27" s="305">
        <f t="shared" ca="1" si="15"/>
        <v>7666</v>
      </c>
      <c r="AH27" s="305"/>
      <c r="AI27" s="306"/>
      <c r="AJ27" s="305"/>
      <c r="AK27" s="305"/>
    </row>
    <row r="28" spans="1:37" ht="16.5" x14ac:dyDescent="0.3">
      <c r="A28" s="79">
        <v>26</v>
      </c>
      <c r="B28" s="373">
        <f t="shared" ca="1" si="2"/>
        <v>19229</v>
      </c>
      <c r="C28" s="374">
        <f t="shared" ca="1" si="8"/>
        <v>7409</v>
      </c>
      <c r="D28" s="375">
        <f t="shared" ca="1" si="9"/>
        <v>5545</v>
      </c>
      <c r="E28" s="405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305">
        <f t="shared" ca="1" si="7"/>
        <v>0.10550514564708158</v>
      </c>
      <c r="AC28" s="361">
        <v>27</v>
      </c>
      <c r="AD28" s="361">
        <v>26</v>
      </c>
      <c r="AE28" s="361">
        <f t="shared" ca="1" si="13"/>
        <v>505</v>
      </c>
      <c r="AF28" s="383">
        <f t="shared" ca="1" si="14"/>
        <v>10.979876990998337</v>
      </c>
      <c r="AG28" s="305">
        <f t="shared" ca="1" si="15"/>
        <v>5545</v>
      </c>
      <c r="AH28" s="305"/>
      <c r="AI28" s="306"/>
      <c r="AJ28" s="305"/>
      <c r="AK28" s="305"/>
    </row>
    <row r="29" spans="1:37" ht="16.5" x14ac:dyDescent="0.3">
      <c r="A29" s="79">
        <v>27</v>
      </c>
      <c r="B29" s="373">
        <f t="shared" ca="1" si="2"/>
        <v>21932</v>
      </c>
      <c r="C29" s="374">
        <f t="shared" ca="1" si="8"/>
        <v>7282</v>
      </c>
      <c r="D29" s="375">
        <f t="shared" ca="1" si="9"/>
        <v>7267</v>
      </c>
      <c r="E29" s="405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305">
        <f t="shared" ca="1" si="7"/>
        <v>9.5533673436887234E-4</v>
      </c>
      <c r="AC29" s="361">
        <v>26</v>
      </c>
      <c r="AD29" s="361">
        <v>27</v>
      </c>
      <c r="AE29" s="361">
        <f t="shared" ca="1" si="13"/>
        <v>520</v>
      </c>
      <c r="AF29" s="383">
        <f t="shared" ca="1" si="14"/>
        <v>13.974306391417413</v>
      </c>
      <c r="AG29" s="305">
        <f t="shared" ca="1" si="15"/>
        <v>7267</v>
      </c>
      <c r="AH29" s="305"/>
      <c r="AI29" s="306"/>
      <c r="AJ29" s="305"/>
      <c r="AK29" s="305"/>
    </row>
    <row r="30" spans="1:37" ht="16.5" x14ac:dyDescent="0.3">
      <c r="A30" s="79">
        <v>28</v>
      </c>
      <c r="B30" s="373">
        <f t="shared" ca="1" si="2"/>
        <v>16974</v>
      </c>
      <c r="C30" s="374">
        <f t="shared" ca="1" si="8"/>
        <v>8526</v>
      </c>
      <c r="D30" s="375">
        <f t="shared" ca="1" si="9"/>
        <v>7409</v>
      </c>
      <c r="E30" s="405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305">
        <f t="shared" ca="1" si="7"/>
        <v>0.10779043103114694</v>
      </c>
      <c r="AC30" s="361">
        <v>33</v>
      </c>
      <c r="AD30" s="361">
        <v>28</v>
      </c>
      <c r="AE30" s="361">
        <f t="shared" ca="1" si="13"/>
        <v>535</v>
      </c>
      <c r="AF30" s="383">
        <f t="shared" ca="1" si="14"/>
        <v>13.848758751959323</v>
      </c>
      <c r="AG30" s="305">
        <f t="shared" ca="1" si="15"/>
        <v>7409</v>
      </c>
      <c r="AH30" s="305"/>
      <c r="AI30" s="306"/>
      <c r="AJ30" s="305"/>
      <c r="AK30" s="305"/>
    </row>
    <row r="31" spans="1:37" ht="16.5" x14ac:dyDescent="0.3">
      <c r="A31" s="79">
        <v>29</v>
      </c>
      <c r="B31" s="373">
        <f t="shared" ca="1" si="2"/>
        <v>15678</v>
      </c>
      <c r="C31" s="374">
        <f t="shared" ca="1" si="8"/>
        <v>9114</v>
      </c>
      <c r="D31" s="375">
        <f t="shared" ca="1" si="9"/>
        <v>8526</v>
      </c>
      <c r="E31" s="405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305">
        <f t="shared" ca="1" si="7"/>
        <v>0.10010819775926616</v>
      </c>
      <c r="AC31" s="361">
        <v>34</v>
      </c>
      <c r="AD31" s="361">
        <v>29</v>
      </c>
      <c r="AE31" s="361">
        <f t="shared" ca="1" si="13"/>
        <v>550</v>
      </c>
      <c r="AF31" s="383">
        <f t="shared" ca="1" si="14"/>
        <v>15.501825384076499</v>
      </c>
      <c r="AG31" s="305">
        <f t="shared" ca="1" si="15"/>
        <v>8526</v>
      </c>
      <c r="AH31" s="305"/>
      <c r="AI31" s="306"/>
      <c r="AJ31" s="305"/>
      <c r="AK31" s="305"/>
    </row>
    <row r="32" spans="1:37" ht="16.5" x14ac:dyDescent="0.3">
      <c r="A32" s="79">
        <v>30</v>
      </c>
      <c r="B32" s="373">
        <f t="shared" ca="1" si="2"/>
        <v>12263</v>
      </c>
      <c r="C32" s="374">
        <f t="shared" ca="1" si="8"/>
        <v>7448</v>
      </c>
      <c r="D32" s="375">
        <f t="shared" ca="1" si="9"/>
        <v>9114</v>
      </c>
      <c r="E32" s="405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305">
        <f t="shared" ca="1" si="7"/>
        <v>0.17934350658150688</v>
      </c>
      <c r="AC32" s="361">
        <v>28</v>
      </c>
      <c r="AD32" s="361">
        <v>30</v>
      </c>
      <c r="AE32" s="361">
        <f t="shared" ca="1" si="13"/>
        <v>565</v>
      </c>
      <c r="AF32" s="383">
        <f t="shared" ca="1" si="14"/>
        <v>16.131668129805679</v>
      </c>
      <c r="AG32" s="305">
        <f t="shared" ca="1" si="15"/>
        <v>9114</v>
      </c>
      <c r="AH32" s="305"/>
      <c r="AI32" s="306"/>
      <c r="AJ32" s="305"/>
      <c r="AK32" s="305"/>
    </row>
    <row r="33" spans="1:37" ht="16.5" x14ac:dyDescent="0.3">
      <c r="A33" s="79">
        <v>31</v>
      </c>
      <c r="B33" s="373">
        <f t="shared" ca="1" si="2"/>
        <v>13797</v>
      </c>
      <c r="C33" s="374">
        <f t="shared" ca="1" si="8"/>
        <v>7776</v>
      </c>
      <c r="D33" s="375">
        <f t="shared" ca="1" si="9"/>
        <v>7448</v>
      </c>
      <c r="E33" s="405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305">
        <f t="shared" ca="1" si="7"/>
        <v>0.17803000279626224</v>
      </c>
      <c r="AC33" s="361">
        <v>30</v>
      </c>
      <c r="AD33" s="361">
        <v>31</v>
      </c>
      <c r="AE33" s="361">
        <f t="shared" ca="1" si="13"/>
        <v>580</v>
      </c>
      <c r="AF33" s="383">
        <f t="shared" ca="1" si="14"/>
        <v>12.840782054546336</v>
      </c>
      <c r="AG33" s="305">
        <f t="shared" ca="1" si="15"/>
        <v>7448</v>
      </c>
      <c r="AH33" s="305"/>
      <c r="AI33" s="306"/>
      <c r="AJ33" s="305"/>
      <c r="AK33" s="305"/>
    </row>
    <row r="34" spans="1:37" ht="16.5" x14ac:dyDescent="0.3">
      <c r="A34" s="79">
        <v>32</v>
      </c>
      <c r="B34" s="373">
        <f t="shared" ca="1" si="2"/>
        <v>4308</v>
      </c>
      <c r="C34" s="374">
        <f t="shared" ca="1" si="8"/>
        <v>7666</v>
      </c>
      <c r="D34" s="375">
        <f t="shared" ca="1" si="9"/>
        <v>7776</v>
      </c>
      <c r="E34" s="405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305">
        <f t="shared" ca="1" si="7"/>
        <v>0.86286351709388065</v>
      </c>
      <c r="AC34" s="361">
        <v>29</v>
      </c>
      <c r="AD34" s="361">
        <v>32</v>
      </c>
      <c r="AE34" s="361">
        <f t="shared" ca="1" si="13"/>
        <v>595</v>
      </c>
      <c r="AF34" s="383">
        <f t="shared" ca="1" si="14"/>
        <v>13.069493470734569</v>
      </c>
      <c r="AG34" s="305">
        <f t="shared" ca="1" si="15"/>
        <v>7776</v>
      </c>
      <c r="AH34" s="305"/>
      <c r="AI34" s="306"/>
      <c r="AJ34" s="305"/>
      <c r="AK34" s="305"/>
    </row>
    <row r="35" spans="1:37" ht="16.5" x14ac:dyDescent="0.3">
      <c r="A35" s="79">
        <v>33</v>
      </c>
      <c r="B35" s="373">
        <f t="shared" ref="B35:B67" ca="1" si="16">INDEX($AG$3:$AG$77,RANK(AB35,$AB$3:$AB$77))</f>
        <v>13936</v>
      </c>
      <c r="C35" s="374">
        <f t="shared" ca="1" si="8"/>
        <v>8172</v>
      </c>
      <c r="D35" s="375">
        <f t="shared" ca="1" si="9"/>
        <v>9894</v>
      </c>
      <c r="E35" s="405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305">
        <f t="shared" ca="1" si="7"/>
        <v>0.25677434194328475</v>
      </c>
      <c r="AC35" s="361">
        <v>31</v>
      </c>
      <c r="AD35" s="361">
        <v>33</v>
      </c>
      <c r="AE35" s="361">
        <f t="shared" ca="1" si="13"/>
        <v>610</v>
      </c>
      <c r="AF35" s="383">
        <f t="shared" ca="1" si="14"/>
        <v>16.220488132317989</v>
      </c>
      <c r="AG35" s="305">
        <f t="shared" ca="1" si="15"/>
        <v>9894</v>
      </c>
      <c r="AH35" s="305"/>
      <c r="AI35" s="306"/>
      <c r="AJ35" s="305"/>
      <c r="AK35" s="305"/>
    </row>
    <row r="36" spans="1:37" ht="16.5" x14ac:dyDescent="0.3">
      <c r="A36" s="79">
        <v>34</v>
      </c>
      <c r="B36" s="373">
        <f t="shared" ca="1" si="16"/>
        <v>3222</v>
      </c>
      <c r="C36" s="374">
        <f t="shared" ca="1" si="8"/>
        <v>8499</v>
      </c>
      <c r="D36" s="375">
        <f t="shared" ca="1" si="9"/>
        <v>10452</v>
      </c>
      <c r="E36" s="405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305">
        <f t="shared" ca="1" si="7"/>
        <v>0.90245130101413251</v>
      </c>
      <c r="AC36" s="361">
        <v>32</v>
      </c>
      <c r="AD36" s="361">
        <v>34</v>
      </c>
      <c r="AE36" s="361">
        <f t="shared" ca="1" si="13"/>
        <v>625</v>
      </c>
      <c r="AF36" s="383">
        <f t="shared" ca="1" si="14"/>
        <v>16.723459866840752</v>
      </c>
      <c r="AG36" s="305">
        <f t="shared" ca="1" si="15"/>
        <v>10452</v>
      </c>
      <c r="AH36" s="305"/>
      <c r="AI36" s="306"/>
      <c r="AJ36" s="305"/>
      <c r="AK36" s="305"/>
    </row>
    <row r="37" spans="1:37" ht="16.5" x14ac:dyDescent="0.3">
      <c r="A37" s="79">
        <v>35</v>
      </c>
      <c r="B37" s="373">
        <f t="shared" ca="1" si="16"/>
        <v>10988</v>
      </c>
      <c r="C37" s="374">
        <f t="shared" ca="1" si="8"/>
        <v>9681</v>
      </c>
      <c r="D37" s="375">
        <f t="shared" ca="1" si="9"/>
        <v>11086</v>
      </c>
      <c r="E37" s="405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305">
        <f t="shared" ca="1" si="7"/>
        <v>0.15250346178474683</v>
      </c>
      <c r="AC37" s="361">
        <v>35</v>
      </c>
      <c r="AD37" s="361">
        <v>35</v>
      </c>
      <c r="AE37" s="361">
        <f t="shared" ca="1" si="13"/>
        <v>640</v>
      </c>
      <c r="AF37" s="383">
        <f t="shared" ca="1" si="14"/>
        <v>17.321188562839829</v>
      </c>
      <c r="AG37" s="305">
        <f t="shared" ca="1" si="15"/>
        <v>11086</v>
      </c>
      <c r="AH37" s="305"/>
      <c r="AI37" s="306"/>
      <c r="AJ37" s="305"/>
      <c r="AK37" s="305"/>
    </row>
    <row r="38" spans="1:37" ht="16.5" x14ac:dyDescent="0.3">
      <c r="A38" s="79">
        <v>36</v>
      </c>
      <c r="B38" s="373">
        <f t="shared" ca="1" si="16"/>
        <v>9894</v>
      </c>
      <c r="C38" s="374">
        <f t="shared" ca="1" si="8"/>
        <v>10025</v>
      </c>
      <c r="D38" s="375">
        <f t="shared" ca="1" si="9"/>
        <v>7221</v>
      </c>
      <c r="E38" s="405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  <c r="AA38" s="406"/>
      <c r="AB38" s="305">
        <f t="shared" ca="1" si="7"/>
        <v>0.44636597021198343</v>
      </c>
      <c r="AC38" s="361">
        <v>39</v>
      </c>
      <c r="AD38" s="361">
        <v>36</v>
      </c>
      <c r="AE38" s="361">
        <f t="shared" ca="1" si="13"/>
        <v>655</v>
      </c>
      <c r="AF38" s="383">
        <f t="shared" ca="1" si="14"/>
        <v>11.025122626124466</v>
      </c>
      <c r="AG38" s="305">
        <f t="shared" ca="1" si="15"/>
        <v>7221</v>
      </c>
      <c r="AH38" s="305"/>
      <c r="AI38" s="306"/>
      <c r="AJ38" s="305"/>
      <c r="AK38" s="305"/>
    </row>
    <row r="39" spans="1:37" ht="16.5" x14ac:dyDescent="0.3">
      <c r="A39" s="79">
        <v>37</v>
      </c>
      <c r="B39" s="373">
        <f t="shared" ca="1" si="16"/>
        <v>1841</v>
      </c>
      <c r="C39" s="374">
        <f t="shared" ca="1" si="8"/>
        <v>9869</v>
      </c>
      <c r="D39" s="375">
        <f t="shared" ca="1" si="9"/>
        <v>10089</v>
      </c>
      <c r="E39" s="405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  <c r="AA39" s="406"/>
      <c r="AB39" s="305">
        <f t="shared" ca="1" si="7"/>
        <v>0.99871381476376053</v>
      </c>
      <c r="AC39" s="361">
        <v>36</v>
      </c>
      <c r="AD39" s="361">
        <v>37</v>
      </c>
      <c r="AE39" s="361">
        <f t="shared" ca="1" si="13"/>
        <v>670</v>
      </c>
      <c r="AF39" s="383">
        <f t="shared" ca="1" si="14"/>
        <v>15.058444498736936</v>
      </c>
      <c r="AG39" s="305">
        <f t="shared" ca="1" si="15"/>
        <v>10089</v>
      </c>
      <c r="AH39" s="305"/>
      <c r="AI39" s="306"/>
      <c r="AJ39" s="305"/>
      <c r="AK39" s="305"/>
    </row>
    <row r="40" spans="1:37" ht="16.5" x14ac:dyDescent="0.3">
      <c r="A40" s="79">
        <v>38</v>
      </c>
      <c r="B40" s="373">
        <f t="shared" ca="1" si="16"/>
        <v>14686</v>
      </c>
      <c r="C40" s="374">
        <f t="shared" ca="1" si="8"/>
        <v>9894</v>
      </c>
      <c r="D40" s="375">
        <f t="shared" ca="1" si="9"/>
        <v>10025</v>
      </c>
      <c r="E40" s="405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6"/>
      <c r="Z40" s="406"/>
      <c r="AA40" s="406"/>
      <c r="AB40" s="305">
        <f t="shared" ca="1" si="7"/>
        <v>0.14462314387365294</v>
      </c>
      <c r="AC40" s="361">
        <v>37</v>
      </c>
      <c r="AD40" s="361">
        <v>38</v>
      </c>
      <c r="AE40" s="361">
        <f t="shared" ca="1" si="13"/>
        <v>685</v>
      </c>
      <c r="AF40" s="383">
        <f t="shared" ca="1" si="14"/>
        <v>14.635695033790254</v>
      </c>
      <c r="AG40" s="305">
        <f t="shared" ca="1" si="15"/>
        <v>10025</v>
      </c>
      <c r="AH40" s="305"/>
      <c r="AI40" s="306"/>
      <c r="AJ40" s="305"/>
      <c r="AK40" s="305"/>
    </row>
    <row r="41" spans="1:37" ht="16.5" x14ac:dyDescent="0.3">
      <c r="A41" s="79">
        <v>39</v>
      </c>
      <c r="B41" s="373">
        <f t="shared" ca="1" si="16"/>
        <v>14265</v>
      </c>
      <c r="C41" s="374">
        <f t="shared" ca="1" si="8"/>
        <v>9953</v>
      </c>
      <c r="D41" s="375">
        <f t="shared" ca="1" si="9"/>
        <v>11505</v>
      </c>
      <c r="E41" s="405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6"/>
      <c r="X41" s="406"/>
      <c r="Y41" s="406"/>
      <c r="Z41" s="406"/>
      <c r="AA41" s="406"/>
      <c r="AB41" s="305">
        <f t="shared" ca="1" si="7"/>
        <v>0.14835466491492066</v>
      </c>
      <c r="AC41" s="361">
        <v>38</v>
      </c>
      <c r="AD41" s="361">
        <v>39</v>
      </c>
      <c r="AE41" s="361">
        <f t="shared" ca="1" si="13"/>
        <v>700</v>
      </c>
      <c r="AF41" s="383">
        <f t="shared" ca="1" si="14"/>
        <v>16.436313192843734</v>
      </c>
      <c r="AG41" s="305">
        <f t="shared" ca="1" si="15"/>
        <v>11505</v>
      </c>
      <c r="AH41" s="305"/>
      <c r="AI41" s="306"/>
      <c r="AJ41" s="305"/>
      <c r="AK41" s="305"/>
    </row>
    <row r="42" spans="1:37" ht="16.5" x14ac:dyDescent="0.3">
      <c r="A42" s="79">
        <v>40</v>
      </c>
      <c r="B42" s="373">
        <f t="shared" ca="1" si="16"/>
        <v>8499</v>
      </c>
      <c r="C42" s="374">
        <f t="shared" ca="1" si="8"/>
        <v>10452</v>
      </c>
      <c r="D42" s="375">
        <f t="shared" ca="1" si="9"/>
        <v>11048</v>
      </c>
      <c r="E42" s="405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305">
        <f t="shared" ca="1" si="7"/>
        <v>0.35082407678535965</v>
      </c>
      <c r="AC42" s="361">
        <v>41</v>
      </c>
      <c r="AD42" s="361">
        <v>40</v>
      </c>
      <c r="AE42" s="361">
        <f t="shared" ca="1" si="13"/>
        <v>715</v>
      </c>
      <c r="AF42" s="383">
        <f t="shared" ca="1" si="14"/>
        <v>15.451634255507303</v>
      </c>
      <c r="AG42" s="305">
        <f t="shared" ca="1" si="15"/>
        <v>11048</v>
      </c>
      <c r="AH42" s="305"/>
      <c r="AI42" s="306"/>
      <c r="AJ42" s="305"/>
      <c r="AK42" s="305"/>
    </row>
    <row r="43" spans="1:37" ht="16.5" x14ac:dyDescent="0.3">
      <c r="A43" s="79">
        <v>41</v>
      </c>
      <c r="B43" s="373">
        <f t="shared" ca="1" si="16"/>
        <v>3473</v>
      </c>
      <c r="C43" s="374">
        <f t="shared" ca="1" si="8"/>
        <v>10089</v>
      </c>
      <c r="D43" s="375">
        <f t="shared" ca="1" si="9"/>
        <v>8499</v>
      </c>
      <c r="E43" s="405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305">
        <f t="shared" ca="1" si="7"/>
        <v>0.94917428100340406</v>
      </c>
      <c r="AC43" s="361">
        <v>40</v>
      </c>
      <c r="AD43" s="361">
        <v>41</v>
      </c>
      <c r="AE43" s="361">
        <f t="shared" ca="1" si="13"/>
        <v>730</v>
      </c>
      <c r="AF43" s="383">
        <f t="shared" ca="1" si="14"/>
        <v>11.642123574801293</v>
      </c>
      <c r="AG43" s="305">
        <f t="shared" ca="1" si="15"/>
        <v>8499</v>
      </c>
      <c r="AH43" s="305"/>
      <c r="AI43" s="306"/>
      <c r="AJ43" s="305"/>
      <c r="AK43" s="305"/>
    </row>
    <row r="44" spans="1:37" ht="16.5" x14ac:dyDescent="0.3">
      <c r="A44" s="79">
        <v>42</v>
      </c>
      <c r="B44" s="373">
        <f t="shared" ca="1" si="16"/>
        <v>14252</v>
      </c>
      <c r="C44" s="374">
        <f t="shared" ca="1" si="8"/>
        <v>11505</v>
      </c>
      <c r="D44" s="375">
        <f t="shared" ca="1" si="9"/>
        <v>9869</v>
      </c>
      <c r="E44" s="405"/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305">
        <f t="shared" ca="1" si="7"/>
        <v>0.17742527762703653</v>
      </c>
      <c r="AC44" s="361">
        <v>46</v>
      </c>
      <c r="AD44" s="361">
        <v>42</v>
      </c>
      <c r="AE44" s="361">
        <f t="shared" ca="1" si="13"/>
        <v>745</v>
      </c>
      <c r="AF44" s="383">
        <f t="shared" ca="1" si="14"/>
        <v>13.247340874650357</v>
      </c>
      <c r="AG44" s="305">
        <f t="shared" ca="1" si="15"/>
        <v>9869</v>
      </c>
      <c r="AH44" s="305"/>
      <c r="AI44" s="306"/>
      <c r="AJ44" s="305"/>
      <c r="AK44" s="305"/>
    </row>
    <row r="45" spans="1:37" ht="16.5" x14ac:dyDescent="0.3">
      <c r="A45" s="79">
        <v>43</v>
      </c>
      <c r="B45" s="373">
        <f t="shared" ca="1" si="16"/>
        <v>11505</v>
      </c>
      <c r="C45" s="374">
        <f t="shared" ca="1" si="8"/>
        <v>11048</v>
      </c>
      <c r="D45" s="375">
        <f t="shared" ca="1" si="9"/>
        <v>9953</v>
      </c>
      <c r="E45" s="405"/>
      <c r="F45" s="406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  <c r="AA45" s="406"/>
      <c r="AB45" s="305">
        <f t="shared" ca="1" si="7"/>
        <v>0.36817807212143372</v>
      </c>
      <c r="AC45" s="361">
        <v>44</v>
      </c>
      <c r="AD45" s="361">
        <v>43</v>
      </c>
      <c r="AE45" s="361">
        <f t="shared" ca="1" si="13"/>
        <v>760</v>
      </c>
      <c r="AF45" s="383">
        <f t="shared" ca="1" si="14"/>
        <v>13.095842278171366</v>
      </c>
      <c r="AG45" s="305">
        <f t="shared" ca="1" si="15"/>
        <v>9953</v>
      </c>
      <c r="AH45" s="305"/>
      <c r="AI45" s="306"/>
      <c r="AJ45" s="305"/>
      <c r="AK45" s="305"/>
    </row>
    <row r="46" spans="1:37" ht="16.5" x14ac:dyDescent="0.3">
      <c r="A46" s="79">
        <v>44</v>
      </c>
      <c r="B46" s="373">
        <f t="shared" ca="1" si="16"/>
        <v>2931</v>
      </c>
      <c r="C46" s="374">
        <f t="shared" ca="1" si="8"/>
        <v>11086</v>
      </c>
      <c r="D46" s="375">
        <f t="shared" ca="1" si="9"/>
        <v>10588</v>
      </c>
      <c r="E46" s="405"/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406"/>
      <c r="Z46" s="406"/>
      <c r="AA46" s="406"/>
      <c r="AB46" s="305">
        <f t="shared" ca="1" si="7"/>
        <v>0.93281748098177575</v>
      </c>
      <c r="AC46" s="358">
        <v>45</v>
      </c>
      <c r="AD46" s="361">
        <v>44</v>
      </c>
      <c r="AE46" s="361">
        <f t="shared" ca="1" si="13"/>
        <v>775</v>
      </c>
      <c r="AF46" s="383">
        <f t="shared" ca="1" si="14"/>
        <v>13.661810198260966</v>
      </c>
      <c r="AG46" s="305">
        <f t="shared" ca="1" si="15"/>
        <v>10588</v>
      </c>
      <c r="AH46" s="305"/>
      <c r="AI46" s="306"/>
      <c r="AJ46" s="305"/>
      <c r="AK46" s="305"/>
    </row>
    <row r="47" spans="1:37" ht="16.5" x14ac:dyDescent="0.3">
      <c r="A47" s="79">
        <v>45</v>
      </c>
      <c r="B47" s="373">
        <f t="shared" ca="1" si="16"/>
        <v>5351</v>
      </c>
      <c r="C47" s="374">
        <f t="shared" ca="1" si="8"/>
        <v>11592</v>
      </c>
      <c r="D47" s="375">
        <f t="shared" ca="1" si="9"/>
        <v>15394</v>
      </c>
      <c r="E47" s="405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  <c r="AA47" s="406"/>
      <c r="AB47" s="305">
        <f t="shared" ca="1" si="7"/>
        <v>0.82513137512675705</v>
      </c>
      <c r="AC47" s="361">
        <v>47</v>
      </c>
      <c r="AD47" s="361">
        <v>45</v>
      </c>
      <c r="AE47" s="361">
        <f t="shared" ca="1" si="13"/>
        <v>790</v>
      </c>
      <c r="AF47" s="383">
        <f t="shared" ca="1" si="14"/>
        <v>19.485689958611275</v>
      </c>
      <c r="AG47" s="305">
        <f t="shared" ca="1" si="15"/>
        <v>15394</v>
      </c>
      <c r="AH47" s="305"/>
      <c r="AI47" s="306"/>
      <c r="AJ47" s="305"/>
      <c r="AK47" s="305"/>
    </row>
    <row r="48" spans="1:37" ht="16.5" x14ac:dyDescent="0.3">
      <c r="A48" s="79">
        <v>46</v>
      </c>
      <c r="B48" s="373">
        <f t="shared" ca="1" si="16"/>
        <v>7282</v>
      </c>
      <c r="C48" s="374">
        <f t="shared" ca="1" si="8"/>
        <v>11992</v>
      </c>
      <c r="D48" s="375">
        <f t="shared" ca="1" si="9"/>
        <v>9681</v>
      </c>
      <c r="E48" s="405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  <c r="AA48" s="406"/>
      <c r="AB48" s="305">
        <f t="shared" ca="1" si="7"/>
        <v>0.71894710190341227</v>
      </c>
      <c r="AC48" s="361">
        <v>48</v>
      </c>
      <c r="AD48" s="361">
        <v>46</v>
      </c>
      <c r="AE48" s="361">
        <f t="shared" ca="1" si="13"/>
        <v>805</v>
      </c>
      <c r="AF48" s="383">
        <f t="shared" ca="1" si="14"/>
        <v>12.026388412074052</v>
      </c>
      <c r="AG48" s="305">
        <f t="shared" ca="1" si="15"/>
        <v>9681</v>
      </c>
      <c r="AH48" s="305"/>
      <c r="AI48" s="306"/>
      <c r="AJ48" s="305"/>
      <c r="AK48" s="305"/>
    </row>
    <row r="49" spans="1:37" ht="16.5" x14ac:dyDescent="0.3">
      <c r="A49" s="79">
        <v>47</v>
      </c>
      <c r="B49" s="373">
        <f t="shared" ca="1" si="16"/>
        <v>7221</v>
      </c>
      <c r="C49" s="374">
        <f t="shared" ca="1" si="8"/>
        <v>10588</v>
      </c>
      <c r="D49" s="375">
        <f t="shared" ca="1" si="9"/>
        <v>13936</v>
      </c>
      <c r="E49" s="405"/>
      <c r="F49" s="406"/>
      <c r="G49" s="406"/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406"/>
      <c r="Z49" s="406"/>
      <c r="AA49" s="406"/>
      <c r="AB49" s="305">
        <f t="shared" ca="1" si="7"/>
        <v>0.39922986569865893</v>
      </c>
      <c r="AC49" s="361">
        <v>42</v>
      </c>
      <c r="AD49" s="361">
        <v>47</v>
      </c>
      <c r="AE49" s="361">
        <f t="shared" ca="1" si="13"/>
        <v>820</v>
      </c>
      <c r="AF49" s="383">
        <f t="shared" ca="1" si="14"/>
        <v>16.995167650056306</v>
      </c>
      <c r="AG49" s="305">
        <f t="shared" ca="1" si="15"/>
        <v>13936</v>
      </c>
      <c r="AH49" s="305"/>
      <c r="AI49" s="306"/>
      <c r="AJ49" s="305"/>
      <c r="AK49" s="305"/>
    </row>
    <row r="50" spans="1:37" ht="16.5" x14ac:dyDescent="0.3">
      <c r="A50" s="79">
        <v>48</v>
      </c>
      <c r="B50" s="373">
        <f t="shared" ca="1" si="16"/>
        <v>5307</v>
      </c>
      <c r="C50" s="374">
        <f t="shared" ca="1" si="8"/>
        <v>10988</v>
      </c>
      <c r="D50" s="375">
        <f t="shared" ca="1" si="9"/>
        <v>12243</v>
      </c>
      <c r="E50" s="405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305">
        <f t="shared" ca="1" si="7"/>
        <v>0.80487997590090998</v>
      </c>
      <c r="AC50" s="361">
        <v>43</v>
      </c>
      <c r="AD50" s="361">
        <v>48</v>
      </c>
      <c r="AE50" s="361">
        <f t="shared" ca="1" si="13"/>
        <v>835</v>
      </c>
      <c r="AF50" s="383">
        <f t="shared" ca="1" si="14"/>
        <v>14.661828103053908</v>
      </c>
      <c r="AG50" s="305">
        <f t="shared" ca="1" si="15"/>
        <v>12243</v>
      </c>
      <c r="AH50" s="305"/>
      <c r="AI50" s="306"/>
      <c r="AJ50" s="305"/>
      <c r="AK50" s="305"/>
    </row>
    <row r="51" spans="1:37" ht="16.5" x14ac:dyDescent="0.3">
      <c r="A51" s="79">
        <v>49</v>
      </c>
      <c r="B51" s="373">
        <f t="shared" ca="1" si="16"/>
        <v>15860</v>
      </c>
      <c r="C51" s="374">
        <f t="shared" ca="1" si="8"/>
        <v>12263</v>
      </c>
      <c r="D51" s="375">
        <f t="shared" ca="1" si="9"/>
        <v>11992</v>
      </c>
      <c r="E51" s="405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  <c r="AA51" s="406"/>
      <c r="AB51" s="305">
        <f t="shared" ca="1" si="7"/>
        <v>0.13068068014260625</v>
      </c>
      <c r="AC51" s="361">
        <v>50</v>
      </c>
      <c r="AD51" s="361">
        <v>49</v>
      </c>
      <c r="AE51" s="361">
        <f t="shared" ca="1" si="13"/>
        <v>850</v>
      </c>
      <c r="AF51" s="383">
        <f t="shared" ca="1" si="14"/>
        <v>14.108252204352793</v>
      </c>
      <c r="AG51" s="305">
        <f t="shared" ca="1" si="15"/>
        <v>11992</v>
      </c>
      <c r="AH51" s="305"/>
      <c r="AI51" s="306"/>
      <c r="AJ51" s="305"/>
      <c r="AK51" s="305"/>
    </row>
    <row r="52" spans="1:37" ht="16.5" x14ac:dyDescent="0.3">
      <c r="A52" s="79">
        <v>50</v>
      </c>
      <c r="B52" s="373">
        <f t="shared" ca="1" si="16"/>
        <v>3236</v>
      </c>
      <c r="C52" s="374">
        <f t="shared" ca="1" si="8"/>
        <v>12243</v>
      </c>
      <c r="D52" s="375">
        <f t="shared" ca="1" si="9"/>
        <v>14966</v>
      </c>
      <c r="E52" s="405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6"/>
      <c r="AA52" s="406"/>
      <c r="AB52" s="305">
        <f t="shared" ca="1" si="7"/>
        <v>0.85843575392055316</v>
      </c>
      <c r="AC52" s="361">
        <v>49</v>
      </c>
      <c r="AD52" s="361">
        <v>50</v>
      </c>
      <c r="AE52" s="361">
        <f t="shared" ca="1" si="13"/>
        <v>865</v>
      </c>
      <c r="AF52" s="383">
        <f t="shared" ca="1" si="14"/>
        <v>17.301261256799641</v>
      </c>
      <c r="AG52" s="305">
        <f t="shared" ca="1" si="15"/>
        <v>14966</v>
      </c>
      <c r="AH52" s="305"/>
      <c r="AI52" s="306"/>
      <c r="AJ52" s="305"/>
      <c r="AK52" s="305"/>
    </row>
    <row r="53" spans="1:37" ht="16.5" x14ac:dyDescent="0.3">
      <c r="A53" s="79">
        <v>51</v>
      </c>
      <c r="B53" s="373">
        <f t="shared" ca="1" si="16"/>
        <v>7448</v>
      </c>
      <c r="C53" s="374">
        <f t="shared" ca="1" si="8"/>
        <v>13114</v>
      </c>
      <c r="D53" s="375">
        <f t="shared" ca="1" si="9"/>
        <v>11592</v>
      </c>
      <c r="E53" s="405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406"/>
      <c r="Z53" s="406"/>
      <c r="AA53" s="406"/>
      <c r="AB53" s="305">
        <f t="shared" ca="1" si="7"/>
        <v>0.46210789547083786</v>
      </c>
      <c r="AC53" s="361">
        <v>51</v>
      </c>
      <c r="AD53" s="361">
        <v>51</v>
      </c>
      <c r="AE53" s="361">
        <f t="shared" ca="1" si="13"/>
        <v>880</v>
      </c>
      <c r="AF53" s="383">
        <f t="shared" ca="1" si="14"/>
        <v>13.172787828520113</v>
      </c>
      <c r="AG53" s="305">
        <f t="shared" ca="1" si="15"/>
        <v>11592</v>
      </c>
      <c r="AH53" s="305"/>
      <c r="AI53" s="306"/>
      <c r="AJ53" s="305"/>
      <c r="AK53" s="305"/>
    </row>
    <row r="54" spans="1:37" ht="16.5" x14ac:dyDescent="0.3">
      <c r="A54" s="79">
        <v>52</v>
      </c>
      <c r="B54" s="373">
        <f t="shared" ca="1" si="16"/>
        <v>5545</v>
      </c>
      <c r="C54" s="374">
        <f t="shared" ca="1" si="8"/>
        <v>14252</v>
      </c>
      <c r="D54" s="375">
        <f t="shared" ca="1" si="9"/>
        <v>12263</v>
      </c>
      <c r="E54" s="405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  <c r="AA54" s="406"/>
      <c r="AB54" s="305">
        <f t="shared" ca="1" si="7"/>
        <v>0.66713411151833424</v>
      </c>
      <c r="AC54" s="361">
        <v>54</v>
      </c>
      <c r="AD54" s="361">
        <v>52</v>
      </c>
      <c r="AE54" s="361">
        <f t="shared" ca="1" si="13"/>
        <v>895</v>
      </c>
      <c r="AF54" s="383">
        <f t="shared" ca="1" si="14"/>
        <v>13.70145902691849</v>
      </c>
      <c r="AG54" s="305">
        <f t="shared" ca="1" si="15"/>
        <v>12263</v>
      </c>
      <c r="AH54" s="305"/>
      <c r="AI54" s="306"/>
      <c r="AJ54" s="305"/>
      <c r="AK54" s="305"/>
    </row>
    <row r="55" spans="1:37" ht="16.5" x14ac:dyDescent="0.3">
      <c r="A55" s="79">
        <v>53</v>
      </c>
      <c r="B55" s="373">
        <f t="shared" ca="1" si="16"/>
        <v>22720</v>
      </c>
      <c r="C55" s="374">
        <f t="shared" ca="1" si="8"/>
        <v>13936</v>
      </c>
      <c r="D55" s="375">
        <f t="shared" ca="1" si="9"/>
        <v>13797</v>
      </c>
      <c r="E55" s="405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406"/>
      <c r="Z55" s="406"/>
      <c r="AA55" s="406"/>
      <c r="AB55" s="305">
        <f t="shared" ca="1" si="7"/>
        <v>3.3911721648063886E-2</v>
      </c>
      <c r="AC55" s="361">
        <v>53</v>
      </c>
      <c r="AD55" s="361">
        <v>53</v>
      </c>
      <c r="AE55" s="361">
        <f t="shared" ca="1" si="13"/>
        <v>910</v>
      </c>
      <c r="AF55" s="383">
        <f t="shared" ca="1" si="14"/>
        <v>15.161971505804161</v>
      </c>
      <c r="AG55" s="305">
        <f t="shared" ca="1" si="15"/>
        <v>13797</v>
      </c>
      <c r="AH55" s="305"/>
      <c r="AI55" s="305"/>
      <c r="AJ55" s="305"/>
      <c r="AK55" s="305"/>
    </row>
    <row r="56" spans="1:37" ht="16.5" x14ac:dyDescent="0.3">
      <c r="A56" s="79">
        <v>54</v>
      </c>
      <c r="B56" s="373">
        <f t="shared" ca="1" si="16"/>
        <v>14966</v>
      </c>
      <c r="C56" s="374">
        <f t="shared" ca="1" si="8"/>
        <v>13797</v>
      </c>
      <c r="D56" s="375">
        <f t="shared" ca="1" si="9"/>
        <v>14252</v>
      </c>
      <c r="E56" s="405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406"/>
      <c r="Z56" s="406"/>
      <c r="AA56" s="406"/>
      <c r="AB56" s="305">
        <f t="shared" ca="1" si="7"/>
        <v>0.22604395657309295</v>
      </c>
      <c r="AC56" s="361">
        <v>52</v>
      </c>
      <c r="AD56" s="361">
        <v>54</v>
      </c>
      <c r="AE56" s="361">
        <f t="shared" ca="1" si="13"/>
        <v>925</v>
      </c>
      <c r="AF56" s="383">
        <f t="shared" ca="1" si="14"/>
        <v>15.407443003039864</v>
      </c>
      <c r="AG56" s="305">
        <f t="shared" ca="1" si="15"/>
        <v>14252</v>
      </c>
      <c r="AH56" s="305"/>
      <c r="AI56" s="305"/>
      <c r="AJ56" s="305"/>
      <c r="AK56" s="305"/>
    </row>
    <row r="57" spans="1:37" ht="16.5" x14ac:dyDescent="0.3">
      <c r="A57" s="79">
        <v>55</v>
      </c>
      <c r="B57" s="373">
        <f t="shared" ca="1" si="16"/>
        <v>10588</v>
      </c>
      <c r="C57" s="374">
        <f t="shared" ca="1" si="8"/>
        <v>14265</v>
      </c>
      <c r="D57" s="375">
        <f t="shared" ca="1" si="9"/>
        <v>18061</v>
      </c>
      <c r="E57" s="405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406"/>
      <c r="Z57" s="406"/>
      <c r="AA57" s="406"/>
      <c r="AB57" s="305">
        <f t="shared" ca="1" si="7"/>
        <v>0.28784916519196746</v>
      </c>
      <c r="AC57" s="361">
        <v>55</v>
      </c>
      <c r="AD57" s="361">
        <v>55</v>
      </c>
      <c r="AE57" s="361">
        <f t="shared" ca="1" si="13"/>
        <v>940</v>
      </c>
      <c r="AF57" s="383">
        <f t="shared" ca="1" si="14"/>
        <v>19.213685147267533</v>
      </c>
      <c r="AG57" s="305">
        <f t="shared" ca="1" si="15"/>
        <v>18061</v>
      </c>
      <c r="AH57" s="305"/>
      <c r="AI57" s="305"/>
      <c r="AJ57" s="305"/>
      <c r="AK57" s="305"/>
    </row>
    <row r="58" spans="1:37" ht="16.5" x14ac:dyDescent="0.3">
      <c r="A58" s="79">
        <v>56</v>
      </c>
      <c r="B58" s="373">
        <f t="shared" ca="1" si="16"/>
        <v>11592</v>
      </c>
      <c r="C58" s="374">
        <f t="shared" ca="1" si="8"/>
        <v>14267</v>
      </c>
      <c r="D58" s="375">
        <f t="shared" ca="1" si="9"/>
        <v>10988</v>
      </c>
      <c r="E58" s="376"/>
      <c r="AB58" s="305">
        <f t="shared" ca="1" si="7"/>
        <v>0.20919785525646151</v>
      </c>
      <c r="AC58" s="361">
        <v>56</v>
      </c>
      <c r="AD58" s="361">
        <v>56</v>
      </c>
      <c r="AE58" s="361">
        <f t="shared" ca="1" si="13"/>
        <v>955</v>
      </c>
      <c r="AF58" s="383">
        <f t="shared" ca="1" si="14"/>
        <v>11.506166663395744</v>
      </c>
      <c r="AG58" s="305">
        <f t="shared" ca="1" si="15"/>
        <v>10988</v>
      </c>
      <c r="AH58" s="305"/>
      <c r="AI58" s="305"/>
      <c r="AJ58" s="305"/>
      <c r="AK58" s="305"/>
    </row>
    <row r="59" spans="1:37" ht="16.5" x14ac:dyDescent="0.3">
      <c r="A59" s="79">
        <v>57</v>
      </c>
      <c r="B59" s="373">
        <f t="shared" ca="1" si="16"/>
        <v>6829</v>
      </c>
      <c r="C59" s="374">
        <f t="shared" ca="1" si="8"/>
        <v>14686</v>
      </c>
      <c r="D59" s="375">
        <f t="shared" ca="1" si="9"/>
        <v>14265</v>
      </c>
      <c r="E59" s="376"/>
      <c r="AB59" s="305">
        <f t="shared" ca="1" si="7"/>
        <v>0.72832014971417081</v>
      </c>
      <c r="AC59" s="361">
        <v>58</v>
      </c>
      <c r="AD59" s="361">
        <v>57</v>
      </c>
      <c r="AE59" s="361">
        <f t="shared" ca="1" si="13"/>
        <v>970</v>
      </c>
      <c r="AF59" s="383">
        <f t="shared" ca="1" si="14"/>
        <v>14.706170028814887</v>
      </c>
      <c r="AG59" s="305">
        <f t="shared" ca="1" si="15"/>
        <v>14265</v>
      </c>
      <c r="AH59" s="305"/>
      <c r="AI59" s="305"/>
      <c r="AJ59" s="305"/>
      <c r="AK59" s="305"/>
    </row>
    <row r="60" spans="1:37" ht="16.5" x14ac:dyDescent="0.3">
      <c r="A60" s="79">
        <v>58</v>
      </c>
      <c r="B60" s="373">
        <f t="shared" ca="1" si="16"/>
        <v>7666</v>
      </c>
      <c r="C60" s="374">
        <f t="shared" ca="1" si="8"/>
        <v>15678</v>
      </c>
      <c r="D60" s="375">
        <f t="shared" ca="1" si="9"/>
        <v>14686</v>
      </c>
      <c r="E60" s="376"/>
      <c r="AB60" s="305">
        <f t="shared" ca="1" si="7"/>
        <v>0.67471257287291653</v>
      </c>
      <c r="AC60" s="361">
        <v>62</v>
      </c>
      <c r="AD60" s="361">
        <v>58</v>
      </c>
      <c r="AE60" s="361">
        <f t="shared" ca="1" si="13"/>
        <v>985</v>
      </c>
      <c r="AF60" s="383">
        <f t="shared" ca="1" si="14"/>
        <v>14.909145676399433</v>
      </c>
      <c r="AG60" s="305">
        <f t="shared" ca="1" si="15"/>
        <v>14686</v>
      </c>
      <c r="AH60" s="305"/>
      <c r="AI60" s="305"/>
      <c r="AJ60" s="305"/>
      <c r="AK60" s="305"/>
    </row>
    <row r="61" spans="1:37" ht="16.5" x14ac:dyDescent="0.3">
      <c r="A61" s="79">
        <v>59</v>
      </c>
      <c r="B61" s="373">
        <f t="shared" ca="1" si="16"/>
        <v>9869</v>
      </c>
      <c r="C61" s="374">
        <f t="shared" ca="1" si="8"/>
        <v>14590</v>
      </c>
      <c r="D61" s="375">
        <f t="shared" ca="1" si="9"/>
        <v>15860</v>
      </c>
      <c r="E61" s="376"/>
      <c r="AB61" s="305">
        <f t="shared" ca="1" si="7"/>
        <v>0.30880431930031771</v>
      </c>
      <c r="AC61" s="361">
        <v>57</v>
      </c>
      <c r="AD61" s="361">
        <v>59</v>
      </c>
      <c r="AE61" s="361">
        <f t="shared" ca="1" si="13"/>
        <v>1000</v>
      </c>
      <c r="AF61" s="383">
        <f t="shared" ca="1" si="14"/>
        <v>15.860192083422914</v>
      </c>
      <c r="AG61" s="305">
        <f t="shared" ca="1" si="15"/>
        <v>15860</v>
      </c>
      <c r="AH61" s="305"/>
      <c r="AI61" s="305"/>
      <c r="AJ61" s="305"/>
      <c r="AK61" s="305"/>
    </row>
    <row r="62" spans="1:37" ht="16.5" x14ac:dyDescent="0.3">
      <c r="A62" s="79">
        <v>60</v>
      </c>
      <c r="B62" s="373">
        <f t="shared" ca="1" si="16"/>
        <v>14590</v>
      </c>
      <c r="C62" s="374">
        <f t="shared" ca="1" si="8"/>
        <v>14966</v>
      </c>
      <c r="D62" s="375">
        <f t="shared" ca="1" si="9"/>
        <v>18141</v>
      </c>
      <c r="E62" s="376"/>
      <c r="AB62" s="305">
        <f t="shared" ca="1" si="7"/>
        <v>5.1898838673733683E-2</v>
      </c>
      <c r="AC62" s="361">
        <v>59</v>
      </c>
      <c r="AD62" s="361">
        <v>60</v>
      </c>
      <c r="AE62" s="361">
        <f t="shared" ca="1" si="13"/>
        <v>1015</v>
      </c>
      <c r="AF62" s="383">
        <f t="shared" ca="1" si="14"/>
        <v>17.8726020643645</v>
      </c>
      <c r="AG62" s="305">
        <f t="shared" ca="1" si="15"/>
        <v>18141</v>
      </c>
      <c r="AH62" s="305"/>
      <c r="AI62" s="305"/>
      <c r="AJ62" s="305"/>
      <c r="AK62" s="305"/>
    </row>
    <row r="63" spans="1:37" ht="16.5" x14ac:dyDescent="0.3">
      <c r="A63" s="79">
        <v>61</v>
      </c>
      <c r="B63" s="373">
        <f t="shared" ca="1" si="16"/>
        <v>19741</v>
      </c>
      <c r="C63" s="374">
        <f t="shared" ca="1" si="8"/>
        <v>15394</v>
      </c>
      <c r="D63" s="375">
        <f t="shared" ca="1" si="9"/>
        <v>13114</v>
      </c>
      <c r="E63" s="376"/>
      <c r="AB63" s="305">
        <f t="shared" ca="1" si="7"/>
        <v>5.7143347148589596E-2</v>
      </c>
      <c r="AC63" s="361">
        <v>60</v>
      </c>
      <c r="AD63" s="361">
        <v>61</v>
      </c>
      <c r="AE63" s="361">
        <f t="shared" ca="1" si="13"/>
        <v>1030</v>
      </c>
      <c r="AF63" s="383">
        <f t="shared" ca="1" si="14"/>
        <v>12.73243856053392</v>
      </c>
      <c r="AG63" s="305">
        <f t="shared" ca="1" si="15"/>
        <v>13114</v>
      </c>
      <c r="AH63" s="305"/>
      <c r="AI63" s="305"/>
      <c r="AJ63" s="305"/>
      <c r="AK63" s="305"/>
    </row>
    <row r="64" spans="1:37" ht="16.5" x14ac:dyDescent="0.3">
      <c r="A64" s="79">
        <v>62</v>
      </c>
      <c r="B64" s="373">
        <f t="shared" ca="1" si="16"/>
        <v>7776</v>
      </c>
      <c r="C64" s="374">
        <f t="shared" ca="1" si="8"/>
        <v>15586</v>
      </c>
      <c r="D64" s="375">
        <f t="shared" ca="1" si="9"/>
        <v>14267</v>
      </c>
      <c r="E64" s="376"/>
      <c r="AB64" s="305">
        <f t="shared" ca="1" si="7"/>
        <v>0.45681328366045237</v>
      </c>
      <c r="AC64" s="361">
        <v>61</v>
      </c>
      <c r="AD64" s="361">
        <v>62</v>
      </c>
      <c r="AE64" s="361">
        <f t="shared" ca="1" si="13"/>
        <v>1045</v>
      </c>
      <c r="AF64" s="383">
        <f t="shared" ca="1" si="14"/>
        <v>13.653041531611201</v>
      </c>
      <c r="AG64" s="305">
        <f t="shared" ca="1" si="15"/>
        <v>14267</v>
      </c>
      <c r="AH64" s="305"/>
      <c r="AI64" s="305"/>
      <c r="AJ64" s="305"/>
      <c r="AK64" s="305"/>
    </row>
    <row r="65" spans="1:38" ht="16.5" x14ac:dyDescent="0.3">
      <c r="A65" s="79">
        <v>63</v>
      </c>
      <c r="B65" s="373">
        <f t="shared" ca="1" si="16"/>
        <v>9114</v>
      </c>
      <c r="C65" s="374">
        <f t="shared" ca="1" si="8"/>
        <v>15860</v>
      </c>
      <c r="D65" s="375">
        <f t="shared" ca="1" si="9"/>
        <v>16974</v>
      </c>
      <c r="E65" s="376"/>
      <c r="AB65" s="305">
        <f t="shared" ca="1" si="7"/>
        <v>0.48264380365401283</v>
      </c>
      <c r="AC65" s="361">
        <v>64</v>
      </c>
      <c r="AD65" s="361">
        <v>63</v>
      </c>
      <c r="AE65" s="361">
        <f t="shared" ca="1" si="13"/>
        <v>1060</v>
      </c>
      <c r="AF65" s="383">
        <f t="shared" ca="1" si="14"/>
        <v>16.013527209482014</v>
      </c>
      <c r="AG65" s="305">
        <f t="shared" ca="1" si="15"/>
        <v>16974</v>
      </c>
      <c r="AH65" s="305"/>
      <c r="AI65" s="305"/>
      <c r="AJ65" s="305"/>
      <c r="AK65" s="305"/>
    </row>
    <row r="66" spans="1:38" ht="16.5" x14ac:dyDescent="0.3">
      <c r="A66" s="79">
        <v>64</v>
      </c>
      <c r="B66" s="373">
        <f t="shared" ca="1" si="16"/>
        <v>9681</v>
      </c>
      <c r="C66" s="374">
        <f t="shared" ca="1" si="8"/>
        <v>15681</v>
      </c>
      <c r="D66" s="375">
        <f t="shared" ca="1" si="9"/>
        <v>17998</v>
      </c>
      <c r="E66" s="376"/>
      <c r="AB66" s="305">
        <f t="shared" ca="1" si="7"/>
        <v>0.27060142032763346</v>
      </c>
      <c r="AC66" s="361">
        <v>63</v>
      </c>
      <c r="AD66" s="361">
        <v>64</v>
      </c>
      <c r="AE66" s="361">
        <f t="shared" ca="1" si="13"/>
        <v>1075</v>
      </c>
      <c r="AF66" s="383">
        <f t="shared" ca="1" si="14"/>
        <v>16.741985449594029</v>
      </c>
      <c r="AG66" s="305">
        <f t="shared" ca="1" si="15"/>
        <v>17998</v>
      </c>
      <c r="AH66" s="305"/>
      <c r="AI66" s="305"/>
      <c r="AJ66" s="305"/>
      <c r="AK66" s="305"/>
    </row>
    <row r="67" spans="1:38" ht="16.5" x14ac:dyDescent="0.3">
      <c r="A67" s="79">
        <v>65</v>
      </c>
      <c r="B67" s="373">
        <f t="shared" ca="1" si="16"/>
        <v>8526</v>
      </c>
      <c r="C67" s="374">
        <f t="shared" ca="1" si="8"/>
        <v>18063</v>
      </c>
      <c r="D67" s="375">
        <f t="shared" ca="1" si="9"/>
        <v>19229</v>
      </c>
      <c r="E67" s="376"/>
      <c r="AB67" s="305">
        <f t="shared" ref="AB67:AB77" ca="1" si="17">RAND()</f>
        <v>0.49304479013277136</v>
      </c>
      <c r="AC67" s="361">
        <v>68</v>
      </c>
      <c r="AD67" s="361">
        <v>65</v>
      </c>
      <c r="AE67" s="361">
        <f t="shared" ca="1" si="13"/>
        <v>1090</v>
      </c>
      <c r="AF67" s="383">
        <f t="shared" ca="1" si="14"/>
        <v>17.640935866347263</v>
      </c>
      <c r="AG67" s="305">
        <f t="shared" ca="1" si="15"/>
        <v>19229</v>
      </c>
      <c r="AH67" s="305"/>
      <c r="AI67" s="305"/>
      <c r="AJ67" s="305"/>
      <c r="AK67" s="305"/>
    </row>
    <row r="68" spans="1:38" ht="16.5" x14ac:dyDescent="0.3">
      <c r="A68" s="79">
        <v>66</v>
      </c>
      <c r="B68" s="373">
        <f t="shared" ref="B68:B77" ca="1" si="18">INDEX($AG$3:$AG$77,RANK(AB68,$AB$3:$AB$77))</f>
        <v>4225</v>
      </c>
      <c r="C68" s="374">
        <f t="shared" ref="C68:C77" ca="1" si="19">SMALL($AG$3:$AG$77,AC68)</f>
        <v>17998</v>
      </c>
      <c r="D68" s="375">
        <f t="shared" ref="D68:D77" ca="1" si="20">AG68</f>
        <v>15678</v>
      </c>
      <c r="E68" s="376"/>
      <c r="AB68" s="305">
        <f t="shared" ca="1" si="17"/>
        <v>0.86652638125353509</v>
      </c>
      <c r="AC68" s="361">
        <v>66</v>
      </c>
      <c r="AD68" s="361">
        <v>66</v>
      </c>
      <c r="AE68" s="361">
        <f t="shared" ref="AE68:AE77" ca="1" si="21">INT($AH$1+$AI$1*AD68)</f>
        <v>1105</v>
      </c>
      <c r="AF68" s="383">
        <f t="shared" ref="AF68:AF77" ca="1" si="22">(((IF(MOD(AD68,5)&lt;&gt;0,MOD(AD68,5),5))+12)+_xlfn.NORM.S.INV(RAND()))</f>
        <v>14.188285950664092</v>
      </c>
      <c r="AG68" s="305">
        <f t="shared" ref="AG68:AG76" ca="1" si="23">ROUND(AE68*AF68,0)</f>
        <v>15678</v>
      </c>
      <c r="AH68" s="305"/>
      <c r="AI68" s="305"/>
      <c r="AJ68" s="305"/>
      <c r="AK68" s="305"/>
    </row>
    <row r="69" spans="1:38" ht="16.5" x14ac:dyDescent="0.3">
      <c r="A69" s="79">
        <v>67</v>
      </c>
      <c r="B69" s="373">
        <f t="shared" ca="1" si="18"/>
        <v>8172</v>
      </c>
      <c r="C69" s="374">
        <f t="shared" ca="1" si="19"/>
        <v>18061</v>
      </c>
      <c r="D69" s="375">
        <f t="shared" ca="1" si="20"/>
        <v>15681</v>
      </c>
      <c r="E69" s="376"/>
      <c r="AB69" s="305">
        <f t="shared" ca="1" si="17"/>
        <v>0.6950467767588574</v>
      </c>
      <c r="AC69" s="361">
        <v>67</v>
      </c>
      <c r="AD69" s="361">
        <v>67</v>
      </c>
      <c r="AE69" s="361">
        <f t="shared" ca="1" si="21"/>
        <v>1120</v>
      </c>
      <c r="AF69" s="383">
        <f t="shared" ca="1" si="22"/>
        <v>14.00076830727944</v>
      </c>
      <c r="AG69" s="305">
        <f t="shared" ca="1" si="23"/>
        <v>15681</v>
      </c>
      <c r="AH69" s="305"/>
      <c r="AI69" s="305"/>
      <c r="AJ69" s="305"/>
      <c r="AK69" s="305"/>
    </row>
    <row r="70" spans="1:38" ht="16.5" x14ac:dyDescent="0.3">
      <c r="A70" s="79">
        <v>68</v>
      </c>
      <c r="B70" s="373">
        <f t="shared" ca="1" si="18"/>
        <v>15586</v>
      </c>
      <c r="C70" s="374">
        <f t="shared" ca="1" si="19"/>
        <v>16974</v>
      </c>
      <c r="D70" s="375">
        <f t="shared" ca="1" si="20"/>
        <v>15586</v>
      </c>
      <c r="E70" s="376"/>
      <c r="AB70" s="305">
        <f t="shared" ca="1" si="17"/>
        <v>8.2506607215822703E-2</v>
      </c>
      <c r="AC70" s="361">
        <v>65</v>
      </c>
      <c r="AD70" s="361">
        <v>68</v>
      </c>
      <c r="AE70" s="361">
        <f t="shared" ca="1" si="21"/>
        <v>1135</v>
      </c>
      <c r="AF70" s="383">
        <f t="shared" ca="1" si="22"/>
        <v>13.731828021489299</v>
      </c>
      <c r="AG70" s="305">
        <f t="shared" ca="1" si="23"/>
        <v>15586</v>
      </c>
      <c r="AH70" s="305"/>
      <c r="AI70" s="305"/>
      <c r="AJ70" s="305"/>
      <c r="AK70" s="305"/>
    </row>
    <row r="71" spans="1:38" ht="16.5" x14ac:dyDescent="0.3">
      <c r="A71" s="79">
        <v>69</v>
      </c>
      <c r="B71" s="373">
        <f t="shared" ca="1" si="18"/>
        <v>7409</v>
      </c>
      <c r="C71" s="374">
        <f t="shared" ca="1" si="19"/>
        <v>18141</v>
      </c>
      <c r="D71" s="375">
        <f t="shared" ca="1" si="20"/>
        <v>19341</v>
      </c>
      <c r="E71" s="376"/>
      <c r="AB71" s="305">
        <f t="shared" ca="1" si="17"/>
        <v>0.50390715532683195</v>
      </c>
      <c r="AC71" s="361">
        <v>69</v>
      </c>
      <c r="AD71" s="361">
        <v>69</v>
      </c>
      <c r="AE71" s="361">
        <f t="shared" ca="1" si="21"/>
        <v>1150</v>
      </c>
      <c r="AF71" s="383">
        <f t="shared" ca="1" si="22"/>
        <v>16.818318871021052</v>
      </c>
      <c r="AG71" s="305">
        <f t="shared" ca="1" si="23"/>
        <v>19341</v>
      </c>
      <c r="AH71" s="305"/>
      <c r="AI71" s="305"/>
      <c r="AJ71" s="305"/>
      <c r="AK71" s="305"/>
    </row>
    <row r="72" spans="1:38" ht="16.5" x14ac:dyDescent="0.3">
      <c r="A72" s="79">
        <v>70</v>
      </c>
      <c r="B72" s="373">
        <f t="shared" ca="1" si="18"/>
        <v>5970</v>
      </c>
      <c r="C72" s="374">
        <f t="shared" ca="1" si="19"/>
        <v>18635</v>
      </c>
      <c r="D72" s="375">
        <f t="shared" ca="1" si="20"/>
        <v>19741</v>
      </c>
      <c r="E72" s="376"/>
      <c r="AB72" s="305">
        <f t="shared" ca="1" si="17"/>
        <v>0.71653897525479071</v>
      </c>
      <c r="AC72" s="361">
        <v>70</v>
      </c>
      <c r="AD72" s="361">
        <v>70</v>
      </c>
      <c r="AE72" s="361">
        <f t="shared" ca="1" si="21"/>
        <v>1165</v>
      </c>
      <c r="AF72" s="383">
        <f t="shared" ca="1" si="22"/>
        <v>16.945095569971024</v>
      </c>
      <c r="AG72" s="305">
        <f t="shared" ca="1" si="23"/>
        <v>19741</v>
      </c>
      <c r="AH72" s="305"/>
      <c r="AI72" s="305"/>
      <c r="AJ72" s="305"/>
      <c r="AK72" s="305"/>
    </row>
    <row r="73" spans="1:38" ht="16.5" x14ac:dyDescent="0.3">
      <c r="A73" s="79">
        <v>71</v>
      </c>
      <c r="B73" s="373">
        <f t="shared" ca="1" si="18"/>
        <v>12243</v>
      </c>
      <c r="C73" s="374">
        <f t="shared" ca="1" si="19"/>
        <v>19341</v>
      </c>
      <c r="D73" s="375">
        <f t="shared" ca="1" si="20"/>
        <v>14590</v>
      </c>
      <c r="E73" s="376"/>
      <c r="AB73" s="305">
        <f t="shared" ca="1" si="17"/>
        <v>0.23357930218540379</v>
      </c>
      <c r="AC73" s="361">
        <v>72</v>
      </c>
      <c r="AD73" s="361">
        <v>71</v>
      </c>
      <c r="AE73" s="361">
        <f t="shared" ca="1" si="21"/>
        <v>1180</v>
      </c>
      <c r="AF73" s="383">
        <f t="shared" ca="1" si="22"/>
        <v>12.364773560609787</v>
      </c>
      <c r="AG73" s="305">
        <f t="shared" ca="1" si="23"/>
        <v>14590</v>
      </c>
      <c r="AH73" s="305"/>
      <c r="AI73" s="305"/>
      <c r="AJ73" s="305"/>
      <c r="AK73" s="305"/>
    </row>
    <row r="74" spans="1:38" ht="16.5" x14ac:dyDescent="0.3">
      <c r="A74" s="79">
        <v>72</v>
      </c>
      <c r="B74" s="373">
        <f t="shared" ca="1" si="18"/>
        <v>18061</v>
      </c>
      <c r="C74" s="374">
        <f t="shared" ca="1" si="19"/>
        <v>22720</v>
      </c>
      <c r="D74" s="375">
        <f t="shared" ca="1" si="20"/>
        <v>18063</v>
      </c>
      <c r="E74" s="376"/>
      <c r="AB74" s="305">
        <f t="shared" ca="1" si="17"/>
        <v>0.16272466451098555</v>
      </c>
      <c r="AC74" s="361">
        <v>75</v>
      </c>
      <c r="AD74" s="361">
        <v>72</v>
      </c>
      <c r="AE74" s="361">
        <f t="shared" ca="1" si="21"/>
        <v>1195</v>
      </c>
      <c r="AF74" s="383">
        <f t="shared" ca="1" si="22"/>
        <v>15.115568435768282</v>
      </c>
      <c r="AG74" s="305">
        <f t="shared" ca="1" si="23"/>
        <v>18063</v>
      </c>
      <c r="AH74" s="305"/>
      <c r="AI74" s="305"/>
      <c r="AJ74" s="305"/>
      <c r="AK74" s="305"/>
    </row>
    <row r="75" spans="1:38" ht="16.5" x14ac:dyDescent="0.3">
      <c r="A75" s="79">
        <v>73</v>
      </c>
      <c r="B75" s="373">
        <f t="shared" ca="1" si="18"/>
        <v>19341</v>
      </c>
      <c r="C75" s="374">
        <f t="shared" ca="1" si="19"/>
        <v>19229</v>
      </c>
      <c r="D75" s="375">
        <f t="shared" ca="1" si="20"/>
        <v>18635</v>
      </c>
      <c r="E75" s="376"/>
      <c r="AB75" s="305">
        <f t="shared" ca="1" si="17"/>
        <v>6.1146768234537019E-2</v>
      </c>
      <c r="AC75" s="361">
        <v>71</v>
      </c>
      <c r="AD75" s="361">
        <v>73</v>
      </c>
      <c r="AE75" s="361">
        <f t="shared" ca="1" si="21"/>
        <v>1210</v>
      </c>
      <c r="AF75" s="383">
        <f t="shared" ca="1" si="22"/>
        <v>15.401231775845094</v>
      </c>
      <c r="AG75" s="305">
        <f t="shared" ca="1" si="23"/>
        <v>18635</v>
      </c>
      <c r="AH75" s="305"/>
      <c r="AI75" s="305"/>
      <c r="AJ75" s="305"/>
      <c r="AK75" s="305"/>
    </row>
    <row r="76" spans="1:38" ht="16.5" x14ac:dyDescent="0.3">
      <c r="A76" s="79">
        <v>74</v>
      </c>
      <c r="B76" s="373">
        <f t="shared" ca="1" si="18"/>
        <v>4402</v>
      </c>
      <c r="C76" s="374">
        <f t="shared" ca="1" si="19"/>
        <v>19741</v>
      </c>
      <c r="D76" s="375">
        <f t="shared" ca="1" si="20"/>
        <v>22720</v>
      </c>
      <c r="E76" s="376"/>
      <c r="AB76" s="305">
        <f t="shared" ca="1" si="17"/>
        <v>0.75734489465865085</v>
      </c>
      <c r="AC76" s="361">
        <v>73</v>
      </c>
      <c r="AD76" s="361">
        <v>74</v>
      </c>
      <c r="AE76" s="361">
        <f t="shared" ca="1" si="21"/>
        <v>1225</v>
      </c>
      <c r="AF76" s="383">
        <f t="shared" ca="1" si="22"/>
        <v>18.546588906078256</v>
      </c>
      <c r="AG76" s="305">
        <f t="shared" ca="1" si="23"/>
        <v>22720</v>
      </c>
      <c r="AH76" s="305"/>
      <c r="AI76" s="305"/>
      <c r="AJ76" s="305"/>
      <c r="AK76" s="305"/>
    </row>
    <row r="77" spans="1:38" ht="16.5" x14ac:dyDescent="0.3">
      <c r="A77" s="79">
        <v>75</v>
      </c>
      <c r="B77" s="373">
        <f t="shared" ca="1" si="18"/>
        <v>18635</v>
      </c>
      <c r="C77" s="374">
        <f t="shared" ca="1" si="19"/>
        <v>21932</v>
      </c>
      <c r="D77" s="375">
        <f t="shared" ca="1" si="20"/>
        <v>21932</v>
      </c>
      <c r="E77" s="376"/>
      <c r="AB77" s="305">
        <f t="shared" ca="1" si="17"/>
        <v>4.4534085935712953E-2</v>
      </c>
      <c r="AC77" s="361">
        <v>74</v>
      </c>
      <c r="AD77" s="361">
        <v>75</v>
      </c>
      <c r="AE77" s="361">
        <f t="shared" ca="1" si="21"/>
        <v>1240</v>
      </c>
      <c r="AF77" s="383">
        <f t="shared" ca="1" si="22"/>
        <v>17.686876970084661</v>
      </c>
      <c r="AG77" s="305">
        <f ca="1">ROUND(AE77*AF77,0)</f>
        <v>21932</v>
      </c>
      <c r="AH77" s="305"/>
      <c r="AI77" s="305"/>
      <c r="AJ77" s="305"/>
      <c r="AK77" s="305"/>
    </row>
    <row r="78" spans="1:38" ht="16.5" x14ac:dyDescent="0.3">
      <c r="A78" s="171"/>
      <c r="B78" s="171"/>
      <c r="C78" s="171"/>
      <c r="D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</row>
    <row r="79" spans="1:38" ht="16.5" x14ac:dyDescent="0.3">
      <c r="A79" s="171"/>
      <c r="B79" s="171"/>
      <c r="C79" s="171"/>
      <c r="D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</row>
    <row r="80" spans="1:38" ht="16.5" x14ac:dyDescent="0.3">
      <c r="A80" s="171"/>
      <c r="B80" s="171"/>
      <c r="C80" s="171"/>
      <c r="D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</row>
    <row r="81" spans="1:38" ht="16.5" x14ac:dyDescent="0.3">
      <c r="A81" s="171"/>
      <c r="B81" s="171"/>
      <c r="C81" s="171"/>
      <c r="D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</row>
    <row r="82" spans="1:38" ht="16.5" x14ac:dyDescent="0.3"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</row>
    <row r="83" spans="1:38" ht="16.5" x14ac:dyDescent="0.3"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</row>
    <row r="84" spans="1:38" ht="16.5" x14ac:dyDescent="0.3"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</row>
    <row r="85" spans="1:38" ht="16.5" x14ac:dyDescent="0.3"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</row>
    <row r="86" spans="1:38" ht="16.5" x14ac:dyDescent="0.3"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</row>
    <row r="87" spans="1:38" ht="16.5" x14ac:dyDescent="0.3"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</row>
    <row r="88" spans="1:38" ht="16.5" x14ac:dyDescent="0.3"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</row>
    <row r="89" spans="1:38" ht="16.5" x14ac:dyDescent="0.3"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6"/>
  <sheetViews>
    <sheetView zoomScale="77" zoomScaleNormal="77" workbookViewId="0">
      <selection activeCell="A19" sqref="A19"/>
    </sheetView>
  </sheetViews>
  <sheetFormatPr defaultRowHeight="16.5" x14ac:dyDescent="0.3"/>
  <cols>
    <col min="1" max="1" width="10.7109375" style="171" bestFit="1" customWidth="1"/>
    <col min="2" max="2" width="6.28515625" style="171" hidden="1" customWidth="1"/>
    <col min="3" max="3" width="3.42578125" style="171" bestFit="1" customWidth="1"/>
    <col min="4" max="4" width="4.7109375" style="171" hidden="1" customWidth="1"/>
    <col min="5" max="5" width="7.5703125" style="171" bestFit="1" customWidth="1"/>
    <col min="6" max="6" width="6.140625" style="171" customWidth="1"/>
    <col min="7" max="7" width="3.85546875" style="171" customWidth="1"/>
    <col min="8" max="8" width="5.140625" style="171" customWidth="1"/>
    <col min="9" max="9" width="6.140625" style="171" customWidth="1"/>
    <col min="10" max="10" width="10.28515625" style="171" bestFit="1" customWidth="1"/>
    <col min="11" max="11" width="9" style="171" customWidth="1"/>
    <col min="12" max="12" width="9" style="171" bestFit="1" customWidth="1"/>
    <col min="13" max="13" width="9" style="171" customWidth="1"/>
    <col min="14" max="14" width="2.85546875" customWidth="1"/>
    <col min="15" max="16" width="8.42578125" style="171" bestFit="1" customWidth="1"/>
    <col min="17" max="17" width="7.42578125" style="171" bestFit="1" customWidth="1"/>
    <col min="18" max="18" width="8.42578125" style="171" bestFit="1" customWidth="1"/>
    <col min="19" max="19" width="2.42578125" style="171" customWidth="1"/>
    <col min="20" max="20" width="13.28515625" style="171" bestFit="1" customWidth="1"/>
    <col min="21" max="21" width="12.5703125" style="171" bestFit="1" customWidth="1"/>
    <col min="22" max="23" width="12" style="171" bestFit="1" customWidth="1"/>
    <col min="24" max="16384" width="9.140625" style="171"/>
  </cols>
  <sheetData>
    <row r="1" spans="1:23" ht="23.25" thickBot="1" x14ac:dyDescent="0.35">
      <c r="J1" s="410" t="s">
        <v>23</v>
      </c>
      <c r="K1" s="411"/>
      <c r="L1" s="411"/>
      <c r="M1" s="412"/>
      <c r="O1" s="410" t="s">
        <v>141</v>
      </c>
      <c r="P1" s="411"/>
      <c r="Q1" s="411"/>
      <c r="R1" s="412"/>
      <c r="T1" s="410" t="s">
        <v>142</v>
      </c>
      <c r="U1" s="411"/>
      <c r="V1" s="411"/>
      <c r="W1" s="412"/>
    </row>
    <row r="2" spans="1:23" ht="18.75" thickBot="1" x14ac:dyDescent="0.35">
      <c r="A2" s="224" t="s">
        <v>24</v>
      </c>
      <c r="B2" s="221" t="s">
        <v>64</v>
      </c>
      <c r="C2" s="227" t="s">
        <v>13</v>
      </c>
      <c r="D2" s="228" t="s">
        <v>13</v>
      </c>
      <c r="E2" s="229" t="s">
        <v>60</v>
      </c>
      <c r="F2" s="234" t="s">
        <v>18</v>
      </c>
      <c r="G2" s="235" t="s">
        <v>14</v>
      </c>
      <c r="H2" s="236" t="s">
        <v>15</v>
      </c>
      <c r="I2" s="237" t="s">
        <v>16</v>
      </c>
      <c r="J2" s="239" t="s">
        <v>19</v>
      </c>
      <c r="K2" s="240" t="s">
        <v>20</v>
      </c>
      <c r="L2" s="178" t="s">
        <v>21</v>
      </c>
      <c r="M2" s="237" t="s">
        <v>22</v>
      </c>
      <c r="O2" s="177" t="s">
        <v>137</v>
      </c>
      <c r="P2" s="179" t="s">
        <v>138</v>
      </c>
      <c r="Q2" s="178" t="s">
        <v>139</v>
      </c>
      <c r="R2" s="180" t="s">
        <v>140</v>
      </c>
      <c r="T2" s="230" t="s">
        <v>28</v>
      </c>
      <c r="U2" s="231" t="s">
        <v>25</v>
      </c>
      <c r="V2" s="232" t="s">
        <v>26</v>
      </c>
      <c r="W2" s="233" t="s">
        <v>27</v>
      </c>
    </row>
    <row r="3" spans="1:23" x14ac:dyDescent="0.3">
      <c r="A3" s="224">
        <f ca="1">MAX(10,5*ROWS(A$3:$B3)+RANDBETWEEN(-20,20))</f>
        <v>10</v>
      </c>
      <c r="B3" s="221">
        <v>10</v>
      </c>
      <c r="C3" s="218">
        <v>1</v>
      </c>
      <c r="D3" s="181" t="s">
        <v>6</v>
      </c>
      <c r="E3" s="182">
        <f>B3</f>
        <v>10</v>
      </c>
      <c r="F3" s="183">
        <f>AVERAGE($E$3:$E$14)</f>
        <v>29.166666666666668</v>
      </c>
      <c r="G3" s="174"/>
      <c r="H3" s="175"/>
      <c r="I3" s="176"/>
      <c r="J3" s="188">
        <f>ABS(E3-F3)</f>
        <v>19.166666666666668</v>
      </c>
      <c r="K3" s="238"/>
      <c r="L3" s="178"/>
      <c r="M3" s="191"/>
      <c r="O3" s="177"/>
      <c r="P3" s="184"/>
      <c r="Q3" s="184"/>
      <c r="R3" s="184"/>
      <c r="T3" s="177"/>
      <c r="U3" s="184"/>
      <c r="V3" s="184"/>
      <c r="W3" s="184"/>
    </row>
    <row r="4" spans="1:23" x14ac:dyDescent="0.3">
      <c r="A4" s="225">
        <f ca="1">MAX(10,5*ROWS(A$3:$B4)+RANDBETWEEN(-20,20))</f>
        <v>10</v>
      </c>
      <c r="B4" s="222">
        <v>10</v>
      </c>
      <c r="C4" s="219">
        <v>2</v>
      </c>
      <c r="D4" s="185" t="s">
        <v>0</v>
      </c>
      <c r="E4" s="186">
        <f>B4</f>
        <v>10</v>
      </c>
      <c r="F4" s="183">
        <f t="shared" ref="F4:F15" si="0">AVERAGE($E$3:$E$14)</f>
        <v>29.166666666666668</v>
      </c>
      <c r="G4" s="174">
        <f t="shared" ref="G4:G15" si="1">E3</f>
        <v>10</v>
      </c>
      <c r="H4" s="187"/>
      <c r="I4" s="176"/>
      <c r="J4" s="188">
        <f>ABS(E4-F4)</f>
        <v>19.166666666666668</v>
      </c>
      <c r="K4" s="189">
        <f>ABS(E4-G4)</f>
        <v>0</v>
      </c>
      <c r="L4" s="190"/>
      <c r="M4" s="191"/>
      <c r="O4" s="192"/>
      <c r="P4" s="193"/>
      <c r="Q4" s="193"/>
      <c r="R4" s="193"/>
      <c r="T4" s="192"/>
      <c r="U4" s="193"/>
      <c r="V4" s="193"/>
      <c r="W4" s="193"/>
    </row>
    <row r="5" spans="1:23" ht="17.25" thickBot="1" x14ac:dyDescent="0.35">
      <c r="A5" s="225">
        <f ca="1">MAX(10,5*ROWS(A$3:$B5)+RANDBETWEEN(-20,20))</f>
        <v>34</v>
      </c>
      <c r="B5" s="222">
        <v>13</v>
      </c>
      <c r="C5" s="219">
        <v>3</v>
      </c>
      <c r="D5" s="185" t="s">
        <v>1</v>
      </c>
      <c r="E5" s="186">
        <f t="shared" ref="E5:E13" si="2">B5</f>
        <v>13</v>
      </c>
      <c r="F5" s="183">
        <f t="shared" si="0"/>
        <v>29.166666666666668</v>
      </c>
      <c r="G5" s="174">
        <f t="shared" si="1"/>
        <v>10</v>
      </c>
      <c r="H5" s="187">
        <f t="shared" ref="H5:H15" si="3">AVERAGE(E3:E4)</f>
        <v>10</v>
      </c>
      <c r="I5" s="194"/>
      <c r="J5" s="188">
        <f t="shared" ref="J5:J14" si="4">ABS(E5-F5)</f>
        <v>16.166666666666668</v>
      </c>
      <c r="K5" s="189">
        <f t="shared" ref="K5:K14" si="5">ABS(E5-G5)</f>
        <v>3</v>
      </c>
      <c r="L5" s="252">
        <f>ABS($E5-H5)</f>
        <v>3</v>
      </c>
      <c r="M5" s="196"/>
      <c r="O5" s="188"/>
      <c r="P5" s="197"/>
      <c r="Q5" s="195"/>
      <c r="R5" s="196"/>
      <c r="T5" s="188"/>
      <c r="U5" s="197"/>
      <c r="V5" s="195"/>
      <c r="W5" s="196"/>
    </row>
    <row r="6" spans="1:23" x14ac:dyDescent="0.3">
      <c r="A6" s="225">
        <f ca="1">MAX(10,5*ROWS(A$3:$B6)+RANDBETWEEN(-20,20))</f>
        <v>17</v>
      </c>
      <c r="B6" s="222">
        <v>10</v>
      </c>
      <c r="C6" s="219">
        <v>4</v>
      </c>
      <c r="D6" s="185" t="s">
        <v>2</v>
      </c>
      <c r="E6" s="186">
        <f t="shared" si="2"/>
        <v>10</v>
      </c>
      <c r="F6" s="198">
        <f t="shared" si="0"/>
        <v>29.166666666666668</v>
      </c>
      <c r="G6" s="199">
        <f t="shared" si="1"/>
        <v>13</v>
      </c>
      <c r="H6" s="200">
        <f t="shared" si="3"/>
        <v>11.5</v>
      </c>
      <c r="I6" s="201">
        <f t="shared" ref="I6:I15" si="6">AVERAGE(E3:E5)</f>
        <v>11</v>
      </c>
      <c r="J6" s="241">
        <f>ABS(E6-F6)</f>
        <v>19.166666666666668</v>
      </c>
      <c r="K6" s="242">
        <f>ABS(E6-G6)</f>
        <v>3</v>
      </c>
      <c r="L6" s="195">
        <f>ABS($E6-H6)</f>
        <v>1.5</v>
      </c>
      <c r="M6" s="244">
        <f>ABS($E6-I6)</f>
        <v>1</v>
      </c>
      <c r="N6" s="245"/>
      <c r="O6" s="241">
        <f>(E6-F6)^2</f>
        <v>367.36111111111114</v>
      </c>
      <c r="P6" s="246">
        <f t="shared" ref="P6:P14" si="7">(E6-G6)^2</f>
        <v>9</v>
      </c>
      <c r="Q6" s="243">
        <f>($E6-H6)^2</f>
        <v>2.25</v>
      </c>
      <c r="R6" s="244">
        <f>($E6-I6)^2</f>
        <v>1</v>
      </c>
      <c r="S6" s="247"/>
      <c r="T6" s="241">
        <f>ABS(E6-F6)/E6</f>
        <v>1.9166666666666667</v>
      </c>
      <c r="U6" s="246">
        <f>ABS(E6-G6)/E6</f>
        <v>0.3</v>
      </c>
      <c r="V6" s="243">
        <f>ABS($E6-H6)/E6</f>
        <v>0.15</v>
      </c>
      <c r="W6" s="244">
        <f>($E6-I6)/E6</f>
        <v>-0.1</v>
      </c>
    </row>
    <row r="7" spans="1:23" x14ac:dyDescent="0.3">
      <c r="A7" s="225">
        <f ca="1">MAX(10,5*ROWS(A$3:$B7)+RANDBETWEEN(-20,20))</f>
        <v>42</v>
      </c>
      <c r="B7" s="222">
        <v>10</v>
      </c>
      <c r="C7" s="219">
        <v>5</v>
      </c>
      <c r="D7" s="185" t="s">
        <v>3</v>
      </c>
      <c r="E7" s="186">
        <f t="shared" si="2"/>
        <v>10</v>
      </c>
      <c r="F7" s="202">
        <f t="shared" si="0"/>
        <v>29.166666666666668</v>
      </c>
      <c r="G7" s="203">
        <f t="shared" si="1"/>
        <v>10</v>
      </c>
      <c r="H7" s="204">
        <f t="shared" si="3"/>
        <v>11.5</v>
      </c>
      <c r="I7" s="205">
        <f t="shared" si="6"/>
        <v>11</v>
      </c>
      <c r="J7" s="188">
        <f>ABS(E7-F7)</f>
        <v>19.166666666666668</v>
      </c>
      <c r="K7" s="189">
        <f t="shared" si="5"/>
        <v>0</v>
      </c>
      <c r="L7" s="195">
        <f t="shared" ref="L7:L14" si="8">ABS($E7-H7)</f>
        <v>1.5</v>
      </c>
      <c r="M7" s="196">
        <f t="shared" ref="M7:M14" si="9">ABS($E7-I7)</f>
        <v>1</v>
      </c>
      <c r="N7" s="248"/>
      <c r="O7" s="188">
        <f t="shared" ref="O7:O14" si="10">(E7-F7)^2</f>
        <v>367.36111111111114</v>
      </c>
      <c r="P7" s="197">
        <f t="shared" si="7"/>
        <v>0</v>
      </c>
      <c r="Q7" s="195">
        <f t="shared" ref="Q7:Q14" si="11">($E7-H7)^2</f>
        <v>2.25</v>
      </c>
      <c r="R7" s="196">
        <f t="shared" ref="R7:R14" si="12">($E7-I7)^2</f>
        <v>1</v>
      </c>
      <c r="S7" s="249"/>
      <c r="T7" s="188">
        <f t="shared" ref="T7:T14" si="13">ABS(E7-F7)/E7</f>
        <v>1.9166666666666667</v>
      </c>
      <c r="U7" s="197">
        <f t="shared" ref="U7:U13" si="14">ABS(E7-G7)/E7</f>
        <v>0</v>
      </c>
      <c r="V7" s="195">
        <f t="shared" ref="V7:V14" si="15">ABS($E7-H7)/E7</f>
        <v>0.15</v>
      </c>
      <c r="W7" s="196">
        <f t="shared" ref="W7:W14" si="16">($E7-I7)/E7</f>
        <v>-0.1</v>
      </c>
    </row>
    <row r="8" spans="1:23" x14ac:dyDescent="0.3">
      <c r="A8" s="225">
        <f ca="1">MAX(10,5*ROWS(A$3:$B8)+RANDBETWEEN(-20,20))</f>
        <v>40</v>
      </c>
      <c r="B8" s="222">
        <v>18</v>
      </c>
      <c r="C8" s="219">
        <v>6</v>
      </c>
      <c r="D8" s="185" t="s">
        <v>4</v>
      </c>
      <c r="E8" s="186">
        <f t="shared" si="2"/>
        <v>18</v>
      </c>
      <c r="F8" s="202">
        <f t="shared" si="0"/>
        <v>29.166666666666668</v>
      </c>
      <c r="G8" s="203">
        <f t="shared" si="1"/>
        <v>10</v>
      </c>
      <c r="H8" s="204">
        <f t="shared" si="3"/>
        <v>10</v>
      </c>
      <c r="I8" s="205">
        <f t="shared" si="6"/>
        <v>11</v>
      </c>
      <c r="J8" s="188">
        <f t="shared" si="4"/>
        <v>11.166666666666668</v>
      </c>
      <c r="K8" s="189">
        <f t="shared" si="5"/>
        <v>8</v>
      </c>
      <c r="L8" s="195">
        <f t="shared" si="8"/>
        <v>8</v>
      </c>
      <c r="M8" s="196">
        <f t="shared" si="9"/>
        <v>7</v>
      </c>
      <c r="N8" s="248"/>
      <c r="O8" s="188">
        <f t="shared" si="10"/>
        <v>124.69444444444447</v>
      </c>
      <c r="P8" s="197">
        <f t="shared" si="7"/>
        <v>64</v>
      </c>
      <c r="Q8" s="195">
        <f t="shared" si="11"/>
        <v>64</v>
      </c>
      <c r="R8" s="196">
        <f t="shared" si="12"/>
        <v>49</v>
      </c>
      <c r="S8" s="249"/>
      <c r="T8" s="188">
        <f t="shared" si="13"/>
        <v>0.62037037037037046</v>
      </c>
      <c r="U8" s="197">
        <f t="shared" si="14"/>
        <v>0.44444444444444442</v>
      </c>
      <c r="V8" s="195">
        <f t="shared" si="15"/>
        <v>0.44444444444444442</v>
      </c>
      <c r="W8" s="196">
        <f t="shared" si="16"/>
        <v>0.3888888888888889</v>
      </c>
    </row>
    <row r="9" spans="1:23" x14ac:dyDescent="0.3">
      <c r="A9" s="225">
        <f ca="1">MAX(10,5*ROWS(A$3:$B9)+RANDBETWEEN(-20,20))</f>
        <v>15</v>
      </c>
      <c r="B9" s="222">
        <v>19</v>
      </c>
      <c r="C9" s="219">
        <v>7</v>
      </c>
      <c r="D9" s="185" t="s">
        <v>5</v>
      </c>
      <c r="E9" s="186">
        <f t="shared" si="2"/>
        <v>19</v>
      </c>
      <c r="F9" s="202">
        <f t="shared" si="0"/>
        <v>29.166666666666668</v>
      </c>
      <c r="G9" s="203">
        <f t="shared" si="1"/>
        <v>18</v>
      </c>
      <c r="H9" s="204">
        <f t="shared" si="3"/>
        <v>14</v>
      </c>
      <c r="I9" s="205">
        <f t="shared" si="6"/>
        <v>12.666666666666666</v>
      </c>
      <c r="J9" s="188">
        <f t="shared" si="4"/>
        <v>10.166666666666668</v>
      </c>
      <c r="K9" s="189">
        <f t="shared" si="5"/>
        <v>1</v>
      </c>
      <c r="L9" s="195">
        <f t="shared" si="8"/>
        <v>5</v>
      </c>
      <c r="M9" s="196">
        <f t="shared" si="9"/>
        <v>6.3333333333333339</v>
      </c>
      <c r="N9" s="248"/>
      <c r="O9" s="188">
        <f>(E9-F9)^2</f>
        <v>103.36111111111113</v>
      </c>
      <c r="P9" s="197">
        <f t="shared" si="7"/>
        <v>1</v>
      </c>
      <c r="Q9" s="195">
        <f t="shared" si="11"/>
        <v>25</v>
      </c>
      <c r="R9" s="196">
        <f t="shared" si="12"/>
        <v>40.111111111111121</v>
      </c>
      <c r="S9" s="249"/>
      <c r="T9" s="188">
        <f t="shared" si="13"/>
        <v>0.53508771929824572</v>
      </c>
      <c r="U9" s="197">
        <f t="shared" si="14"/>
        <v>5.2631578947368418E-2</v>
      </c>
      <c r="V9" s="195">
        <f t="shared" si="15"/>
        <v>0.26315789473684209</v>
      </c>
      <c r="W9" s="196">
        <f t="shared" si="16"/>
        <v>0.33333333333333337</v>
      </c>
    </row>
    <row r="10" spans="1:23" x14ac:dyDescent="0.3">
      <c r="A10" s="225">
        <f ca="1">MAX(10,5*ROWS(A$3:$B10)+RANDBETWEEN(-20,20))</f>
        <v>22</v>
      </c>
      <c r="B10" s="222">
        <v>44</v>
      </c>
      <c r="C10" s="219">
        <v>8</v>
      </c>
      <c r="D10" s="185" t="s">
        <v>7</v>
      </c>
      <c r="E10" s="186">
        <f t="shared" si="2"/>
        <v>44</v>
      </c>
      <c r="F10" s="202">
        <f t="shared" si="0"/>
        <v>29.166666666666668</v>
      </c>
      <c r="G10" s="203">
        <f t="shared" si="1"/>
        <v>19</v>
      </c>
      <c r="H10" s="204">
        <f t="shared" si="3"/>
        <v>18.5</v>
      </c>
      <c r="I10" s="205">
        <f t="shared" si="6"/>
        <v>15.666666666666666</v>
      </c>
      <c r="J10" s="188">
        <f t="shared" si="4"/>
        <v>14.833333333333332</v>
      </c>
      <c r="K10" s="189">
        <f t="shared" si="5"/>
        <v>25</v>
      </c>
      <c r="L10" s="195">
        <f t="shared" si="8"/>
        <v>25.5</v>
      </c>
      <c r="M10" s="196">
        <f t="shared" si="9"/>
        <v>28.333333333333336</v>
      </c>
      <c r="N10" s="248"/>
      <c r="O10" s="188">
        <f t="shared" si="10"/>
        <v>220.02777777777774</v>
      </c>
      <c r="P10" s="197">
        <f t="shared" si="7"/>
        <v>625</v>
      </c>
      <c r="Q10" s="195">
        <f t="shared" si="11"/>
        <v>650.25</v>
      </c>
      <c r="R10" s="196">
        <f t="shared" si="12"/>
        <v>802.77777777777794</v>
      </c>
      <c r="S10" s="249"/>
      <c r="T10" s="188">
        <f t="shared" si="13"/>
        <v>0.3371212121212121</v>
      </c>
      <c r="U10" s="197">
        <f t="shared" si="14"/>
        <v>0.56818181818181823</v>
      </c>
      <c r="V10" s="195">
        <f t="shared" si="15"/>
        <v>0.57954545454545459</v>
      </c>
      <c r="W10" s="196">
        <f t="shared" si="16"/>
        <v>0.64393939393939403</v>
      </c>
    </row>
    <row r="11" spans="1:23" x14ac:dyDescent="0.3">
      <c r="A11" s="225">
        <f ca="1">MAX(10,5*ROWS(A$3:$B11)+RANDBETWEEN(-20,20))</f>
        <v>34</v>
      </c>
      <c r="B11" s="222">
        <v>36</v>
      </c>
      <c r="C11" s="219">
        <v>9</v>
      </c>
      <c r="D11" s="185" t="s">
        <v>8</v>
      </c>
      <c r="E11" s="186">
        <f t="shared" si="2"/>
        <v>36</v>
      </c>
      <c r="F11" s="202">
        <f t="shared" si="0"/>
        <v>29.166666666666668</v>
      </c>
      <c r="G11" s="203">
        <f t="shared" si="1"/>
        <v>44</v>
      </c>
      <c r="H11" s="204">
        <f t="shared" si="3"/>
        <v>31.5</v>
      </c>
      <c r="I11" s="205">
        <f t="shared" si="6"/>
        <v>27</v>
      </c>
      <c r="J11" s="188">
        <f t="shared" si="4"/>
        <v>6.8333333333333321</v>
      </c>
      <c r="K11" s="189">
        <f t="shared" si="5"/>
        <v>8</v>
      </c>
      <c r="L11" s="195">
        <f t="shared" si="8"/>
        <v>4.5</v>
      </c>
      <c r="M11" s="196">
        <f t="shared" si="9"/>
        <v>9</v>
      </c>
      <c r="N11" s="248"/>
      <c r="O11" s="188">
        <f t="shared" si="10"/>
        <v>46.694444444444429</v>
      </c>
      <c r="P11" s="197">
        <f t="shared" si="7"/>
        <v>64</v>
      </c>
      <c r="Q11" s="195">
        <f t="shared" si="11"/>
        <v>20.25</v>
      </c>
      <c r="R11" s="196">
        <f t="shared" si="12"/>
        <v>81</v>
      </c>
      <c r="S11" s="249"/>
      <c r="T11" s="188">
        <f t="shared" si="13"/>
        <v>0.18981481481481477</v>
      </c>
      <c r="U11" s="197">
        <f t="shared" si="14"/>
        <v>0.22222222222222221</v>
      </c>
      <c r="V11" s="195">
        <f t="shared" si="15"/>
        <v>0.125</v>
      </c>
      <c r="W11" s="196">
        <f t="shared" si="16"/>
        <v>0.25</v>
      </c>
    </row>
    <row r="12" spans="1:23" x14ac:dyDescent="0.3">
      <c r="A12" s="225">
        <f ca="1">MAX(10,5*ROWS(A$3:$B12)+RANDBETWEEN(-20,20))</f>
        <v>52</v>
      </c>
      <c r="B12" s="222">
        <v>56</v>
      </c>
      <c r="C12" s="219">
        <v>10</v>
      </c>
      <c r="D12" s="185" t="s">
        <v>9</v>
      </c>
      <c r="E12" s="186">
        <f t="shared" si="2"/>
        <v>56</v>
      </c>
      <c r="F12" s="202">
        <f t="shared" si="0"/>
        <v>29.166666666666668</v>
      </c>
      <c r="G12" s="203">
        <f t="shared" si="1"/>
        <v>36</v>
      </c>
      <c r="H12" s="204">
        <f t="shared" si="3"/>
        <v>40</v>
      </c>
      <c r="I12" s="205">
        <f t="shared" si="6"/>
        <v>33</v>
      </c>
      <c r="J12" s="188">
        <f t="shared" si="4"/>
        <v>26.833333333333332</v>
      </c>
      <c r="K12" s="189">
        <f t="shared" si="5"/>
        <v>20</v>
      </c>
      <c r="L12" s="195">
        <f t="shared" si="8"/>
        <v>16</v>
      </c>
      <c r="M12" s="196">
        <f t="shared" si="9"/>
        <v>23</v>
      </c>
      <c r="N12" s="248"/>
      <c r="O12" s="188">
        <f t="shared" si="10"/>
        <v>720.02777777777771</v>
      </c>
      <c r="P12" s="197">
        <f t="shared" si="7"/>
        <v>400</v>
      </c>
      <c r="Q12" s="195">
        <f t="shared" si="11"/>
        <v>256</v>
      </c>
      <c r="R12" s="196">
        <f t="shared" si="12"/>
        <v>529</v>
      </c>
      <c r="S12" s="249"/>
      <c r="T12" s="188">
        <f t="shared" si="13"/>
        <v>0.47916666666666663</v>
      </c>
      <c r="U12" s="197">
        <f t="shared" si="14"/>
        <v>0.35714285714285715</v>
      </c>
      <c r="V12" s="195">
        <f t="shared" si="15"/>
        <v>0.2857142857142857</v>
      </c>
      <c r="W12" s="196">
        <f t="shared" si="16"/>
        <v>0.4107142857142857</v>
      </c>
    </row>
    <row r="13" spans="1:23" x14ac:dyDescent="0.3">
      <c r="A13" s="225">
        <f ca="1">MAX(10,5*ROWS(A$3:$B13)+RANDBETWEEN(-20,20))</f>
        <v>48</v>
      </c>
      <c r="B13" s="222">
        <v>49</v>
      </c>
      <c r="C13" s="219">
        <v>11</v>
      </c>
      <c r="D13" s="185" t="s">
        <v>10</v>
      </c>
      <c r="E13" s="186">
        <f t="shared" si="2"/>
        <v>49</v>
      </c>
      <c r="F13" s="202">
        <f t="shared" si="0"/>
        <v>29.166666666666668</v>
      </c>
      <c r="G13" s="203">
        <f t="shared" si="1"/>
        <v>56</v>
      </c>
      <c r="H13" s="204">
        <f t="shared" si="3"/>
        <v>46</v>
      </c>
      <c r="I13" s="205">
        <f t="shared" si="6"/>
        <v>45.333333333333336</v>
      </c>
      <c r="J13" s="188">
        <f t="shared" si="4"/>
        <v>19.833333333333332</v>
      </c>
      <c r="K13" s="189">
        <f t="shared" si="5"/>
        <v>7</v>
      </c>
      <c r="L13" s="195">
        <f t="shared" si="8"/>
        <v>3</v>
      </c>
      <c r="M13" s="196">
        <f t="shared" si="9"/>
        <v>3.6666666666666643</v>
      </c>
      <c r="N13" s="248"/>
      <c r="O13" s="188">
        <f t="shared" si="10"/>
        <v>393.36111111111109</v>
      </c>
      <c r="P13" s="197">
        <f t="shared" si="7"/>
        <v>49</v>
      </c>
      <c r="Q13" s="195">
        <f t="shared" si="11"/>
        <v>9</v>
      </c>
      <c r="R13" s="196">
        <f t="shared" si="12"/>
        <v>13.444444444444427</v>
      </c>
      <c r="S13" s="249"/>
      <c r="T13" s="188">
        <f t="shared" si="13"/>
        <v>0.40476190476190471</v>
      </c>
      <c r="U13" s="197">
        <f t="shared" si="14"/>
        <v>0.14285714285714285</v>
      </c>
      <c r="V13" s="195">
        <f t="shared" si="15"/>
        <v>6.1224489795918366E-2</v>
      </c>
      <c r="W13" s="196">
        <f t="shared" si="16"/>
        <v>7.4829931972789074E-2</v>
      </c>
    </row>
    <row r="14" spans="1:23" ht="17.25" thickBot="1" x14ac:dyDescent="0.35">
      <c r="A14" s="226">
        <f ca="1">MAX(10,5*ROWS(A$3:$B14)+RANDBETWEEN(-20,20))</f>
        <v>79</v>
      </c>
      <c r="B14" s="223">
        <v>75</v>
      </c>
      <c r="C14" s="220">
        <v>12</v>
      </c>
      <c r="D14" s="206" t="s">
        <v>11</v>
      </c>
      <c r="E14" s="207">
        <f>B14</f>
        <v>75</v>
      </c>
      <c r="F14" s="208">
        <f t="shared" si="0"/>
        <v>29.166666666666668</v>
      </c>
      <c r="G14" s="209">
        <f t="shared" si="1"/>
        <v>49</v>
      </c>
      <c r="H14" s="210">
        <f t="shared" si="3"/>
        <v>52.5</v>
      </c>
      <c r="I14" s="211">
        <f t="shared" si="6"/>
        <v>47</v>
      </c>
      <c r="J14" s="250">
        <f t="shared" si="4"/>
        <v>45.833333333333329</v>
      </c>
      <c r="K14" s="251">
        <f t="shared" si="5"/>
        <v>26</v>
      </c>
      <c r="L14" s="252">
        <f t="shared" si="8"/>
        <v>22.5</v>
      </c>
      <c r="M14" s="253">
        <f t="shared" si="9"/>
        <v>28</v>
      </c>
      <c r="N14" s="254"/>
      <c r="O14" s="250">
        <f t="shared" si="10"/>
        <v>2100.6944444444439</v>
      </c>
      <c r="P14" s="255">
        <f t="shared" si="7"/>
        <v>676</v>
      </c>
      <c r="Q14" s="252">
        <f t="shared" si="11"/>
        <v>506.25</v>
      </c>
      <c r="R14" s="253">
        <f t="shared" si="12"/>
        <v>784</v>
      </c>
      <c r="S14" s="256"/>
      <c r="T14" s="250">
        <f t="shared" si="13"/>
        <v>0.61111111111111105</v>
      </c>
      <c r="U14" s="255">
        <f t="shared" ref="U14" si="17">ABS(E14-G14)/E14</f>
        <v>0.34666666666666668</v>
      </c>
      <c r="V14" s="252">
        <f t="shared" si="15"/>
        <v>0.3</v>
      </c>
      <c r="W14" s="253">
        <f t="shared" si="16"/>
        <v>0.37333333333333335</v>
      </c>
    </row>
    <row r="15" spans="1:23" ht="17.25" thickBot="1" x14ac:dyDescent="0.35">
      <c r="A15" s="172"/>
      <c r="C15" s="173">
        <v>13</v>
      </c>
      <c r="D15" s="173"/>
      <c r="E15" s="172"/>
      <c r="F15" s="212">
        <f t="shared" si="0"/>
        <v>29.166666666666668</v>
      </c>
      <c r="G15" s="209">
        <f t="shared" si="1"/>
        <v>75</v>
      </c>
      <c r="H15" s="210">
        <f t="shared" si="3"/>
        <v>62</v>
      </c>
      <c r="I15" s="211">
        <f t="shared" si="6"/>
        <v>60</v>
      </c>
      <c r="J15" s="407" t="s">
        <v>143</v>
      </c>
      <c r="K15" s="408"/>
      <c r="L15" s="408"/>
      <c r="M15" s="409"/>
      <c r="O15" s="407" t="s">
        <v>144</v>
      </c>
      <c r="P15" s="408"/>
      <c r="Q15" s="408"/>
      <c r="R15" s="409"/>
      <c r="T15" s="407" t="s">
        <v>145</v>
      </c>
      <c r="U15" s="408"/>
      <c r="V15" s="408"/>
      <c r="W15" s="409"/>
    </row>
    <row r="16" spans="1:23" ht="17.25" thickBot="1" x14ac:dyDescent="0.35">
      <c r="A16" s="172"/>
      <c r="C16" s="173"/>
      <c r="D16" s="173"/>
      <c r="E16" s="173"/>
      <c r="F16" s="173"/>
      <c r="G16" s="174"/>
      <c r="H16" s="173"/>
      <c r="I16" s="194"/>
      <c r="J16" s="213">
        <f>AVERAGE(J6:J14)</f>
        <v>19.314814814814813</v>
      </c>
      <c r="K16" s="214">
        <f>AVERAGE(K6:K14)</f>
        <v>10.888888888888889</v>
      </c>
      <c r="L16" s="215">
        <f>AVERAGE(L6:L14)</f>
        <v>9.7222222222222214</v>
      </c>
      <c r="M16" s="216">
        <f>AVERAGE(M6:M14)</f>
        <v>11.925925925925927</v>
      </c>
      <c r="O16" s="213">
        <f>AVERAGE(O6:O14)</f>
        <v>493.73148148148135</v>
      </c>
      <c r="P16" s="214">
        <f>AVERAGE(P6:P14)</f>
        <v>209.77777777777777</v>
      </c>
      <c r="Q16" s="215">
        <f>AVERAGE(Q6:Q14)</f>
        <v>170.58333333333334</v>
      </c>
      <c r="R16" s="216">
        <f>AVERAGE(R6:R14)</f>
        <v>255.70370370370372</v>
      </c>
      <c r="T16" s="213">
        <f>AVERAGE(T6:T14)</f>
        <v>0.77897412583085102</v>
      </c>
      <c r="U16" s="214">
        <f>AVERAGE(U6:U14)</f>
        <v>0.2704607478291689</v>
      </c>
      <c r="V16" s="215">
        <f>AVERAGE(V6:V14)</f>
        <v>0.26212072991521607</v>
      </c>
      <c r="W16" s="216">
        <f t="shared" ref="W16" si="18">AVERAGE(W6:W14)</f>
        <v>0.25278212968689157</v>
      </c>
    </row>
    <row r="17" spans="1:23" ht="17.25" thickBot="1" x14ac:dyDescent="0.35">
      <c r="G17" s="174"/>
      <c r="I17" s="194"/>
      <c r="J17" s="213" t="str">
        <f>IF(J16=$J$18,"Best"," ")</f>
        <v xml:space="preserve"> </v>
      </c>
      <c r="K17" s="214" t="str">
        <f t="shared" ref="K17:M17" si="19">IF(K16=$J$18,"Best"," ")</f>
        <v xml:space="preserve"> </v>
      </c>
      <c r="L17" s="215" t="str">
        <f t="shared" si="19"/>
        <v>Best</v>
      </c>
      <c r="M17" s="216" t="str">
        <f t="shared" si="19"/>
        <v xml:space="preserve"> </v>
      </c>
      <c r="O17" s="213" t="str">
        <f>IF(O16=$O$18,"Best"," ")</f>
        <v xml:space="preserve"> </v>
      </c>
      <c r="P17" s="214" t="str">
        <f t="shared" ref="P17:R17" si="20">IF(P16=$O$18,"Best"," ")</f>
        <v xml:space="preserve"> </v>
      </c>
      <c r="Q17" s="215" t="str">
        <f t="shared" si="20"/>
        <v>Best</v>
      </c>
      <c r="R17" s="216" t="str">
        <f t="shared" si="20"/>
        <v xml:space="preserve"> </v>
      </c>
      <c r="T17" s="213" t="str">
        <f>IF(T16=$T$18,"Best"," ")</f>
        <v xml:space="preserve"> </v>
      </c>
      <c r="U17" s="214" t="str">
        <f>IF(U16=$T$18,"Best"," ")</f>
        <v xml:space="preserve"> </v>
      </c>
      <c r="V17" s="215" t="str">
        <f>IF(V16=$T$18,"Best"," ")</f>
        <v xml:space="preserve"> </v>
      </c>
      <c r="W17" s="216" t="str">
        <f t="shared" ref="W17" si="21">IF(W16=$T$18,"Best"," ")</f>
        <v>Best</v>
      </c>
    </row>
    <row r="18" spans="1:23" x14ac:dyDescent="0.3">
      <c r="J18" s="217">
        <f>MIN(J16:M16)</f>
        <v>9.7222222222222214</v>
      </c>
      <c r="O18" s="217">
        <f>MIN(O16:R16)</f>
        <v>170.58333333333334</v>
      </c>
      <c r="T18" s="217">
        <f>MIN(T16:W16)</f>
        <v>0.25278212968689157</v>
      </c>
    </row>
    <row r="19" spans="1:23" x14ac:dyDescent="0.3">
      <c r="A19" s="350" t="s">
        <v>169</v>
      </c>
    </row>
    <row r="20" spans="1:23" x14ac:dyDescent="0.3">
      <c r="A20" s="350"/>
    </row>
    <row r="23" spans="1:23" x14ac:dyDescent="0.3">
      <c r="J23" s="171" t="s">
        <v>175</v>
      </c>
      <c r="K23" s="171" t="str">
        <f ca="1">_xlfn.FORMULATEXT(F6)</f>
        <v>=AVERAGE($E$3:$E$14)</v>
      </c>
    </row>
    <row r="24" spans="1:23" x14ac:dyDescent="0.3">
      <c r="J24" s="171" t="s">
        <v>176</v>
      </c>
      <c r="K24" s="171" t="str">
        <f ca="1">_xlfn.FORMULATEXT(G6)</f>
        <v>=E5</v>
      </c>
    </row>
    <row r="25" spans="1:23" x14ac:dyDescent="0.3">
      <c r="J25" s="171" t="s">
        <v>177</v>
      </c>
      <c r="K25" s="171" t="str">
        <f ca="1">_xlfn.FORMULATEXT(H6)</f>
        <v>=AVERAGE(E4:E5)</v>
      </c>
    </row>
    <row r="26" spans="1:23" x14ac:dyDescent="0.3">
      <c r="J26" s="171" t="s">
        <v>178</v>
      </c>
      <c r="K26" s="171" t="str">
        <f ca="1">_xlfn.FORMULATEXT(I6)</f>
        <v>=AVERAGE(E3:E5)</v>
      </c>
    </row>
  </sheetData>
  <sortState ref="B2:Q18">
    <sortCondition ref="E4:E14"/>
  </sortState>
  <mergeCells count="6">
    <mergeCell ref="J15:M15"/>
    <mergeCell ref="O15:R15"/>
    <mergeCell ref="J1:M1"/>
    <mergeCell ref="O1:R1"/>
    <mergeCell ref="T1:W1"/>
    <mergeCell ref="T15:W15"/>
  </mergeCells>
  <hyperlinks>
    <hyperlink ref="A19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workbookViewId="0">
      <selection activeCell="J21" sqref="J21"/>
    </sheetView>
  </sheetViews>
  <sheetFormatPr defaultRowHeight="15" x14ac:dyDescent="0.25"/>
  <cols>
    <col min="1" max="1" width="5" bestFit="1" customWidth="1"/>
    <col min="2" max="2" width="5.7109375" bestFit="1" customWidth="1"/>
    <col min="3" max="3" width="12" bestFit="1" customWidth="1"/>
    <col min="4" max="10" width="12" customWidth="1"/>
    <col min="11" max="11" width="11.7109375" customWidth="1"/>
    <col min="12" max="16" width="11.7109375" bestFit="1" customWidth="1"/>
    <col min="17" max="17" width="12" bestFit="1" customWidth="1"/>
    <col min="18" max="19" width="11.7109375" bestFit="1" customWidth="1"/>
    <col min="20" max="21" width="12.7109375" bestFit="1" customWidth="1"/>
    <col min="23" max="23" width="8.42578125" bestFit="1" customWidth="1"/>
  </cols>
  <sheetData>
    <row r="1" spans="1:21" x14ac:dyDescent="0.25">
      <c r="B1">
        <v>7</v>
      </c>
      <c r="D1" t="s">
        <v>168</v>
      </c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</row>
    <row r="2" spans="1:21" x14ac:dyDescent="0.25">
      <c r="A2" s="348" t="s">
        <v>167</v>
      </c>
      <c r="B2" s="348" t="s">
        <v>166</v>
      </c>
    </row>
    <row r="3" spans="1:21" x14ac:dyDescent="0.25">
      <c r="A3" s="347">
        <v>1</v>
      </c>
      <c r="B3" s="347">
        <v>2</v>
      </c>
      <c r="D3" t="str">
        <f>IF(A3&gt;=$B$1,AVERAGE(B3:INDEX($B$3:$B$52,A3-$B$1+1)),"")</f>
        <v/>
      </c>
      <c r="E3" t="str">
        <f>IF(ROW(B3)-$B$1-1&gt;0,AVERAGE(B3:INDEX($B$3:$B$52,ROW(B3)-$B$1-1)),"")</f>
        <v/>
      </c>
      <c r="F3" t="str">
        <f>IF(A3&gt;=$B$1,AVERAGE(B3:INDEX($B$3:$B$52,A3-$B$1+1)),"")</f>
        <v/>
      </c>
      <c r="G3" t="str">
        <f>IF(A3&gt;=$B$1,AVERAGE(B3:INDEX($B$3:$B$52,ROWS($B$3:B3)-$B$1+1)),"")</f>
        <v/>
      </c>
    </row>
    <row r="4" spans="1:21" x14ac:dyDescent="0.25">
      <c r="A4" s="347">
        <v>2</v>
      </c>
      <c r="B4" s="347">
        <v>2</v>
      </c>
      <c r="C4" t="str">
        <f>IF(A4&lt;$B$1,"",IF(A4=$B$1,AVERAGE(B$3:$B4),C3+(B4-INDEX($B$3:$B$52,A4-$B$1))/$B$1))</f>
        <v/>
      </c>
      <c r="D4" t="str">
        <f>IF(A4&gt;=$B$1,AVERAGE(B4:INDEX($B$3:$B$52,A4-$B$1+1)),"")</f>
        <v/>
      </c>
      <c r="E4" t="str">
        <f>IF(ROW(B4)-$B$1-1&gt;0,AVERAGE(B4:INDEX($B$3:$B$52,ROW(B4)-$B$1-1)),"")</f>
        <v/>
      </c>
      <c r="F4" t="str">
        <f>IF(A4&gt;=$B$1,AVERAGE(B4:INDEX($B$3:$B$52,A4-$B$1+1)),"")</f>
        <v/>
      </c>
      <c r="G4" t="str">
        <f>IF(A4&gt;=$B$1,AVERAGE(B4:INDEX($B$3:$B$52,ROWS($B$3:B4)-$B$1+1)),"")</f>
        <v/>
      </c>
    </row>
    <row r="5" spans="1:21" x14ac:dyDescent="0.25">
      <c r="A5" s="347">
        <v>3</v>
      </c>
      <c r="B5" s="347">
        <v>1</v>
      </c>
      <c r="C5" t="str">
        <f>IF(A5&lt;$B$1,"",IF(A5=$B$1,AVERAGE(B$3:$B5),C4+(B5-INDEX($B$3:$B$52,A5-$B$1))/$B$1))</f>
        <v/>
      </c>
      <c r="D5" t="str">
        <f>IF(A5&gt;=$B$1,AVERAGE(B5:INDEX($B$3:$B$52,A5-$B$1+1)),"")</f>
        <v/>
      </c>
      <c r="E5" t="str">
        <f>IF(ROW(B5)-$B$1-1&gt;0,AVERAGE(B5:INDEX($B$3:$B$52,ROW(B5)-$B$1-1)),"")</f>
        <v/>
      </c>
      <c r="F5" t="str">
        <f>IF(A5&gt;=$B$1,AVERAGE(B5:INDEX($B$3:$B$52,A5-$B$1+1)),"")</f>
        <v/>
      </c>
      <c r="G5" t="str">
        <f>IF(A5&gt;=$B$1,AVERAGE(B5:INDEX($B$3:$B$52,ROWS($B$3:B5)-$B$1+1)),"")</f>
        <v/>
      </c>
    </row>
    <row r="6" spans="1:21" x14ac:dyDescent="0.25">
      <c r="A6" s="347">
        <v>4</v>
      </c>
      <c r="B6" s="347">
        <v>0</v>
      </c>
      <c r="C6" t="str">
        <f>IF(A6&lt;$B$1,"",IF(A6=$B$1,AVERAGE(B$3:$B6),C5+(B6-INDEX($B$3:$B$52,A6-$B$1))/$B$1))</f>
        <v/>
      </c>
      <c r="D6" t="str">
        <f>IF(A6&gt;=$B$1,AVERAGE(B6:INDEX($B$3:$B$52,A6-$B$1+1)),"")</f>
        <v/>
      </c>
      <c r="E6" t="str">
        <f>IF(ROW(B6)-$B$1-1&gt;0,AVERAGE(B6:INDEX($B$3:$B$52,ROW(B6)-$B$1-1)),"")</f>
        <v/>
      </c>
      <c r="F6" t="str">
        <f>IF(A6&gt;=$B$1,AVERAGE(B6:INDEX($B$3:$B$52,A6-$B$1+1)),"")</f>
        <v/>
      </c>
      <c r="G6" t="str">
        <f>IF(A6&gt;=$B$1,AVERAGE(B6:INDEX($B$3:$B$52,ROWS($B$3:B6)-$B$1+1)),"")</f>
        <v/>
      </c>
    </row>
    <row r="7" spans="1:21" x14ac:dyDescent="0.25">
      <c r="A7" s="347">
        <v>5</v>
      </c>
      <c r="B7" s="347">
        <v>2</v>
      </c>
      <c r="C7" t="str">
        <f>IF(A7&lt;$B$1,"",IF(A7=$B$1,AVERAGE(B$3:$B7),C6+(B7-INDEX($B$3:$B$52,A7-$B$1))/$B$1))</f>
        <v/>
      </c>
      <c r="D7" t="str">
        <f>IF(A7&gt;=$B$1,AVERAGE(B7:INDEX($B$3:$B$52,A7-$B$1+1)),"")</f>
        <v/>
      </c>
      <c r="E7" t="str">
        <f>IF(ROW(B7)-$B$1-1&gt;0,AVERAGE(B7:INDEX($B$3:$B$52,ROW(B7)-$B$1-1)),"")</f>
        <v/>
      </c>
      <c r="F7" t="str">
        <f>IF(A7&gt;=$B$1,AVERAGE(B7:INDEX($B$3:$B$52,A7-$B$1+1)),"")</f>
        <v/>
      </c>
      <c r="G7" t="str">
        <f>IF(A7&gt;=$B$1,AVERAGE(B7:INDEX($B$3:$B$52,ROWS($B$3:B7)-$B$1+1)),"")</f>
        <v/>
      </c>
    </row>
    <row r="8" spans="1:21" x14ac:dyDescent="0.25">
      <c r="A8" s="347">
        <v>6</v>
      </c>
      <c r="B8" s="347">
        <v>1</v>
      </c>
      <c r="C8" t="str">
        <f>IF(A8&lt;$B$1,"",IF(A8=$B$1,AVERAGE(B$3:$B8),C7+(B8-INDEX($B$3:$B$52,A8-$B$1))/$B$1))</f>
        <v/>
      </c>
      <c r="D8" t="str">
        <f>IF(A8&gt;=$B$1,AVERAGE(B8:INDEX($B$3:$B$52,A8-$B$1+1)),"")</f>
        <v/>
      </c>
      <c r="E8" t="str">
        <f>IF(ROW(B8)-$B$1-1&gt;0,AVERAGE(B8:INDEX($B$3:$B$52,ROW(B8)-$B$1-1)),"")</f>
        <v/>
      </c>
      <c r="F8" t="str">
        <f>IF(A8&gt;=$B$1,AVERAGE(B8:INDEX($B$3:$B$52,A8-$B$1+1)),"")</f>
        <v/>
      </c>
      <c r="G8" t="str">
        <f>IF(A8&gt;=$B$1,AVERAGE(B8:INDEX($B$3:$B$52,ROWS($B$3:B8)-$B$1+1)),"")</f>
        <v/>
      </c>
    </row>
    <row r="9" spans="1:21" x14ac:dyDescent="0.25">
      <c r="A9" s="347">
        <v>7</v>
      </c>
      <c r="B9" s="347">
        <v>0</v>
      </c>
      <c r="C9">
        <f>IF(A9&lt;$B$1,"",IF(A9=$B$1,AVERAGE(B$3:$B9),C8+(B9-INDEX($B$3:$B$52,A9-$B$1))/$B$1))</f>
        <v>1.1428571428571428</v>
      </c>
      <c r="D9">
        <f>IF(A9&gt;=$B$1,AVERAGE(B9:INDEX($B$3:$B$52,A9-$B$1+1)),"")</f>
        <v>1.1428571428571428</v>
      </c>
      <c r="E9">
        <f>IF(ROW(B9)-$B$1-1&gt;0,AVERAGE(B9:INDEX($B$3:$B$52,ROW(B9)-$B$1-1)),"")</f>
        <v>1.1428571428571428</v>
      </c>
      <c r="F9">
        <f>IF(A9&gt;=$B$1,AVERAGE(B9:INDEX($B$3:$B$52,A9-$B$1+1)),"")</f>
        <v>1.1428571428571428</v>
      </c>
      <c r="G9">
        <f>IF(A9&gt;=$B$1,AVERAGE(B9:INDEX($B$3:$B$52,ROWS($B$3:B9)-$B$1+1)),"")</f>
        <v>1.1428571428571428</v>
      </c>
    </row>
    <row r="10" spans="1:21" x14ac:dyDescent="0.25">
      <c r="A10" s="347">
        <v>8</v>
      </c>
      <c r="B10" s="347">
        <v>0</v>
      </c>
      <c r="C10">
        <f>IF(A10&lt;$B$1,"",IF(A10=$B$1,AVERAGE(B$3:$B10),C9+(B10-INDEX($B$3:$B$52,A10-$B$1))/$B$1))</f>
        <v>0.8571428571428571</v>
      </c>
      <c r="D10">
        <f>IF(A10&gt;=$B$1,AVERAGE(B10:INDEX($B$3:$B$52,A10-$B$1+1)),"")</f>
        <v>0.8571428571428571</v>
      </c>
      <c r="E10">
        <f>IF(ROW(B10)-$B$1-1&gt;0,AVERAGE(B10:INDEX($B$3:$B$52,ROW(B10)-$B$1-1)),"")</f>
        <v>0.8571428571428571</v>
      </c>
      <c r="F10">
        <f>IF(A10&gt;=$B$1,AVERAGE(B10:INDEX($B$3:$B$52,A10-$B$1+1)),"")</f>
        <v>0.8571428571428571</v>
      </c>
      <c r="G10">
        <f>IF(A10&gt;=$B$1,AVERAGE(B10:INDEX($B$3:$B$52,ROWS($B$3:B10)-$B$1+1)),"")</f>
        <v>0.8571428571428571</v>
      </c>
    </row>
    <row r="11" spans="1:21" x14ac:dyDescent="0.25">
      <c r="A11" s="347">
        <v>9</v>
      </c>
      <c r="B11" s="347">
        <v>3</v>
      </c>
      <c r="C11">
        <f>IF(A11&lt;$B$1,"",IF(A11=$B$1,AVERAGE(B$3:$B11),C10+(B11-INDEX($B$3:$B$52,A11-$B$1))/$B$1))</f>
        <v>1</v>
      </c>
      <c r="D11">
        <f>IF(A11&gt;=$B$1,AVERAGE(B11:INDEX($B$3:$B$52,A11-$B$1+1)),"")</f>
        <v>1</v>
      </c>
      <c r="E11">
        <f>IF(ROW(B11)-$B$1-1&gt;0,AVERAGE(B11:INDEX($B$3:$B$52,ROW(B11)-$B$1-1)),"")</f>
        <v>1</v>
      </c>
      <c r="F11">
        <f>IF(A11&gt;=$B$1,AVERAGE(B11:INDEX($B$3:$B$52,A11-$B$1+1)),"")</f>
        <v>1</v>
      </c>
      <c r="G11">
        <f>IF(A11&gt;=$B$1,AVERAGE(B11:INDEX($B$3:$B$52,ROWS($B$3:B11)-$B$1+1)),"")</f>
        <v>1</v>
      </c>
    </row>
    <row r="12" spans="1:21" x14ac:dyDescent="0.25">
      <c r="A12" s="347">
        <v>10</v>
      </c>
      <c r="B12" s="347">
        <v>4</v>
      </c>
      <c r="C12">
        <f>IF(A12&lt;$B$1,"",IF(A12=$B$1,AVERAGE(B$3:$B12),C11+(B12-INDEX($B$3:$B$52,A12-$B$1))/$B$1))</f>
        <v>1.4285714285714286</v>
      </c>
      <c r="D12">
        <f>IF(A12&gt;=$B$1,AVERAGE(B12:INDEX($B$3:$B$52,A12-$B$1+1)),"")</f>
        <v>1.4285714285714286</v>
      </c>
      <c r="E12">
        <f>IF(ROW(B12)-$B$1-1&gt;0,AVERAGE(B12:INDEX($B$3:$B$52,ROW(B12)-$B$1-1)),"")</f>
        <v>1.4285714285714286</v>
      </c>
      <c r="F12">
        <f>IF(A12&gt;=$B$1,AVERAGE(B12:INDEX($B$3:$B$52,A12-$B$1+1)),"")</f>
        <v>1.4285714285714286</v>
      </c>
      <c r="G12">
        <f>IF(A12&gt;=$B$1,AVERAGE(B12:INDEX($B$3:$B$52,ROWS($B$3:B12)-$B$1+1)),"")</f>
        <v>1.4285714285714286</v>
      </c>
    </row>
    <row r="13" spans="1:21" x14ac:dyDescent="0.25">
      <c r="A13" s="347">
        <v>11</v>
      </c>
      <c r="B13" s="347">
        <v>0</v>
      </c>
      <c r="C13">
        <f>IF(A13&lt;$B$1,"",IF(A13=$B$1,AVERAGE(B$3:$B13),C12+(B13-INDEX($B$3:$B$52,A13-$B$1))/$B$1))</f>
        <v>1.4285714285714286</v>
      </c>
      <c r="D13">
        <f>IF(A13&gt;=$B$1,AVERAGE(B13:INDEX($B$3:$B$52,A13-$B$1+1)),"")</f>
        <v>1.4285714285714286</v>
      </c>
      <c r="E13">
        <f>IF(ROW(B13)-$B$1-1&gt;0,AVERAGE(B13:INDEX($B$3:$B$52,ROW(B13)-$B$1-1)),"")</f>
        <v>1.4285714285714286</v>
      </c>
      <c r="F13">
        <f>IF(A13&gt;=$B$1,AVERAGE(B13:INDEX($B$3:$B$52,A13-$B$1+1)),"")</f>
        <v>1.4285714285714286</v>
      </c>
      <c r="G13">
        <f>IF(A13&gt;=$B$1,AVERAGE(B13:INDEX($B$3:$B$52,ROWS($B$3:B13)-$B$1+1)),"")</f>
        <v>1.4285714285714286</v>
      </c>
    </row>
    <row r="14" spans="1:21" x14ac:dyDescent="0.25">
      <c r="A14" s="347">
        <v>12</v>
      </c>
      <c r="B14" s="347">
        <v>1</v>
      </c>
      <c r="C14">
        <f>IF(A14&lt;$B$1,"",IF(A14=$B$1,AVERAGE(B$3:$B14),C13+(B14-INDEX($B$3:$B$52,A14-$B$1))/$B$1))</f>
        <v>1.2857142857142858</v>
      </c>
      <c r="D14">
        <f>IF(A14&gt;=$B$1,AVERAGE(B14:INDEX($B$3:$B$52,A14-$B$1+1)),"")</f>
        <v>1.2857142857142858</v>
      </c>
      <c r="E14">
        <f>IF(ROW(B14)-$B$1-1&gt;0,AVERAGE(B14:INDEX($B$3:$B$52,ROW(B14)-$B$1-1)),"")</f>
        <v>1.2857142857142858</v>
      </c>
      <c r="F14">
        <f>IF(A14&gt;=$B$1,AVERAGE(B14:INDEX($B$3:$B$52,A14-$B$1+1)),"")</f>
        <v>1.2857142857142858</v>
      </c>
      <c r="G14">
        <f>IF(A14&gt;=$B$1,AVERAGE(B14:INDEX($B$3:$B$52,ROWS($B$3:B14)-$B$1+1)),"")</f>
        <v>1.2857142857142858</v>
      </c>
    </row>
    <row r="15" spans="1:21" x14ac:dyDescent="0.25">
      <c r="A15" s="347">
        <v>13</v>
      </c>
      <c r="B15" s="347">
        <v>3</v>
      </c>
      <c r="C15">
        <f>IF(A15&lt;$B$1,"",IF(A15=$B$1,AVERAGE(B$3:$B15),C14+(B15-INDEX($B$3:$B$52,A15-$B$1))/$B$1))</f>
        <v>1.5714285714285716</v>
      </c>
      <c r="D15">
        <f>IF(A15&gt;=$B$1,AVERAGE(B15:INDEX($B$3:$B$52,A15-$B$1+1)),"")</f>
        <v>1.5714285714285714</v>
      </c>
      <c r="E15">
        <f>IF(ROW(B15)-$B$1-1&gt;0,AVERAGE(B15:INDEX($B$3:$B$52,ROW(B15)-$B$1-1)),"")</f>
        <v>1.5714285714285714</v>
      </c>
      <c r="F15">
        <f>IF(A15&gt;=$B$1,AVERAGE(B15:INDEX($B$3:$B$52,A15-$B$1+1)),"")</f>
        <v>1.5714285714285714</v>
      </c>
      <c r="G15">
        <f>IF(A15&gt;=$B$1,AVERAGE(B15:INDEX($B$3:$B$52,ROWS($B$3:B15)-$B$1+1)),"")</f>
        <v>1.5714285714285714</v>
      </c>
    </row>
    <row r="16" spans="1:21" x14ac:dyDescent="0.25">
      <c r="A16" s="347">
        <v>14</v>
      </c>
      <c r="B16" s="347">
        <v>3</v>
      </c>
      <c r="C16">
        <f>IF(A16&lt;$B$1,"",IF(A16=$B$1,AVERAGE(B$3:$B16),C15+(B16-INDEX($B$3:$B$52,A16-$B$1))/$B$1))</f>
        <v>2</v>
      </c>
      <c r="D16">
        <f>IF(A16&gt;=$B$1,AVERAGE(B16:INDEX($B$3:$B$52,A16-$B$1+1)),"")</f>
        <v>2</v>
      </c>
      <c r="E16">
        <f>IF(ROW(B16)-$B$1-1&gt;0,AVERAGE(B16:INDEX($B$3:$B$52,ROW(B16)-$B$1-1)),"")</f>
        <v>2</v>
      </c>
      <c r="F16">
        <f>IF(A16&gt;=$B$1,AVERAGE(B16:INDEX($B$3:$B$52,A16-$B$1+1)),"")</f>
        <v>2</v>
      </c>
      <c r="G16">
        <f>IF(A16&gt;=$B$1,AVERAGE(B16:INDEX($B$3:$B$52,ROWS($B$3:B16)-$B$1+1)),"")</f>
        <v>2</v>
      </c>
    </row>
    <row r="17" spans="1:7" x14ac:dyDescent="0.25">
      <c r="A17" s="347">
        <v>15</v>
      </c>
      <c r="B17" s="347">
        <v>2</v>
      </c>
      <c r="C17">
        <f>IF(A17&lt;$B$1,"",IF(A17=$B$1,AVERAGE(B$3:$B17),C16+(B17-INDEX($B$3:$B$52,A17-$B$1))/$B$1))</f>
        <v>2.2857142857142856</v>
      </c>
      <c r="D17">
        <f>IF(A17&gt;=$B$1,AVERAGE(B17:INDEX($B$3:$B$52,A17-$B$1+1)),"")</f>
        <v>2.2857142857142856</v>
      </c>
      <c r="E17">
        <f>IF(ROW(B17)-$B$1-1&gt;0,AVERAGE(B17:INDEX($B$3:$B$52,ROW(B17)-$B$1-1)),"")</f>
        <v>2.2857142857142856</v>
      </c>
      <c r="F17">
        <f>IF(A17&gt;=$B$1,AVERAGE(B17:INDEX($B$3:$B$52,A17-$B$1+1)),"")</f>
        <v>2.2857142857142856</v>
      </c>
      <c r="G17">
        <f>IF(A17&gt;=$B$1,AVERAGE(B17:INDEX($B$3:$B$52,ROWS($B$3:B17)-$B$1+1)),"")</f>
        <v>2.2857142857142856</v>
      </c>
    </row>
    <row r="18" spans="1:7" x14ac:dyDescent="0.25">
      <c r="A18" s="347">
        <v>16</v>
      </c>
      <c r="B18" s="347">
        <v>1</v>
      </c>
      <c r="C18">
        <f>IF(A18&lt;$B$1,"",IF(A18=$B$1,AVERAGE(B$3:$B18),C17+(B18-INDEX($B$3:$B$52,A18-$B$1))/$B$1))</f>
        <v>2</v>
      </c>
      <c r="D18">
        <f>IF(A18&gt;=$B$1,AVERAGE(B18:INDEX($B$3:$B$52,A18-$B$1+1)),"")</f>
        <v>2</v>
      </c>
      <c r="E18">
        <f>IF(ROW(B18)-$B$1-1&gt;0,AVERAGE(B18:INDEX($B$3:$B$52,ROW(B18)-$B$1-1)),"")</f>
        <v>2</v>
      </c>
      <c r="F18">
        <f>IF(A18&gt;=$B$1,AVERAGE(B18:INDEX($B$3:$B$52,A18-$B$1+1)),"")</f>
        <v>2</v>
      </c>
      <c r="G18">
        <f>IF(A18&gt;=$B$1,AVERAGE(B18:INDEX($B$3:$B$52,ROWS($B$3:B18)-$B$1+1)),"")</f>
        <v>2</v>
      </c>
    </row>
    <row r="19" spans="1:7" x14ac:dyDescent="0.25">
      <c r="A19" s="347">
        <v>17</v>
      </c>
      <c r="B19" s="347">
        <v>6</v>
      </c>
      <c r="C19">
        <f>IF(A19&lt;$B$1,"",IF(A19=$B$1,AVERAGE(B$3:$B19),C18+(B19-INDEX($B$3:$B$52,A19-$B$1))/$B$1))</f>
        <v>2.2857142857142856</v>
      </c>
      <c r="D19">
        <f>IF(A19&gt;=$B$1,AVERAGE(B19:INDEX($B$3:$B$52,A19-$B$1+1)),"")</f>
        <v>2.2857142857142856</v>
      </c>
      <c r="E19">
        <f>IF(ROW(B19)-$B$1-1&gt;0,AVERAGE(B19:INDEX($B$3:$B$52,ROW(B19)-$B$1-1)),"")</f>
        <v>2.2857142857142856</v>
      </c>
      <c r="F19">
        <f>IF(A19&gt;=$B$1,AVERAGE(B19:INDEX($B$3:$B$52,A19-$B$1+1)),"")</f>
        <v>2.2857142857142856</v>
      </c>
      <c r="G19">
        <f>IF(A19&gt;=$B$1,AVERAGE(B19:INDEX($B$3:$B$52,ROWS($B$3:B19)-$B$1+1)),"")</f>
        <v>2.2857142857142856</v>
      </c>
    </row>
    <row r="20" spans="1:7" x14ac:dyDescent="0.25">
      <c r="A20" s="347">
        <v>18</v>
      </c>
      <c r="B20" s="347">
        <v>1</v>
      </c>
      <c r="C20">
        <f>IF(A20&lt;$B$1,"",IF(A20=$B$1,AVERAGE(B$3:$B20),C19+(B20-INDEX($B$3:$B$52,A20-$B$1))/$B$1))</f>
        <v>2.4285714285714284</v>
      </c>
      <c r="D20">
        <f>IF(A20&gt;=$B$1,AVERAGE(B20:INDEX($B$3:$B$52,A20-$B$1+1)),"")</f>
        <v>2.4285714285714284</v>
      </c>
      <c r="E20">
        <f>IF(ROW(B20)-$B$1-1&gt;0,AVERAGE(B20:INDEX($B$3:$B$52,ROW(B20)-$B$1-1)),"")</f>
        <v>2.4285714285714284</v>
      </c>
      <c r="F20">
        <f>IF(A20&gt;=$B$1,AVERAGE(B20:INDEX($B$3:$B$52,A20-$B$1+1)),"")</f>
        <v>2.4285714285714284</v>
      </c>
      <c r="G20">
        <f>IF(A20&gt;=$B$1,AVERAGE(B20:INDEX($B$3:$B$52,ROWS($B$3:B20)-$B$1+1)),"")</f>
        <v>2.4285714285714284</v>
      </c>
    </row>
    <row r="21" spans="1:7" x14ac:dyDescent="0.25">
      <c r="A21" s="347">
        <v>19</v>
      </c>
      <c r="B21" s="347">
        <v>2</v>
      </c>
      <c r="C21">
        <f>IF(A21&lt;$B$1,"",IF(A21=$B$1,AVERAGE(B$3:$B21),C20+(B21-INDEX($B$3:$B$52,A21-$B$1))/$B$1))</f>
        <v>2.5714285714285712</v>
      </c>
      <c r="D21">
        <f>IF(A21&gt;=$B$1,AVERAGE(B21:INDEX($B$3:$B$52,A21-$B$1+1)),"")</f>
        <v>2.5714285714285716</v>
      </c>
      <c r="E21">
        <f>IF(ROW(B21)-$B$1-1&gt;0,AVERAGE(B21:INDEX($B$3:$B$52,ROW(B21)-$B$1-1)),"")</f>
        <v>2.5714285714285716</v>
      </c>
      <c r="F21">
        <f>IF(A21&gt;=$B$1,AVERAGE(B21:INDEX($B$3:$B$52,A21-$B$1+1)),"")</f>
        <v>2.5714285714285716</v>
      </c>
      <c r="G21">
        <f>IF(A21&gt;=$B$1,AVERAGE(B21:INDEX($B$3:$B$52,ROWS($B$3:B21)-$B$1+1)),"")</f>
        <v>2.5714285714285716</v>
      </c>
    </row>
    <row r="22" spans="1:7" x14ac:dyDescent="0.25">
      <c r="A22" s="347">
        <v>20</v>
      </c>
      <c r="B22" s="347">
        <v>1</v>
      </c>
      <c r="C22">
        <f>IF(A22&lt;$B$1,"",IF(A22=$B$1,AVERAGE(B$3:$B22),C21+(B22-INDEX($B$3:$B$52,A22-$B$1))/$B$1))</f>
        <v>2.2857142857142856</v>
      </c>
      <c r="D22">
        <f>IF(A22&gt;=$B$1,AVERAGE(B22:INDEX($B$3:$B$52,A22-$B$1+1)),"")</f>
        <v>2.2857142857142856</v>
      </c>
      <c r="E22">
        <f>IF(ROW(B22)-$B$1-1&gt;0,AVERAGE(B22:INDEX($B$3:$B$52,ROW(B22)-$B$1-1)),"")</f>
        <v>2.2857142857142856</v>
      </c>
      <c r="F22">
        <f>IF(A22&gt;=$B$1,AVERAGE(B22:INDEX($B$3:$B$52,A22-$B$1+1)),"")</f>
        <v>2.2857142857142856</v>
      </c>
      <c r="G22">
        <f>IF(A22&gt;=$B$1,AVERAGE(B22:INDEX($B$3:$B$52,ROWS($B$3:B22)-$B$1+1)),"")</f>
        <v>2.2857142857142856</v>
      </c>
    </row>
    <row r="23" spans="1:7" x14ac:dyDescent="0.25">
      <c r="A23" s="347">
        <v>21</v>
      </c>
      <c r="B23" s="347">
        <v>2</v>
      </c>
      <c r="C23">
        <f>IF(A23&lt;$B$1,"",IF(A23=$B$1,AVERAGE(B$3:$B23),C22+(B23-INDEX($B$3:$B$52,A23-$B$1))/$B$1))</f>
        <v>2.1428571428571428</v>
      </c>
      <c r="D23">
        <f>IF(A23&gt;=$B$1,AVERAGE(B23:INDEX($B$3:$B$52,A23-$B$1+1)),"")</f>
        <v>2.1428571428571428</v>
      </c>
      <c r="E23">
        <f>IF(ROW(B23)-$B$1-1&gt;0,AVERAGE(B23:INDEX($B$3:$B$52,ROW(B23)-$B$1-1)),"")</f>
        <v>2.1428571428571428</v>
      </c>
      <c r="F23">
        <f>IF(A23&gt;=$B$1,AVERAGE(B23:INDEX($B$3:$B$52,A23-$B$1+1)),"")</f>
        <v>2.1428571428571428</v>
      </c>
      <c r="G23">
        <f>IF(A23&gt;=$B$1,AVERAGE(B23:INDEX($B$3:$B$52,ROWS($B$3:B23)-$B$1+1)),"")</f>
        <v>2.1428571428571428</v>
      </c>
    </row>
    <row r="24" spans="1:7" x14ac:dyDescent="0.25">
      <c r="A24" s="347">
        <v>22</v>
      </c>
      <c r="B24" s="347">
        <v>3</v>
      </c>
      <c r="C24">
        <f>IF(A24&lt;$B$1,"",IF(A24=$B$1,AVERAGE(B$3:$B24),C23+(B24-INDEX($B$3:$B$52,A24-$B$1))/$B$1))</f>
        <v>2.2857142857142856</v>
      </c>
      <c r="D24">
        <f>IF(A24&gt;=$B$1,AVERAGE(B24:INDEX($B$3:$B$52,A24-$B$1+1)),"")</f>
        <v>2.2857142857142856</v>
      </c>
      <c r="E24">
        <f>IF(ROW(B24)-$B$1-1&gt;0,AVERAGE(B24:INDEX($B$3:$B$52,ROW(B24)-$B$1-1)),"")</f>
        <v>2.2857142857142856</v>
      </c>
      <c r="F24">
        <f>IF(A24&gt;=$B$1,AVERAGE(B24:INDEX($B$3:$B$52,A24-$B$1+1)),"")</f>
        <v>2.2857142857142856</v>
      </c>
      <c r="G24">
        <f>IF(A24&gt;=$B$1,AVERAGE(B24:INDEX($B$3:$B$52,ROWS($B$3:B24)-$B$1+1)),"")</f>
        <v>2.2857142857142856</v>
      </c>
    </row>
    <row r="25" spans="1:7" x14ac:dyDescent="0.25">
      <c r="A25" s="347">
        <v>23</v>
      </c>
      <c r="B25" s="347">
        <v>3</v>
      </c>
      <c r="C25">
        <f>IF(A25&lt;$B$1,"",IF(A25=$B$1,AVERAGE(B$3:$B25),C24+(B25-INDEX($B$3:$B$52,A25-$B$1))/$B$1))</f>
        <v>2.5714285714285712</v>
      </c>
      <c r="D25">
        <f>IF(A25&gt;=$B$1,AVERAGE(B25:INDEX($B$3:$B$52,A25-$B$1+1)),"")</f>
        <v>2.5714285714285716</v>
      </c>
      <c r="E25">
        <f>IF(ROW(B25)-$B$1-1&gt;0,AVERAGE(B25:INDEX($B$3:$B$52,ROW(B25)-$B$1-1)),"")</f>
        <v>2.5714285714285716</v>
      </c>
      <c r="F25">
        <f>IF(A25&gt;=$B$1,AVERAGE(B25:INDEX($B$3:$B$52,A25-$B$1+1)),"")</f>
        <v>2.5714285714285716</v>
      </c>
      <c r="G25">
        <f>IF(A25&gt;=$B$1,AVERAGE(B25:INDEX($B$3:$B$52,ROWS($B$3:B25)-$B$1+1)),"")</f>
        <v>2.5714285714285716</v>
      </c>
    </row>
    <row r="26" spans="1:7" x14ac:dyDescent="0.25">
      <c r="A26" s="347">
        <v>24</v>
      </c>
      <c r="B26" s="347">
        <v>3</v>
      </c>
      <c r="C26">
        <f>IF(A26&lt;$B$1,"",IF(A26=$B$1,AVERAGE(B$3:$B26),C25+(B26-INDEX($B$3:$B$52,A26-$B$1))/$B$1))</f>
        <v>2.1428571428571428</v>
      </c>
      <c r="D26">
        <f>IF(A26&gt;=$B$1,AVERAGE(B26:INDEX($B$3:$B$52,A26-$B$1+1)),"")</f>
        <v>2.1428571428571428</v>
      </c>
      <c r="E26">
        <f>IF(ROW(B26)-$B$1-1&gt;0,AVERAGE(B26:INDEX($B$3:$B$52,ROW(B26)-$B$1-1)),"")</f>
        <v>2.1428571428571428</v>
      </c>
      <c r="F26">
        <f>IF(A26&gt;=$B$1,AVERAGE(B26:INDEX($B$3:$B$52,A26-$B$1+1)),"")</f>
        <v>2.1428571428571428</v>
      </c>
      <c r="G26">
        <f>IF(A26&gt;=$B$1,AVERAGE(B26:INDEX($B$3:$B$52,ROWS($B$3:B26)-$B$1+1)),"")</f>
        <v>2.1428571428571428</v>
      </c>
    </row>
    <row r="27" spans="1:7" x14ac:dyDescent="0.25">
      <c r="A27" s="347">
        <v>25</v>
      </c>
      <c r="B27" s="347">
        <v>3</v>
      </c>
      <c r="C27">
        <f>IF(A27&lt;$B$1,"",IF(A27=$B$1,AVERAGE(B$3:$B27),C26+(B27-INDEX($B$3:$B$52,A27-$B$1))/$B$1))</f>
        <v>2.4285714285714284</v>
      </c>
      <c r="D27">
        <f>IF(A27&gt;=$B$1,AVERAGE(B27:INDEX($B$3:$B$52,A27-$B$1+1)),"")</f>
        <v>2.4285714285714284</v>
      </c>
      <c r="E27">
        <f>IF(ROW(B27)-$B$1-1&gt;0,AVERAGE(B27:INDEX($B$3:$B$52,ROW(B27)-$B$1-1)),"")</f>
        <v>2.4285714285714284</v>
      </c>
      <c r="F27">
        <f>IF(A27&gt;=$B$1,AVERAGE(B27:INDEX($B$3:$B$52,A27-$B$1+1)),"")</f>
        <v>2.4285714285714284</v>
      </c>
      <c r="G27">
        <f>IF(A27&gt;=$B$1,AVERAGE(B27:INDEX($B$3:$B$52,ROWS($B$3:B27)-$B$1+1)),"")</f>
        <v>2.4285714285714284</v>
      </c>
    </row>
    <row r="28" spans="1:7" x14ac:dyDescent="0.25">
      <c r="A28" s="347">
        <v>26</v>
      </c>
      <c r="B28" s="347">
        <v>5</v>
      </c>
      <c r="C28">
        <f>IF(A28&lt;$B$1,"",IF(A28=$B$1,AVERAGE(B$3:$B28),C27+(B28-INDEX($B$3:$B$52,A28-$B$1))/$B$1))</f>
        <v>2.8571428571428568</v>
      </c>
      <c r="D28">
        <f>IF(A28&gt;=$B$1,AVERAGE(B28:INDEX($B$3:$B$52,A28-$B$1+1)),"")</f>
        <v>2.8571428571428572</v>
      </c>
      <c r="E28">
        <f>IF(ROW(B28)-$B$1-1&gt;0,AVERAGE(B28:INDEX($B$3:$B$52,ROW(B28)-$B$1-1)),"")</f>
        <v>2.8571428571428572</v>
      </c>
      <c r="F28">
        <f>IF(A28&gt;=$B$1,AVERAGE(B28:INDEX($B$3:$B$52,A28-$B$1+1)),"")</f>
        <v>2.8571428571428572</v>
      </c>
      <c r="G28">
        <f>IF(A28&gt;=$B$1,AVERAGE(B28:INDEX($B$3:$B$52,ROWS($B$3:B28)-$B$1+1)),"")</f>
        <v>2.8571428571428572</v>
      </c>
    </row>
    <row r="29" spans="1:7" x14ac:dyDescent="0.25">
      <c r="A29" s="347">
        <v>27</v>
      </c>
      <c r="B29" s="347">
        <v>4</v>
      </c>
      <c r="C29">
        <f>IF(A29&lt;$B$1,"",IF(A29=$B$1,AVERAGE(B$3:$B29),C28+(B29-INDEX($B$3:$B$52,A29-$B$1))/$B$1))</f>
        <v>3.2857142857142851</v>
      </c>
      <c r="D29">
        <f>IF(A29&gt;=$B$1,AVERAGE(B29:INDEX($B$3:$B$52,A29-$B$1+1)),"")</f>
        <v>3.2857142857142856</v>
      </c>
      <c r="E29">
        <f>IF(ROW(B29)-$B$1-1&gt;0,AVERAGE(B29:INDEX($B$3:$B$52,ROW(B29)-$B$1-1)),"")</f>
        <v>3.2857142857142856</v>
      </c>
      <c r="F29">
        <f>IF(A29&gt;=$B$1,AVERAGE(B29:INDEX($B$3:$B$52,A29-$B$1+1)),"")</f>
        <v>3.2857142857142856</v>
      </c>
      <c r="G29">
        <f>IF(A29&gt;=$B$1,AVERAGE(B29:INDEX($B$3:$B$52,ROWS($B$3:B29)-$B$1+1)),"")</f>
        <v>3.2857142857142856</v>
      </c>
    </row>
    <row r="30" spans="1:7" x14ac:dyDescent="0.25">
      <c r="A30" s="347">
        <v>28</v>
      </c>
      <c r="B30" s="347">
        <v>2</v>
      </c>
      <c r="C30">
        <f>IF(A30&lt;$B$1,"",IF(A30=$B$1,AVERAGE(B$3:$B30),C29+(B30-INDEX($B$3:$B$52,A30-$B$1))/$B$1))</f>
        <v>3.2857142857142851</v>
      </c>
      <c r="D30">
        <f>IF(A30&gt;=$B$1,AVERAGE(B30:INDEX($B$3:$B$52,A30-$B$1+1)),"")</f>
        <v>3.2857142857142856</v>
      </c>
      <c r="E30">
        <f>IF(ROW(B30)-$B$1-1&gt;0,AVERAGE(B30:INDEX($B$3:$B$52,ROW(B30)-$B$1-1)),"")</f>
        <v>3.2857142857142856</v>
      </c>
      <c r="F30">
        <f>IF(A30&gt;=$B$1,AVERAGE(B30:INDEX($B$3:$B$52,A30-$B$1+1)),"")</f>
        <v>3.2857142857142856</v>
      </c>
      <c r="G30">
        <f>IF(A30&gt;=$B$1,AVERAGE(B30:INDEX($B$3:$B$52,ROWS($B$3:B30)-$B$1+1)),"")</f>
        <v>3.2857142857142856</v>
      </c>
    </row>
    <row r="31" spans="1:7" x14ac:dyDescent="0.25">
      <c r="A31" s="347">
        <v>29</v>
      </c>
      <c r="B31" s="347">
        <v>1</v>
      </c>
      <c r="C31">
        <f>IF(A31&lt;$B$1,"",IF(A31=$B$1,AVERAGE(B$3:$B31),C30+(B31-INDEX($B$3:$B$52,A31-$B$1))/$B$1))</f>
        <v>2.9999999999999996</v>
      </c>
      <c r="D31">
        <f>IF(A31&gt;=$B$1,AVERAGE(B31:INDEX($B$3:$B$52,A31-$B$1+1)),"")</f>
        <v>3</v>
      </c>
      <c r="E31">
        <f>IF(ROW(B31)-$B$1-1&gt;0,AVERAGE(B31:INDEX($B$3:$B$52,ROW(B31)-$B$1-1)),"")</f>
        <v>3</v>
      </c>
      <c r="F31">
        <f>IF(A31&gt;=$B$1,AVERAGE(B31:INDEX($B$3:$B$52,A31-$B$1+1)),"")</f>
        <v>3</v>
      </c>
      <c r="G31">
        <f>IF(A31&gt;=$B$1,AVERAGE(B31:INDEX($B$3:$B$52,ROWS($B$3:B31)-$B$1+1)),"")</f>
        <v>3</v>
      </c>
    </row>
    <row r="32" spans="1:7" x14ac:dyDescent="0.25">
      <c r="A32" s="347">
        <v>30</v>
      </c>
      <c r="B32" s="347">
        <v>2</v>
      </c>
      <c r="C32">
        <f>IF(A32&lt;$B$1,"",IF(A32=$B$1,AVERAGE(B$3:$B32),C31+(B32-INDEX($B$3:$B$52,A32-$B$1))/$B$1))</f>
        <v>2.8571428571428568</v>
      </c>
      <c r="D32">
        <f>IF(A32&gt;=$B$1,AVERAGE(B32:INDEX($B$3:$B$52,A32-$B$1+1)),"")</f>
        <v>2.8571428571428572</v>
      </c>
      <c r="E32">
        <f>IF(ROW(B32)-$B$1-1&gt;0,AVERAGE(B32:INDEX($B$3:$B$52,ROW(B32)-$B$1-1)),"")</f>
        <v>2.8571428571428572</v>
      </c>
      <c r="F32">
        <f>IF(A32&gt;=$B$1,AVERAGE(B32:INDEX($B$3:$B$52,A32-$B$1+1)),"")</f>
        <v>2.8571428571428572</v>
      </c>
      <c r="G32">
        <f>IF(A32&gt;=$B$1,AVERAGE(B32:INDEX($B$3:$B$52,ROWS($B$3:B32)-$B$1+1)),"")</f>
        <v>2.8571428571428572</v>
      </c>
    </row>
    <row r="33" spans="1:7" x14ac:dyDescent="0.25">
      <c r="A33" s="347">
        <v>31</v>
      </c>
      <c r="B33" s="347">
        <v>2</v>
      </c>
      <c r="C33">
        <f>IF(A33&lt;$B$1,"",IF(A33=$B$1,AVERAGE(B$3:$B33),C32+(B33-INDEX($B$3:$B$52,A33-$B$1))/$B$1))</f>
        <v>2.714285714285714</v>
      </c>
      <c r="D33">
        <f>IF(A33&gt;=$B$1,AVERAGE(B33:INDEX($B$3:$B$52,A33-$B$1+1)),"")</f>
        <v>2.7142857142857144</v>
      </c>
      <c r="E33">
        <f>IF(ROW(B33)-$B$1-1&gt;0,AVERAGE(B33:INDEX($B$3:$B$52,ROW(B33)-$B$1-1)),"")</f>
        <v>2.7142857142857144</v>
      </c>
      <c r="F33">
        <f>IF(A33&gt;=$B$1,AVERAGE(B33:INDEX($B$3:$B$52,A33-$B$1+1)),"")</f>
        <v>2.7142857142857144</v>
      </c>
      <c r="G33">
        <f>IF(A33&gt;=$B$1,AVERAGE(B33:INDEX($B$3:$B$52,ROWS($B$3:B33)-$B$1+1)),"")</f>
        <v>2.7142857142857144</v>
      </c>
    </row>
    <row r="34" spans="1:7" x14ac:dyDescent="0.25">
      <c r="A34" s="347">
        <v>32</v>
      </c>
      <c r="B34" s="347">
        <v>7</v>
      </c>
      <c r="C34">
        <f>IF(A34&lt;$B$1,"",IF(A34=$B$1,AVERAGE(B$3:$B34),C33+(B34-INDEX($B$3:$B$52,A34-$B$1))/$B$1))</f>
        <v>3.2857142857142856</v>
      </c>
      <c r="D34">
        <f>IF(A34&gt;=$B$1,AVERAGE(B34:INDEX($B$3:$B$52,A34-$B$1+1)),"")</f>
        <v>3.2857142857142856</v>
      </c>
      <c r="E34">
        <f>IF(ROW(B34)-$B$1-1&gt;0,AVERAGE(B34:INDEX($B$3:$B$52,ROW(B34)-$B$1-1)),"")</f>
        <v>3.2857142857142856</v>
      </c>
      <c r="F34">
        <f>IF(A34&gt;=$B$1,AVERAGE(B34:INDEX($B$3:$B$52,A34-$B$1+1)),"")</f>
        <v>3.2857142857142856</v>
      </c>
      <c r="G34">
        <f>IF(A34&gt;=$B$1,AVERAGE(B34:INDEX($B$3:$B$52,ROWS($B$3:B34)-$B$1+1)),"")</f>
        <v>3.2857142857142856</v>
      </c>
    </row>
    <row r="35" spans="1:7" x14ac:dyDescent="0.25">
      <c r="A35" s="347">
        <v>33</v>
      </c>
      <c r="B35" s="347">
        <v>0</v>
      </c>
      <c r="C35">
        <f>IF(A35&lt;$B$1,"",IF(A35=$B$1,AVERAGE(B$3:$B35),C34+(B35-INDEX($B$3:$B$52,A35-$B$1))/$B$1))</f>
        <v>2.5714285714285712</v>
      </c>
      <c r="D35">
        <f>IF(A35&gt;=$B$1,AVERAGE(B35:INDEX($B$3:$B$52,A35-$B$1+1)),"")</f>
        <v>2.5714285714285716</v>
      </c>
      <c r="E35">
        <f>IF(ROW(B35)-$B$1-1&gt;0,AVERAGE(B35:INDEX($B$3:$B$52,ROW(B35)-$B$1-1)),"")</f>
        <v>2.5714285714285716</v>
      </c>
      <c r="F35">
        <f>IF(A35&gt;=$B$1,AVERAGE(B35:INDEX($B$3:$B$52,A35-$B$1+1)),"")</f>
        <v>2.5714285714285716</v>
      </c>
      <c r="G35">
        <f>IF(A35&gt;=$B$1,AVERAGE(B35:INDEX($B$3:$B$52,ROWS($B$3:B35)-$B$1+1)),"")</f>
        <v>2.5714285714285716</v>
      </c>
    </row>
    <row r="36" spans="1:7" x14ac:dyDescent="0.25">
      <c r="A36" s="347">
        <v>34</v>
      </c>
      <c r="B36" s="347">
        <v>3</v>
      </c>
      <c r="C36">
        <f>IF(A36&lt;$B$1,"",IF(A36=$B$1,AVERAGE(B$3:$B36),C35+(B36-INDEX($B$3:$B$52,A36-$B$1))/$B$1))</f>
        <v>2.4285714285714284</v>
      </c>
      <c r="D36">
        <f>IF(A36&gt;=$B$1,AVERAGE(B36:INDEX($B$3:$B$52,A36-$B$1+1)),"")</f>
        <v>2.4285714285714284</v>
      </c>
      <c r="E36">
        <f>IF(ROW(B36)-$B$1-1&gt;0,AVERAGE(B36:INDEX($B$3:$B$52,ROW(B36)-$B$1-1)),"")</f>
        <v>2.4285714285714284</v>
      </c>
      <c r="F36">
        <f>IF(A36&gt;=$B$1,AVERAGE(B36:INDEX($B$3:$B$52,A36-$B$1+1)),"")</f>
        <v>2.4285714285714284</v>
      </c>
      <c r="G36">
        <f>IF(A36&gt;=$B$1,AVERAGE(B36:INDEX($B$3:$B$52,ROWS($B$3:B36)-$B$1+1)),"")</f>
        <v>2.4285714285714284</v>
      </c>
    </row>
    <row r="37" spans="1:7" x14ac:dyDescent="0.25">
      <c r="A37" s="347">
        <v>35</v>
      </c>
      <c r="B37" s="347">
        <v>1</v>
      </c>
      <c r="C37">
        <f>IF(A37&lt;$B$1,"",IF(A37=$B$1,AVERAGE(B$3:$B37),C36+(B37-INDEX($B$3:$B$52,A37-$B$1))/$B$1))</f>
        <v>2.2857142857142856</v>
      </c>
      <c r="D37">
        <f>IF(A37&gt;=$B$1,AVERAGE(B37:INDEX($B$3:$B$52,A37-$B$1+1)),"")</f>
        <v>2.2857142857142856</v>
      </c>
      <c r="E37">
        <f>IF(ROW(B37)-$B$1-1&gt;0,AVERAGE(B37:INDEX($B$3:$B$52,ROW(B37)-$B$1-1)),"")</f>
        <v>2.2857142857142856</v>
      </c>
      <c r="F37">
        <f>IF(A37&gt;=$B$1,AVERAGE(B37:INDEX($B$3:$B$52,A37-$B$1+1)),"")</f>
        <v>2.2857142857142856</v>
      </c>
      <c r="G37">
        <f>IF(A37&gt;=$B$1,AVERAGE(B37:INDEX($B$3:$B$52,ROWS($B$3:B37)-$B$1+1)),"")</f>
        <v>2.2857142857142856</v>
      </c>
    </row>
    <row r="38" spans="1:7" x14ac:dyDescent="0.25">
      <c r="A38" s="347">
        <v>36</v>
      </c>
      <c r="B38" s="347">
        <v>5</v>
      </c>
      <c r="C38">
        <f>IF(A38&lt;$B$1,"",IF(A38=$B$1,AVERAGE(B$3:$B38),C37+(B38-INDEX($B$3:$B$52,A38-$B$1))/$B$1))</f>
        <v>2.8571428571428568</v>
      </c>
      <c r="D38">
        <f>IF(A38&gt;=$B$1,AVERAGE(B38:INDEX($B$3:$B$52,A38-$B$1+1)),"")</f>
        <v>2.8571428571428572</v>
      </c>
      <c r="E38">
        <f>IF(ROW(B38)-$B$1-1&gt;0,AVERAGE(B38:INDEX($B$3:$B$52,ROW(B38)-$B$1-1)),"")</f>
        <v>2.8571428571428572</v>
      </c>
      <c r="F38">
        <f>IF(A38&gt;=$B$1,AVERAGE(B38:INDEX($B$3:$B$52,A38-$B$1+1)),"")</f>
        <v>2.8571428571428572</v>
      </c>
      <c r="G38">
        <f>IF(A38&gt;=$B$1,AVERAGE(B38:INDEX($B$3:$B$52,ROWS($B$3:B38)-$B$1+1)),"")</f>
        <v>2.8571428571428572</v>
      </c>
    </row>
    <row r="39" spans="1:7" x14ac:dyDescent="0.25">
      <c r="A39" s="347">
        <v>37</v>
      </c>
      <c r="B39" s="347">
        <v>2</v>
      </c>
      <c r="C39">
        <f>IF(A39&lt;$B$1,"",IF(A39=$B$1,AVERAGE(B$3:$B39),C38+(B39-INDEX($B$3:$B$52,A39-$B$1))/$B$1))</f>
        <v>2.8571428571428568</v>
      </c>
      <c r="D39">
        <f>IF(A39&gt;=$B$1,AVERAGE(B39:INDEX($B$3:$B$52,A39-$B$1+1)),"")</f>
        <v>2.8571428571428572</v>
      </c>
      <c r="E39">
        <f>IF(ROW(B39)-$B$1-1&gt;0,AVERAGE(B39:INDEX($B$3:$B$52,ROW(B39)-$B$1-1)),"")</f>
        <v>2.8571428571428572</v>
      </c>
      <c r="F39">
        <f>IF(A39&gt;=$B$1,AVERAGE(B39:INDEX($B$3:$B$52,A39-$B$1+1)),"")</f>
        <v>2.8571428571428572</v>
      </c>
      <c r="G39">
        <f>IF(A39&gt;=$B$1,AVERAGE(B39:INDEX($B$3:$B$52,ROWS($B$3:B39)-$B$1+1)),"")</f>
        <v>2.8571428571428572</v>
      </c>
    </row>
    <row r="40" spans="1:7" x14ac:dyDescent="0.25">
      <c r="A40" s="347">
        <v>38</v>
      </c>
      <c r="B40" s="347">
        <v>0</v>
      </c>
      <c r="C40">
        <f>IF(A40&lt;$B$1,"",IF(A40=$B$1,AVERAGE(B$3:$B40),C39+(B40-INDEX($B$3:$B$52,A40-$B$1))/$B$1))</f>
        <v>2.5714285714285712</v>
      </c>
      <c r="D40">
        <f>IF(A40&gt;=$B$1,AVERAGE(B40:INDEX($B$3:$B$52,A40-$B$1+1)),"")</f>
        <v>2.5714285714285716</v>
      </c>
      <c r="E40">
        <f>IF(ROW(B40)-$B$1-1&gt;0,AVERAGE(B40:INDEX($B$3:$B$52,ROW(B40)-$B$1-1)),"")</f>
        <v>2.5714285714285716</v>
      </c>
      <c r="F40">
        <f>IF(A40&gt;=$B$1,AVERAGE(B40:INDEX($B$3:$B$52,A40-$B$1+1)),"")</f>
        <v>2.5714285714285716</v>
      </c>
      <c r="G40">
        <f>IF(A40&gt;=$B$1,AVERAGE(B40:INDEX($B$3:$B$52,ROWS($B$3:B40)-$B$1+1)),"")</f>
        <v>2.5714285714285716</v>
      </c>
    </row>
    <row r="41" spans="1:7" x14ac:dyDescent="0.25">
      <c r="A41" s="347">
        <v>39</v>
      </c>
      <c r="B41" s="347">
        <v>5</v>
      </c>
      <c r="C41">
        <f>IF(A41&lt;$B$1,"",IF(A41=$B$1,AVERAGE(B$3:$B41),C40+(B41-INDEX($B$3:$B$52,A41-$B$1))/$B$1))</f>
        <v>2.2857142857142856</v>
      </c>
      <c r="D41">
        <f>IF(A41&gt;=$B$1,AVERAGE(B41:INDEX($B$3:$B$52,A41-$B$1+1)),"")</f>
        <v>2.2857142857142856</v>
      </c>
      <c r="E41">
        <f>IF(ROW(B41)-$B$1-1&gt;0,AVERAGE(B41:INDEX($B$3:$B$52,ROW(B41)-$B$1-1)),"")</f>
        <v>2.2857142857142856</v>
      </c>
      <c r="F41">
        <f>IF(A41&gt;=$B$1,AVERAGE(B41:INDEX($B$3:$B$52,A41-$B$1+1)),"")</f>
        <v>2.2857142857142856</v>
      </c>
      <c r="G41">
        <f>IF(A41&gt;=$B$1,AVERAGE(B41:INDEX($B$3:$B$52,ROWS($B$3:B41)-$B$1+1)),"")</f>
        <v>2.2857142857142856</v>
      </c>
    </row>
    <row r="42" spans="1:7" x14ac:dyDescent="0.25">
      <c r="A42" s="347">
        <v>40</v>
      </c>
      <c r="B42" s="347">
        <v>5</v>
      </c>
      <c r="C42">
        <f>IF(A42&lt;$B$1,"",IF(A42=$B$1,AVERAGE(B$3:$B42),C41+(B42-INDEX($B$3:$B$52,A42-$B$1))/$B$1))</f>
        <v>3</v>
      </c>
      <c r="D42">
        <f>IF(A42&gt;=$B$1,AVERAGE(B42:INDEX($B$3:$B$52,A42-$B$1+1)),"")</f>
        <v>3</v>
      </c>
      <c r="E42">
        <f>IF(ROW(B42)-$B$1-1&gt;0,AVERAGE(B42:INDEX($B$3:$B$52,ROW(B42)-$B$1-1)),"")</f>
        <v>3</v>
      </c>
      <c r="F42">
        <f>IF(A42&gt;=$B$1,AVERAGE(B42:INDEX($B$3:$B$52,A42-$B$1+1)),"")</f>
        <v>3</v>
      </c>
      <c r="G42">
        <f>IF(A42&gt;=$B$1,AVERAGE(B42:INDEX($B$3:$B$52,ROWS($B$3:B42)-$B$1+1)),"")</f>
        <v>3</v>
      </c>
    </row>
    <row r="43" spans="1:7" x14ac:dyDescent="0.25">
      <c r="A43" s="347">
        <v>41</v>
      </c>
      <c r="B43" s="347">
        <v>0</v>
      </c>
      <c r="C43">
        <f>IF(A43&lt;$B$1,"",IF(A43=$B$1,AVERAGE(B$3:$B43),C42+(B43-INDEX($B$3:$B$52,A43-$B$1))/$B$1))</f>
        <v>2.5714285714285716</v>
      </c>
      <c r="D43">
        <f>IF(A43&gt;=$B$1,AVERAGE(B43:INDEX($B$3:$B$52,A43-$B$1+1)),"")</f>
        <v>2.5714285714285716</v>
      </c>
      <c r="E43">
        <f>IF(ROW(B43)-$B$1-1&gt;0,AVERAGE(B43:INDEX($B$3:$B$52,ROW(B43)-$B$1-1)),"")</f>
        <v>2.5714285714285716</v>
      </c>
      <c r="F43">
        <f>IF(A43&gt;=$B$1,AVERAGE(B43:INDEX($B$3:$B$52,A43-$B$1+1)),"")</f>
        <v>2.5714285714285716</v>
      </c>
      <c r="G43">
        <f>IF(A43&gt;=$B$1,AVERAGE(B43:INDEX($B$3:$B$52,ROWS($B$3:B43)-$B$1+1)),"")</f>
        <v>2.5714285714285716</v>
      </c>
    </row>
    <row r="44" spans="1:7" x14ac:dyDescent="0.25">
      <c r="A44" s="347">
        <v>42</v>
      </c>
      <c r="B44" s="347">
        <v>6</v>
      </c>
      <c r="C44">
        <f>IF(A44&lt;$B$1,"",IF(A44=$B$1,AVERAGE(B$3:$B44),C43+(B44-INDEX($B$3:$B$52,A44-$B$1))/$B$1))</f>
        <v>3.285714285714286</v>
      </c>
      <c r="D44">
        <f>IF(A44&gt;=$B$1,AVERAGE(B44:INDEX($B$3:$B$52,A44-$B$1+1)),"")</f>
        <v>3.2857142857142856</v>
      </c>
      <c r="E44">
        <f>IF(ROW(B44)-$B$1-1&gt;0,AVERAGE(B44:INDEX($B$3:$B$52,ROW(B44)-$B$1-1)),"")</f>
        <v>3.2857142857142856</v>
      </c>
      <c r="F44">
        <f>IF(A44&gt;=$B$1,AVERAGE(B44:INDEX($B$3:$B$52,A44-$B$1+1)),"")</f>
        <v>3.2857142857142856</v>
      </c>
      <c r="G44">
        <f>IF(A44&gt;=$B$1,AVERAGE(B44:INDEX($B$3:$B$52,ROWS($B$3:B44)-$B$1+1)),"")</f>
        <v>3.2857142857142856</v>
      </c>
    </row>
    <row r="45" spans="1:7" x14ac:dyDescent="0.25">
      <c r="A45" s="347">
        <v>43</v>
      </c>
      <c r="B45" s="347">
        <v>6</v>
      </c>
      <c r="C45">
        <f>IF(A45&lt;$B$1,"",IF(A45=$B$1,AVERAGE(B$3:$B45),C44+(B45-INDEX($B$3:$B$52,A45-$B$1))/$B$1))</f>
        <v>3.4285714285714288</v>
      </c>
      <c r="D45">
        <f>IF(A45&gt;=$B$1,AVERAGE(B45:INDEX($B$3:$B$52,A45-$B$1+1)),"")</f>
        <v>3.4285714285714284</v>
      </c>
      <c r="E45">
        <f>IF(ROW(B45)-$B$1-1&gt;0,AVERAGE(B45:INDEX($B$3:$B$52,ROW(B45)-$B$1-1)),"")</f>
        <v>3.4285714285714284</v>
      </c>
      <c r="F45">
        <f>IF(A45&gt;=$B$1,AVERAGE(B45:INDEX($B$3:$B$52,A45-$B$1+1)),"")</f>
        <v>3.4285714285714284</v>
      </c>
      <c r="G45">
        <f>IF(A45&gt;=$B$1,AVERAGE(B45:INDEX($B$3:$B$52,ROWS($B$3:B45)-$B$1+1)),"")</f>
        <v>3.4285714285714284</v>
      </c>
    </row>
    <row r="46" spans="1:7" x14ac:dyDescent="0.25">
      <c r="A46" s="347">
        <v>44</v>
      </c>
      <c r="B46" s="347">
        <v>4</v>
      </c>
      <c r="C46">
        <f>IF(A46&lt;$B$1,"",IF(A46=$B$1,AVERAGE(B$3:$B46),C45+(B46-INDEX($B$3:$B$52,A46-$B$1))/$B$1))</f>
        <v>3.7142857142857144</v>
      </c>
      <c r="D46">
        <f>IF(A46&gt;=$B$1,AVERAGE(B46:INDEX($B$3:$B$52,A46-$B$1+1)),"")</f>
        <v>3.7142857142857144</v>
      </c>
      <c r="E46">
        <f>IF(ROW(B46)-$B$1-1&gt;0,AVERAGE(B46:INDEX($B$3:$B$52,ROW(B46)-$B$1-1)),"")</f>
        <v>3.7142857142857144</v>
      </c>
      <c r="F46">
        <f>IF(A46&gt;=$B$1,AVERAGE(B46:INDEX($B$3:$B$52,A46-$B$1+1)),"")</f>
        <v>3.7142857142857144</v>
      </c>
      <c r="G46">
        <f>IF(A46&gt;=$B$1,AVERAGE(B46:INDEX($B$3:$B$52,ROWS($B$3:B46)-$B$1+1)),"")</f>
        <v>3.7142857142857144</v>
      </c>
    </row>
    <row r="47" spans="1:7" x14ac:dyDescent="0.25">
      <c r="A47" s="347">
        <v>45</v>
      </c>
      <c r="B47" s="347">
        <v>2</v>
      </c>
      <c r="C47">
        <f>IF(A47&lt;$B$1,"",IF(A47=$B$1,AVERAGE(B$3:$B47),C46+(B47-INDEX($B$3:$B$52,A47-$B$1))/$B$1))</f>
        <v>4</v>
      </c>
      <c r="D47">
        <f>IF(A47&gt;=$B$1,AVERAGE(B47:INDEX($B$3:$B$52,A47-$B$1+1)),"")</f>
        <v>4</v>
      </c>
      <c r="E47">
        <f>IF(ROW(B47)-$B$1-1&gt;0,AVERAGE(B47:INDEX($B$3:$B$52,ROW(B47)-$B$1-1)),"")</f>
        <v>4</v>
      </c>
      <c r="F47">
        <f>IF(A47&gt;=$B$1,AVERAGE(B47:INDEX($B$3:$B$52,A47-$B$1+1)),"")</f>
        <v>4</v>
      </c>
      <c r="G47">
        <f>IF(A47&gt;=$B$1,AVERAGE(B47:INDEX($B$3:$B$52,ROWS($B$3:B47)-$B$1+1)),"")</f>
        <v>4</v>
      </c>
    </row>
    <row r="48" spans="1:7" x14ac:dyDescent="0.25">
      <c r="A48" s="347">
        <v>46</v>
      </c>
      <c r="B48" s="347">
        <v>2</v>
      </c>
      <c r="C48">
        <f>IF(A48&lt;$B$1,"",IF(A48=$B$1,AVERAGE(B$3:$B48),C47+(B48-INDEX($B$3:$B$52,A48-$B$1))/$B$1))</f>
        <v>3.5714285714285716</v>
      </c>
      <c r="D48">
        <f>IF(A48&gt;=$B$1,AVERAGE(B48:INDEX($B$3:$B$52,A48-$B$1+1)),"")</f>
        <v>3.5714285714285716</v>
      </c>
      <c r="E48">
        <f>IF(ROW(B48)-$B$1-1&gt;0,AVERAGE(B48:INDEX($B$3:$B$52,ROW(B48)-$B$1-1)),"")</f>
        <v>3.5714285714285716</v>
      </c>
      <c r="F48">
        <f>IF(A48&gt;=$B$1,AVERAGE(B48:INDEX($B$3:$B$52,A48-$B$1+1)),"")</f>
        <v>3.5714285714285716</v>
      </c>
      <c r="G48">
        <f>IF(A48&gt;=$B$1,AVERAGE(B48:INDEX($B$3:$B$52,ROWS($B$3:B48)-$B$1+1)),"")</f>
        <v>3.5714285714285716</v>
      </c>
    </row>
    <row r="49" spans="1:7" x14ac:dyDescent="0.25">
      <c r="A49" s="347">
        <v>47</v>
      </c>
      <c r="B49" s="347">
        <v>5</v>
      </c>
      <c r="C49">
        <f>IF(A49&lt;$B$1,"",IF(A49=$B$1,AVERAGE(B$3:$B49),C48+(B49-INDEX($B$3:$B$52,A49-$B$1))/$B$1))</f>
        <v>3.5714285714285716</v>
      </c>
      <c r="D49">
        <f>IF(A49&gt;=$B$1,AVERAGE(B49:INDEX($B$3:$B$52,A49-$B$1+1)),"")</f>
        <v>3.5714285714285716</v>
      </c>
      <c r="E49">
        <f>IF(ROW(B49)-$B$1-1&gt;0,AVERAGE(B49:INDEX($B$3:$B$52,ROW(B49)-$B$1-1)),"")</f>
        <v>3.5714285714285716</v>
      </c>
      <c r="F49">
        <f>IF(A49&gt;=$B$1,AVERAGE(B49:INDEX($B$3:$B$52,A49-$B$1+1)),"")</f>
        <v>3.5714285714285716</v>
      </c>
      <c r="G49">
        <f>IF(A49&gt;=$B$1,AVERAGE(B49:INDEX($B$3:$B$52,ROWS($B$3:B49)-$B$1+1)),"")</f>
        <v>3.5714285714285716</v>
      </c>
    </row>
    <row r="50" spans="1:7" x14ac:dyDescent="0.25">
      <c r="A50" s="347">
        <v>48</v>
      </c>
      <c r="B50" s="347">
        <v>1</v>
      </c>
      <c r="C50">
        <f>IF(A50&lt;$B$1,"",IF(A50=$B$1,AVERAGE(B$3:$B50),C49+(B50-INDEX($B$3:$B$52,A50-$B$1))/$B$1))</f>
        <v>3.7142857142857144</v>
      </c>
      <c r="D50">
        <f>IF(A50&gt;=$B$1,AVERAGE(B50:INDEX($B$3:$B$52,A50-$B$1+1)),"")</f>
        <v>3.7142857142857144</v>
      </c>
      <c r="E50">
        <f>IF(ROW(B50)-$B$1-1&gt;0,AVERAGE(B50:INDEX($B$3:$B$52,ROW(B50)-$B$1-1)),"")</f>
        <v>3.7142857142857144</v>
      </c>
      <c r="F50">
        <f>IF(A50&gt;=$B$1,AVERAGE(B50:INDEX($B$3:$B$52,A50-$B$1+1)),"")</f>
        <v>3.7142857142857144</v>
      </c>
      <c r="G50">
        <f>IF(A50&gt;=$B$1,AVERAGE(B50:INDEX($B$3:$B$52,ROWS($B$3:B50)-$B$1+1)),"")</f>
        <v>3.7142857142857144</v>
      </c>
    </row>
    <row r="51" spans="1:7" x14ac:dyDescent="0.25">
      <c r="A51" s="347">
        <v>49</v>
      </c>
      <c r="B51" s="347">
        <v>3</v>
      </c>
      <c r="C51">
        <f>IF(A51&lt;$B$1,"",IF(A51=$B$1,AVERAGE(B$3:$B51),C50+(B51-INDEX($B$3:$B$52,A51-$B$1))/$B$1))</f>
        <v>3.285714285714286</v>
      </c>
      <c r="D51">
        <f>IF(A51&gt;=$B$1,AVERAGE(B51:INDEX($B$3:$B$52,A51-$B$1+1)),"")</f>
        <v>3.2857142857142856</v>
      </c>
      <c r="E51">
        <f>IF(ROW(B51)-$B$1-1&gt;0,AVERAGE(B51:INDEX($B$3:$B$52,ROW(B51)-$B$1-1)),"")</f>
        <v>3.2857142857142856</v>
      </c>
      <c r="F51">
        <f>IF(A51&gt;=$B$1,AVERAGE(B51:INDEX($B$3:$B$52,A51-$B$1+1)),"")</f>
        <v>3.2857142857142856</v>
      </c>
      <c r="G51">
        <f>IF(A51&gt;=$B$1,AVERAGE(B51:INDEX($B$3:$B$52,ROWS($B$3:B51)-$B$1+1)),"")</f>
        <v>3.2857142857142856</v>
      </c>
    </row>
    <row r="52" spans="1:7" x14ac:dyDescent="0.25">
      <c r="A52" s="347">
        <v>50</v>
      </c>
      <c r="B52" s="347">
        <v>3</v>
      </c>
      <c r="C52">
        <f>IF(A52&lt;$B$1,"",IF(A52=$B$1,AVERAGE(B$3:$B52),C51+(B52-INDEX($B$3:$B$52,A52-$B$1))/$B$1))</f>
        <v>2.8571428571428577</v>
      </c>
      <c r="D52">
        <f>IF(A52&gt;=$B$1,AVERAGE(B52:INDEX($B$3:$B$52,A52-$B$1+1)),"")</f>
        <v>2.8571428571428572</v>
      </c>
      <c r="E52">
        <f>IF(ROW(B52)-$B$1-1&gt;0,AVERAGE(B52:INDEX($B$3:$B$52,ROW(B52)-$B$1-1)),"")</f>
        <v>2.8571428571428572</v>
      </c>
      <c r="F52">
        <f>IF(A52&gt;=$B$1,AVERAGE(B52:INDEX($B$3:$B$52,A52-$B$1+1)),"")</f>
        <v>2.8571428571428572</v>
      </c>
      <c r="G52">
        <f>IF(A52&gt;=$B$1,AVERAGE(B52:INDEX($B$3:$B$52,ROWS($B$3:B52)-$B$1+1)),"")</f>
        <v>2.8571428571428572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"/>
  <sheetViews>
    <sheetView zoomScale="71" zoomScaleNormal="71" workbookViewId="0">
      <selection activeCell="AD22" sqref="AD22"/>
    </sheetView>
  </sheetViews>
  <sheetFormatPr defaultRowHeight="16.5" x14ac:dyDescent="0.3"/>
  <cols>
    <col min="1" max="1" width="4" style="305" bestFit="1" customWidth="1"/>
    <col min="2" max="3" width="9.140625" style="305"/>
    <col min="4" max="4" width="10.28515625" style="305" bestFit="1" customWidth="1"/>
    <col min="5" max="5" width="10.28515625" style="305" customWidth="1"/>
    <col min="6" max="6" width="10.28515625" style="307" customWidth="1"/>
    <col min="7" max="8" width="10.28515625" style="305" customWidth="1"/>
    <col min="9" max="10" width="10.28515625" style="307" customWidth="1"/>
    <col min="11" max="11" width="3.5703125" style="307" bestFit="1" customWidth="1"/>
    <col min="12" max="12" width="4.28515625" style="307" bestFit="1" customWidth="1"/>
    <col min="13" max="13" width="6.5703125" style="305" customWidth="1"/>
    <col min="14" max="14" width="7.28515625" style="305" customWidth="1"/>
    <col min="15" max="15" width="8.140625" style="305" bestFit="1" customWidth="1"/>
    <col min="16" max="16" width="6.7109375" style="305" bestFit="1" customWidth="1"/>
    <col min="17" max="17" width="6.7109375" style="305" customWidth="1"/>
    <col min="18" max="18" width="7.85546875" style="305" customWidth="1"/>
    <col min="19" max="22" width="9.140625" style="305"/>
    <col min="23" max="24" width="3.5703125" style="332" bestFit="1" customWidth="1"/>
    <col min="25" max="25" width="4.28515625" style="332" bestFit="1" customWidth="1"/>
    <col min="26" max="16384" width="9.140625" style="305"/>
  </cols>
  <sheetData>
    <row r="1" spans="1:29" ht="17.25" thickBot="1" x14ac:dyDescent="0.35">
      <c r="B1" s="306">
        <f ca="1">RANDBETWEEN(1,10)</f>
        <v>6</v>
      </c>
      <c r="C1" s="306"/>
      <c r="D1" s="305" t="s">
        <v>59</v>
      </c>
      <c r="M1" s="305" t="str">
        <f ca="1">B1&amp;"-Period MA: F ("&amp;A33&amp;") = Mean: "&amp;ROUND(E33,0)&amp;", CV "&amp;ROUND(1.25*H32/E32,2)</f>
        <v>6-Period MA: F (31) = Mean: 17346, CV 0.41</v>
      </c>
      <c r="W1" s="308">
        <v>0</v>
      </c>
      <c r="X1" s="308">
        <v>4</v>
      </c>
      <c r="Y1" s="308">
        <f>-X1</f>
        <v>-4</v>
      </c>
      <c r="Z1" s="309"/>
      <c r="AA1" s="309"/>
      <c r="AB1" s="309"/>
    </row>
    <row r="2" spans="1:29" ht="17.25" thickBot="1" x14ac:dyDescent="0.35">
      <c r="A2" s="310"/>
      <c r="B2" s="311" t="s">
        <v>24</v>
      </c>
      <c r="C2" s="312" t="s">
        <v>60</v>
      </c>
      <c r="D2" s="313" t="s">
        <v>61</v>
      </c>
      <c r="E2" s="314" t="s">
        <v>62</v>
      </c>
      <c r="F2" s="315" t="s">
        <v>30</v>
      </c>
      <c r="G2" s="316" t="s">
        <v>23</v>
      </c>
      <c r="H2" s="317" t="s">
        <v>17</v>
      </c>
      <c r="I2" s="318" t="s">
        <v>68</v>
      </c>
      <c r="J2" s="319"/>
      <c r="K2" s="319"/>
      <c r="L2" s="319"/>
      <c r="M2" s="79" t="str">
        <f ca="1">_xlfn.FORMULATEXT(M1)</f>
        <v>=B1&amp;"-Period MA: F ("&amp;A33&amp;") = Mean: "&amp;ROUND(E33,0)&amp;", CV "&amp;ROUND(1.25*H32/E32,2)</v>
      </c>
      <c r="N2" s="76"/>
      <c r="O2" s="76"/>
      <c r="P2" s="76"/>
      <c r="Q2" s="76"/>
      <c r="R2" s="76"/>
      <c r="W2" s="308">
        <v>0</v>
      </c>
      <c r="X2" s="308">
        <v>4</v>
      </c>
      <c r="Y2" s="308">
        <f t="shared" ref="Y2:Y30" si="0">-X2</f>
        <v>-4</v>
      </c>
      <c r="Z2" s="320"/>
      <c r="AA2" s="320"/>
      <c r="AB2" s="320"/>
      <c r="AC2" s="320"/>
    </row>
    <row r="3" spans="1:29" x14ac:dyDescent="0.3">
      <c r="A3" s="310">
        <v>1</v>
      </c>
      <c r="B3" s="321">
        <f ca="1">'0.ArdiData'!B3</f>
        <v>5673</v>
      </c>
      <c r="C3" s="322">
        <f ca="1">B3</f>
        <v>5673</v>
      </c>
      <c r="D3" s="323" t="str">
        <f ca="1">IF(A3&lt;$B$1," ",IF(A3=$B$1,AVERAGE($C$3:C3),D2+(C3-INDEX($C$3:$C$52,A3-$B$1))/$B$1))</f>
        <v xml:space="preserve"> </v>
      </c>
      <c r="E3" s="324" t="str">
        <f xml:space="preserve"> " "</f>
        <v xml:space="preserve"> </v>
      </c>
      <c r="F3" s="325" t="str">
        <f>IF(E3=" "," ",C3-E3)</f>
        <v xml:space="preserve"> </v>
      </c>
      <c r="G3" s="326" t="str">
        <f>IF(F3=" "," ",ABS(F3))</f>
        <v xml:space="preserve"> </v>
      </c>
      <c r="H3" s="327" t="str">
        <f>IFERROR(AVERAGE($G$3:G3), " ")</f>
        <v xml:space="preserve"> </v>
      </c>
      <c r="I3" s="328" t="str">
        <f>IF(H3=" "," ",SUM($F$3:F3)/H3)</f>
        <v xml:space="preserve"> </v>
      </c>
      <c r="J3" s="329"/>
      <c r="M3" s="77"/>
      <c r="N3" s="76"/>
      <c r="O3" s="78"/>
      <c r="P3" s="77"/>
      <c r="Q3" s="77"/>
      <c r="R3" s="77"/>
      <c r="W3" s="308">
        <v>0</v>
      </c>
      <c r="X3" s="308">
        <v>4</v>
      </c>
      <c r="Y3" s="308">
        <f t="shared" si="0"/>
        <v>-4</v>
      </c>
      <c r="Z3" s="320"/>
      <c r="AA3" s="320"/>
      <c r="AB3" s="320"/>
      <c r="AC3" s="320"/>
    </row>
    <row r="4" spans="1:29" x14ac:dyDescent="0.3">
      <c r="A4" s="330">
        <v>2</v>
      </c>
      <c r="B4" s="321">
        <f ca="1">'0.ArdiData'!B4</f>
        <v>10089</v>
      </c>
      <c r="C4" s="322">
        <f t="shared" ref="C4:C32" ca="1" si="1">B4</f>
        <v>10089</v>
      </c>
      <c r="D4" s="331" t="str">
        <f ca="1">IF(A4&lt;$B$1," ",IF(A4=$B$1,AVERAGE($C$3:C4),D3+(C4-INDEX($C$3:$C$52,A4-$B$1))/$B$1))</f>
        <v xml:space="preserve"> </v>
      </c>
      <c r="E4" s="324" t="str">
        <f ca="1">D3</f>
        <v xml:space="preserve"> </v>
      </c>
      <c r="F4" s="325" t="str">
        <f t="shared" ref="F4:F32" ca="1" si="2">IF(E4=" "," ",C4-E4)</f>
        <v xml:space="preserve"> </v>
      </c>
      <c r="G4" s="326" t="str">
        <f t="shared" ref="G4:G32" ca="1" si="3">IF(F4=" "," ",ABS(F4))</f>
        <v xml:space="preserve"> </v>
      </c>
      <c r="H4" s="327" t="str">
        <f ca="1">IFERROR(AVERAGE($G$3:G4), " ")</f>
        <v xml:space="preserve"> </v>
      </c>
      <c r="I4" s="328" t="str">
        <f ca="1">IF(H4=" "," ",SUM($F$3:F4)/H4)</f>
        <v xml:space="preserve"> </v>
      </c>
      <c r="J4" s="329" t="str">
        <f ca="1">IF(A4&lt;$B$1," ",IF(A4=$B$1,AVERAGE($C$3:C4),D3+(C4-INDEX($C$3:$C$32,A4-$B$1))/$B$1))</f>
        <v xml:space="preserve"> </v>
      </c>
      <c r="M4" s="79"/>
      <c r="N4" s="76"/>
      <c r="O4" s="76"/>
      <c r="P4" s="76"/>
      <c r="Q4" s="76"/>
      <c r="R4" s="76"/>
      <c r="W4" s="308">
        <v>0</v>
      </c>
      <c r="X4" s="308">
        <v>4</v>
      </c>
      <c r="Y4" s="308">
        <f t="shared" si="0"/>
        <v>-4</v>
      </c>
      <c r="Z4" s="320"/>
      <c r="AA4" s="320"/>
      <c r="AB4" s="320"/>
      <c r="AC4" s="320"/>
    </row>
    <row r="5" spans="1:29" x14ac:dyDescent="0.3">
      <c r="A5" s="330">
        <v>3</v>
      </c>
      <c r="B5" s="321">
        <f ca="1">'0.ArdiData'!B5</f>
        <v>3359</v>
      </c>
      <c r="C5" s="322">
        <f t="shared" ca="1" si="1"/>
        <v>3359</v>
      </c>
      <c r="D5" s="331" t="str">
        <f ca="1">IF(A5&lt;$B$1," ",IF(A5=$B$1,AVERAGE($C$3:C5),D4+(C5-INDEX($C$3:$C$52,A5-$B$1))/$B$1))</f>
        <v xml:space="preserve"> </v>
      </c>
      <c r="E5" s="324" t="str">
        <f t="shared" ref="E5:E33" ca="1" si="4">D4</f>
        <v xml:space="preserve"> </v>
      </c>
      <c r="F5" s="325" t="str">
        <f t="shared" ca="1" si="2"/>
        <v xml:space="preserve"> </v>
      </c>
      <c r="G5" s="326" t="str">
        <f t="shared" ca="1" si="3"/>
        <v xml:space="preserve"> </v>
      </c>
      <c r="H5" s="327" t="str">
        <f ca="1">IFERROR(AVERAGE($G$3:G5), " ")</f>
        <v xml:space="preserve"> </v>
      </c>
      <c r="I5" s="328" t="str">
        <f ca="1">IF(H5=" "," ",SUM($F$3:F5)/H5)</f>
        <v xml:space="preserve"> </v>
      </c>
      <c r="J5" s="329" t="str">
        <f ca="1">IF(A5&lt;$B$1," ",IF(A5=$B$1,AVERAGE($C$3:C5),D4+(C5-INDEX($C$3:$C$32,A5-$B$1))/$B$1))</f>
        <v xml:space="preserve"> </v>
      </c>
      <c r="W5" s="308">
        <v>0</v>
      </c>
      <c r="X5" s="308">
        <v>4</v>
      </c>
      <c r="Y5" s="308">
        <f t="shared" si="0"/>
        <v>-4</v>
      </c>
      <c r="Z5" s="320"/>
      <c r="AA5" s="320"/>
      <c r="AB5" s="320"/>
      <c r="AC5" s="320"/>
    </row>
    <row r="6" spans="1:29" x14ac:dyDescent="0.3">
      <c r="A6" s="330">
        <v>4</v>
      </c>
      <c r="B6" s="321">
        <f ca="1">'0.ArdiData'!B6</f>
        <v>11048</v>
      </c>
      <c r="C6" s="322">
        <f t="shared" ca="1" si="1"/>
        <v>11048</v>
      </c>
      <c r="D6" s="331" t="str">
        <f ca="1">IF(A6&lt;$B$1," ",IF(A6=$B$1,AVERAGE($C$3:C6),D5+(C6-INDEX($C$3:$C$52,A6-$B$1))/$B$1))</f>
        <v xml:space="preserve"> </v>
      </c>
      <c r="E6" s="324" t="str">
        <f t="shared" ca="1" si="4"/>
        <v xml:space="preserve"> </v>
      </c>
      <c r="F6" s="325" t="str">
        <f t="shared" ca="1" si="2"/>
        <v xml:space="preserve"> </v>
      </c>
      <c r="G6" s="326" t="str">
        <f t="shared" ca="1" si="3"/>
        <v xml:space="preserve"> </v>
      </c>
      <c r="H6" s="327" t="str">
        <f ca="1">IFERROR(AVERAGE($G$3:G6), " ")</f>
        <v xml:space="preserve"> </v>
      </c>
      <c r="I6" s="328" t="str">
        <f ca="1">IF(H6=" "," ",SUM($F$3:F6)/H6)</f>
        <v xml:space="preserve"> </v>
      </c>
      <c r="J6" s="329" t="str">
        <f ca="1">IF(A6&lt;$B$1," ",IF(A6=$B$1,AVERAGE($C$3:C6),D5+(C6-INDEX($C$3:$C$32,A6-$B$1))/$B$1))</f>
        <v xml:space="preserve"> </v>
      </c>
      <c r="W6" s="308">
        <v>0</v>
      </c>
      <c r="X6" s="308">
        <v>4</v>
      </c>
      <c r="Y6" s="308">
        <f t="shared" si="0"/>
        <v>-4</v>
      </c>
      <c r="Z6" s="320"/>
      <c r="AA6" s="320"/>
      <c r="AB6" s="320"/>
      <c r="AC6" s="320"/>
    </row>
    <row r="7" spans="1:29" x14ac:dyDescent="0.3">
      <c r="A7" s="330">
        <v>5</v>
      </c>
      <c r="B7" s="321">
        <f ca="1">'0.ArdiData'!B7</f>
        <v>9953</v>
      </c>
      <c r="C7" s="322">
        <f t="shared" ca="1" si="1"/>
        <v>9953</v>
      </c>
      <c r="D7" s="331" t="str">
        <f ca="1">IF(A7&lt;$B$1," ",IF(A7=$B$1,AVERAGE($C$3:C7),D6+(C7-INDEX($C$3:$C$52,A7-$B$1))/$B$1))</f>
        <v xml:space="preserve"> </v>
      </c>
      <c r="E7" s="324" t="str">
        <f t="shared" ca="1" si="4"/>
        <v xml:space="preserve"> </v>
      </c>
      <c r="F7" s="325" t="str">
        <f t="shared" ca="1" si="2"/>
        <v xml:space="preserve"> </v>
      </c>
      <c r="G7" s="326" t="str">
        <f t="shared" ca="1" si="3"/>
        <v xml:space="preserve"> </v>
      </c>
      <c r="H7" s="327" t="str">
        <f ca="1">IFERROR(AVERAGE($G$3:G7), " ")</f>
        <v xml:space="preserve"> </v>
      </c>
      <c r="I7" s="328" t="str">
        <f ca="1">IF(H7=" "," ",SUM($F$3:F7)/H7)</f>
        <v xml:space="preserve"> </v>
      </c>
      <c r="J7" s="329"/>
      <c r="W7" s="308">
        <v>0</v>
      </c>
      <c r="X7" s="308">
        <v>4</v>
      </c>
      <c r="Y7" s="308">
        <f t="shared" si="0"/>
        <v>-4</v>
      </c>
      <c r="Z7" s="320"/>
      <c r="AA7" s="320"/>
      <c r="AB7" s="320"/>
      <c r="AC7" s="320"/>
    </row>
    <row r="8" spans="1:29" x14ac:dyDescent="0.3">
      <c r="A8" s="330">
        <v>6</v>
      </c>
      <c r="B8" s="321">
        <f ca="1">'0.ArdiData'!B8</f>
        <v>15394</v>
      </c>
      <c r="C8" s="322">
        <f t="shared" ca="1" si="1"/>
        <v>15394</v>
      </c>
      <c r="D8" s="331">
        <f ca="1">IF(A8&lt;$B$1," ",IF(A8=$B$1,AVERAGE($C$3:C8),D7+(C8-INDEX($C$3:$C$52,A8-$B$1))/$B$1))</f>
        <v>9252.6666666666661</v>
      </c>
      <c r="E8" s="324" t="str">
        <f t="shared" ca="1" si="4"/>
        <v xml:space="preserve"> </v>
      </c>
      <c r="F8" s="325" t="str">
        <f t="shared" ca="1" si="2"/>
        <v xml:space="preserve"> </v>
      </c>
      <c r="G8" s="326" t="str">
        <f t="shared" ca="1" si="3"/>
        <v xml:space="preserve"> </v>
      </c>
      <c r="H8" s="327" t="str">
        <f ca="1">IFERROR(AVERAGE($G$3:G8), " ")</f>
        <v xml:space="preserve"> </v>
      </c>
      <c r="I8" s="328" t="str">
        <f ca="1">IF(H8=" "," ",SUM($F$3:F8)/H8)</f>
        <v xml:space="preserve"> </v>
      </c>
      <c r="J8" s="329"/>
      <c r="W8" s="308">
        <v>0</v>
      </c>
      <c r="X8" s="308">
        <v>4</v>
      </c>
      <c r="Y8" s="308">
        <f t="shared" si="0"/>
        <v>-4</v>
      </c>
      <c r="Z8" s="320"/>
      <c r="AA8" s="320"/>
      <c r="AB8" s="320"/>
      <c r="AC8" s="320"/>
    </row>
    <row r="9" spans="1:29" x14ac:dyDescent="0.3">
      <c r="A9" s="330">
        <v>7</v>
      </c>
      <c r="B9" s="321">
        <f ca="1">'0.ArdiData'!B9</f>
        <v>2550</v>
      </c>
      <c r="C9" s="322">
        <f t="shared" ca="1" si="1"/>
        <v>2550</v>
      </c>
      <c r="D9" s="331">
        <f ca="1">IF(A9&lt;$B$1," ",IF(A9=$B$1,AVERAGE($C$3:C9),D8+(C9-INDEX($C$3:$C$52,A9-$B$1))/$B$1))</f>
        <v>8732.1666666666661</v>
      </c>
      <c r="E9" s="324">
        <f t="shared" ca="1" si="4"/>
        <v>9252.6666666666661</v>
      </c>
      <c r="F9" s="325">
        <f t="shared" ca="1" si="2"/>
        <v>-6702.6666666666661</v>
      </c>
      <c r="G9" s="326">
        <f t="shared" ca="1" si="3"/>
        <v>6702.6666666666661</v>
      </c>
      <c r="H9" s="327">
        <f ca="1">IFERROR(AVERAGE($G$3:G9), " ")</f>
        <v>6702.6666666666661</v>
      </c>
      <c r="I9" s="328">
        <f ca="1">IF(H9=" "," ",SUM($F$3:F9)/H9)</f>
        <v>-1</v>
      </c>
      <c r="J9" s="329"/>
      <c r="W9" s="308">
        <v>0</v>
      </c>
      <c r="X9" s="308">
        <v>4</v>
      </c>
      <c r="Y9" s="308">
        <f t="shared" si="0"/>
        <v>-4</v>
      </c>
      <c r="Z9" s="320"/>
      <c r="AA9" s="320"/>
      <c r="AB9" s="320"/>
      <c r="AC9" s="320"/>
    </row>
    <row r="10" spans="1:29" x14ac:dyDescent="0.3">
      <c r="A10" s="330">
        <v>8</v>
      </c>
      <c r="B10" s="321">
        <f ca="1">'0.ArdiData'!B10</f>
        <v>6418</v>
      </c>
      <c r="C10" s="322">
        <f t="shared" ca="1" si="1"/>
        <v>6418</v>
      </c>
      <c r="D10" s="331">
        <f ca="1">IF(A10&lt;$B$1," ",IF(A10=$B$1,AVERAGE($C$3:C10),D9+(C10-INDEX($C$3:$C$52,A10-$B$1))/$B$1))</f>
        <v>8120.333333333333</v>
      </c>
      <c r="E10" s="324">
        <f t="shared" ca="1" si="4"/>
        <v>8732.1666666666661</v>
      </c>
      <c r="F10" s="325">
        <f t="shared" ca="1" si="2"/>
        <v>-2314.1666666666661</v>
      </c>
      <c r="G10" s="326">
        <f t="shared" ca="1" si="3"/>
        <v>2314.1666666666661</v>
      </c>
      <c r="H10" s="327">
        <f ca="1">IFERROR(AVERAGE($G$3:G10), " ")</f>
        <v>4508.4166666666661</v>
      </c>
      <c r="I10" s="328">
        <f ca="1">IF(H10=" "," ",SUM($F$3:F10)/H10)</f>
        <v>-2</v>
      </c>
      <c r="J10" s="329"/>
      <c r="W10" s="308">
        <v>0</v>
      </c>
      <c r="X10" s="308">
        <v>4</v>
      </c>
      <c r="Y10" s="308">
        <f t="shared" si="0"/>
        <v>-4</v>
      </c>
      <c r="Z10" s="320"/>
      <c r="AA10" s="320"/>
      <c r="AB10" s="320"/>
      <c r="AC10" s="320"/>
    </row>
    <row r="11" spans="1:29" x14ac:dyDescent="0.3">
      <c r="A11" s="330">
        <v>9</v>
      </c>
      <c r="B11" s="321">
        <f ca="1">'0.ArdiData'!B11</f>
        <v>18141</v>
      </c>
      <c r="C11" s="322">
        <f t="shared" ca="1" si="1"/>
        <v>18141</v>
      </c>
      <c r="D11" s="331">
        <f ca="1">IF(A11&lt;$B$1," ",IF(A11=$B$1,AVERAGE($C$3:C11),D10+(C11-INDEX($C$3:$C$52,A11-$B$1))/$B$1))</f>
        <v>10584</v>
      </c>
      <c r="E11" s="324">
        <f t="shared" ca="1" si="4"/>
        <v>8120.333333333333</v>
      </c>
      <c r="F11" s="325">
        <f t="shared" ca="1" si="2"/>
        <v>10020.666666666668</v>
      </c>
      <c r="G11" s="326">
        <f t="shared" ca="1" si="3"/>
        <v>10020.666666666668</v>
      </c>
      <c r="H11" s="327">
        <f ca="1">IFERROR(AVERAGE($G$3:G11), " ")</f>
        <v>6345.833333333333</v>
      </c>
      <c r="I11" s="328">
        <f ca="1">IF(H11=" "," ",SUM($F$3:F11)/H11)</f>
        <v>0.15818778726198332</v>
      </c>
      <c r="J11" s="329"/>
      <c r="W11" s="308">
        <v>0</v>
      </c>
      <c r="X11" s="308">
        <v>4</v>
      </c>
      <c r="Y11" s="308">
        <f t="shared" si="0"/>
        <v>-4</v>
      </c>
      <c r="Z11" s="320"/>
      <c r="AA11" s="320"/>
      <c r="AB11" s="320"/>
      <c r="AC11" s="320"/>
    </row>
    <row r="12" spans="1:29" x14ac:dyDescent="0.3">
      <c r="A12" s="330">
        <v>10</v>
      </c>
      <c r="B12" s="321">
        <f ca="1">'0.ArdiData'!B12</f>
        <v>2648</v>
      </c>
      <c r="C12" s="322">
        <f t="shared" ca="1" si="1"/>
        <v>2648</v>
      </c>
      <c r="D12" s="331">
        <f ca="1">IF(A12&lt;$B$1," ",IF(A12=$B$1,AVERAGE($C$3:C12),D11+(C12-INDEX($C$3:$C$52,A12-$B$1))/$B$1))</f>
        <v>9184</v>
      </c>
      <c r="E12" s="324">
        <f t="shared" ca="1" si="4"/>
        <v>10584</v>
      </c>
      <c r="F12" s="325">
        <f t="shared" ca="1" si="2"/>
        <v>-7936</v>
      </c>
      <c r="G12" s="326">
        <f t="shared" ca="1" si="3"/>
        <v>7936</v>
      </c>
      <c r="H12" s="327">
        <f ca="1">IFERROR(AVERAGE($G$3:G12), " ")</f>
        <v>6743.375</v>
      </c>
      <c r="I12" s="328">
        <f ca="1">IF(H12=" "," ",SUM($F$3:F12)/H12)</f>
        <v>-1.0279966139606154</v>
      </c>
      <c r="J12" s="329"/>
      <c r="W12" s="308">
        <v>0</v>
      </c>
      <c r="X12" s="308">
        <v>4</v>
      </c>
      <c r="Y12" s="308">
        <f t="shared" si="0"/>
        <v>-4</v>
      </c>
      <c r="Z12" s="320"/>
      <c r="AA12" s="320"/>
      <c r="AB12" s="320"/>
      <c r="AC12" s="320"/>
    </row>
    <row r="13" spans="1:29" x14ac:dyDescent="0.3">
      <c r="A13" s="330">
        <v>11</v>
      </c>
      <c r="B13" s="321">
        <f ca="1">'0.ArdiData'!B13</f>
        <v>7267</v>
      </c>
      <c r="C13" s="322">
        <f t="shared" ca="1" si="1"/>
        <v>7267</v>
      </c>
      <c r="D13" s="331">
        <f ca="1">IF(A13&lt;$B$1," ",IF(A13=$B$1,AVERAGE($C$3:C13),D12+(C13-INDEX($C$3:$C$52,A13-$B$1))/$B$1))</f>
        <v>8736.3333333333339</v>
      </c>
      <c r="E13" s="324">
        <f t="shared" ca="1" si="4"/>
        <v>9184</v>
      </c>
      <c r="F13" s="325">
        <f t="shared" ca="1" si="2"/>
        <v>-1917</v>
      </c>
      <c r="G13" s="326">
        <f t="shared" ca="1" si="3"/>
        <v>1917</v>
      </c>
      <c r="H13" s="327">
        <f ca="1">IFERROR(AVERAGE($G$3:G13), " ")</f>
        <v>5778.1</v>
      </c>
      <c r="I13" s="328">
        <f ca="1">IF(H13=" "," ",SUM($F$3:F13)/H13)</f>
        <v>-1.5315011278217172</v>
      </c>
      <c r="J13" s="329"/>
      <c r="W13" s="308">
        <v>0</v>
      </c>
      <c r="X13" s="308">
        <v>4</v>
      </c>
      <c r="Y13" s="308">
        <f t="shared" si="0"/>
        <v>-4</v>
      </c>
      <c r="Z13" s="320"/>
      <c r="AA13" s="320"/>
      <c r="AB13" s="320"/>
      <c r="AC13" s="320"/>
    </row>
    <row r="14" spans="1:29" x14ac:dyDescent="0.3">
      <c r="A14" s="330">
        <v>12</v>
      </c>
      <c r="B14" s="321">
        <f ca="1">'0.ArdiData'!B14</f>
        <v>13114</v>
      </c>
      <c r="C14" s="322">
        <f t="shared" ca="1" si="1"/>
        <v>13114</v>
      </c>
      <c r="D14" s="331">
        <f ca="1">IF(A14&lt;$B$1," ",IF(A14=$B$1,AVERAGE($C$3:C14),D13+(C14-INDEX($C$3:$C$52,A14-$B$1))/$B$1))</f>
        <v>8356.3333333333339</v>
      </c>
      <c r="E14" s="324">
        <f t="shared" ca="1" si="4"/>
        <v>8736.3333333333339</v>
      </c>
      <c r="F14" s="325">
        <f t="shared" ca="1" si="2"/>
        <v>4377.6666666666661</v>
      </c>
      <c r="G14" s="326">
        <f t="shared" ca="1" si="3"/>
        <v>4377.6666666666661</v>
      </c>
      <c r="H14" s="327">
        <f ca="1">IFERROR(AVERAGE($G$3:G14), " ")</f>
        <v>5544.6944444444443</v>
      </c>
      <c r="I14" s="328">
        <f ca="1">IF(H14=" "," ",SUM($F$3:F14)/H14)</f>
        <v>-0.8064466031090779</v>
      </c>
      <c r="J14" s="329"/>
      <c r="W14" s="308">
        <v>0</v>
      </c>
      <c r="X14" s="308">
        <v>4</v>
      </c>
      <c r="Y14" s="308">
        <f t="shared" si="0"/>
        <v>-4</v>
      </c>
      <c r="Z14" s="320"/>
      <c r="AA14" s="320"/>
      <c r="AB14" s="320"/>
      <c r="AC14" s="320"/>
    </row>
    <row r="15" spans="1:29" x14ac:dyDescent="0.3">
      <c r="A15" s="330">
        <v>13</v>
      </c>
      <c r="B15" s="321">
        <f ca="1">'0.ArdiData'!B15</f>
        <v>15681</v>
      </c>
      <c r="C15" s="322">
        <f t="shared" ca="1" si="1"/>
        <v>15681</v>
      </c>
      <c r="D15" s="323">
        <f ca="1">IF(A15&lt;$B$1," ",IF(A15=$B$1,AVERAGE($C$3:C15),D14+(C15-INDEX($C$3:$C$52,A15-$B$1))/$B$1))</f>
        <v>10544.833333333334</v>
      </c>
      <c r="E15" s="324">
        <f t="shared" ca="1" si="4"/>
        <v>8356.3333333333339</v>
      </c>
      <c r="F15" s="325">
        <f t="shared" ca="1" si="2"/>
        <v>7324.6666666666661</v>
      </c>
      <c r="G15" s="326">
        <f t="shared" ca="1" si="3"/>
        <v>7324.6666666666661</v>
      </c>
      <c r="H15" s="327">
        <f ca="1">IFERROR(AVERAGE($G$3:G15), " ")</f>
        <v>5798.9761904761899</v>
      </c>
      <c r="I15" s="328">
        <f ca="1">IF(H15=" "," ",SUM($F$3:F15)/H15)</f>
        <v>0.49201213678933498</v>
      </c>
      <c r="J15" s="329"/>
      <c r="W15" s="308">
        <v>0</v>
      </c>
      <c r="X15" s="308">
        <v>4</v>
      </c>
      <c r="Y15" s="308">
        <f t="shared" si="0"/>
        <v>-4</v>
      </c>
      <c r="Z15" s="320"/>
      <c r="AA15" s="320"/>
      <c r="AB15" s="320"/>
      <c r="AC15" s="320"/>
    </row>
    <row r="16" spans="1:29" x14ac:dyDescent="0.3">
      <c r="A16" s="330">
        <v>14</v>
      </c>
      <c r="B16" s="321">
        <f ca="1">'0.ArdiData'!B16</f>
        <v>11992</v>
      </c>
      <c r="C16" s="322">
        <f t="shared" ca="1" si="1"/>
        <v>11992</v>
      </c>
      <c r="D16" s="323">
        <f ca="1">IF(A16&lt;$B$1," ",IF(A16=$B$1,AVERAGE($C$3:C16),D15+(C16-INDEX($C$3:$C$52,A16-$B$1))/$B$1))</f>
        <v>11473.833333333334</v>
      </c>
      <c r="E16" s="324">
        <f t="shared" ca="1" si="4"/>
        <v>10544.833333333334</v>
      </c>
      <c r="F16" s="325">
        <f t="shared" ca="1" si="2"/>
        <v>1447.1666666666661</v>
      </c>
      <c r="G16" s="326">
        <f t="shared" ca="1" si="3"/>
        <v>1447.1666666666661</v>
      </c>
      <c r="H16" s="327">
        <f ca="1">IFERROR(AVERAGE($G$3:G16), " ")</f>
        <v>5254.9999999999991</v>
      </c>
      <c r="I16" s="328">
        <f ca="1">IF(H16=" "," ",SUM($F$3:F16)/H16)</f>
        <v>0.81833174754202376</v>
      </c>
      <c r="W16" s="308">
        <v>0</v>
      </c>
      <c r="X16" s="308">
        <v>4</v>
      </c>
      <c r="Y16" s="308">
        <f t="shared" si="0"/>
        <v>-4</v>
      </c>
      <c r="Z16" s="320"/>
      <c r="AA16" s="320"/>
      <c r="AB16" s="320"/>
      <c r="AC16" s="320"/>
    </row>
    <row r="17" spans="1:32" x14ac:dyDescent="0.3">
      <c r="A17" s="330">
        <v>15</v>
      </c>
      <c r="B17" s="321">
        <f ca="1">'0.ArdiData'!B17</f>
        <v>11086</v>
      </c>
      <c r="C17" s="322">
        <f t="shared" ca="1" si="1"/>
        <v>11086</v>
      </c>
      <c r="D17" s="331">
        <f ca="1">IF(A17&lt;$B$1," ",IF(A17=$B$1,AVERAGE($C$3:C17),D16+(C17-INDEX($C$3:$C$52,A17-$B$1))/$B$1))</f>
        <v>10298</v>
      </c>
      <c r="E17" s="324">
        <f t="shared" ca="1" si="4"/>
        <v>11473.833333333334</v>
      </c>
      <c r="F17" s="325">
        <f t="shared" ca="1" si="2"/>
        <v>-387.83333333333394</v>
      </c>
      <c r="G17" s="326">
        <f t="shared" ca="1" si="3"/>
        <v>387.83333333333394</v>
      </c>
      <c r="H17" s="327">
        <f ca="1">IFERROR(AVERAGE($G$3:G17), " ")</f>
        <v>4714.2037037037035</v>
      </c>
      <c r="I17" s="328">
        <f ca="1">IF(H17=" "," ",SUM($F$3:F17)/H17)</f>
        <v>0.82993868019028394</v>
      </c>
      <c r="W17" s="308">
        <v>0</v>
      </c>
      <c r="X17" s="308">
        <v>4</v>
      </c>
      <c r="Y17" s="308">
        <f t="shared" si="0"/>
        <v>-4</v>
      </c>
      <c r="Z17" s="320"/>
      <c r="AA17" s="320"/>
      <c r="AB17" s="320"/>
      <c r="AC17" s="320"/>
    </row>
    <row r="18" spans="1:32" x14ac:dyDescent="0.3">
      <c r="A18" s="330">
        <v>16</v>
      </c>
      <c r="B18" s="321">
        <f ca="1">'0.ArdiData'!B18</f>
        <v>14267</v>
      </c>
      <c r="C18" s="322">
        <f t="shared" ca="1" si="1"/>
        <v>14267</v>
      </c>
      <c r="D18" s="331">
        <f ca="1">IF(A18&lt;$B$1," ",IF(A18=$B$1,AVERAGE($C$3:C18),D17+(C18-INDEX($C$3:$C$52,A18-$B$1))/$B$1))</f>
        <v>12234.5</v>
      </c>
      <c r="E18" s="324">
        <f t="shared" ca="1" si="4"/>
        <v>10298</v>
      </c>
      <c r="F18" s="325">
        <f t="shared" ca="1" si="2"/>
        <v>3969</v>
      </c>
      <c r="G18" s="326">
        <f t="shared" ca="1" si="3"/>
        <v>3969</v>
      </c>
      <c r="H18" s="327">
        <f ca="1">IFERROR(AVERAGE($G$3:G18), " ")</f>
        <v>4639.6833333333325</v>
      </c>
      <c r="I18" s="328">
        <f ca="1">IF(H18=" "," ",SUM($F$3:F18)/H18)</f>
        <v>1.6987150703532212</v>
      </c>
      <c r="W18" s="308">
        <v>0</v>
      </c>
      <c r="X18" s="308">
        <v>4</v>
      </c>
      <c r="Y18" s="308">
        <f t="shared" si="0"/>
        <v>-4</v>
      </c>
      <c r="Z18" s="320"/>
      <c r="AA18" s="320"/>
      <c r="AB18" s="320"/>
      <c r="AC18" s="320"/>
    </row>
    <row r="19" spans="1:32" x14ac:dyDescent="0.3">
      <c r="A19" s="330">
        <v>17</v>
      </c>
      <c r="B19" s="321">
        <f ca="1">'0.ArdiData'!B19</f>
        <v>4436</v>
      </c>
      <c r="C19" s="322">
        <f t="shared" ca="1" si="1"/>
        <v>4436</v>
      </c>
      <c r="D19" s="331">
        <f ca="1">IF(A19&lt;$B$1," ",IF(A19=$B$1,AVERAGE($C$3:C19),D18+(C19-INDEX($C$3:$C$52,A19-$B$1))/$B$1))</f>
        <v>11762.666666666666</v>
      </c>
      <c r="E19" s="324">
        <f t="shared" ca="1" si="4"/>
        <v>12234.5</v>
      </c>
      <c r="F19" s="325">
        <f t="shared" ca="1" si="2"/>
        <v>-7798.5</v>
      </c>
      <c r="G19" s="326">
        <f t="shared" ca="1" si="3"/>
        <v>7798.5</v>
      </c>
      <c r="H19" s="327">
        <f ca="1">IFERROR(AVERAGE($G$3:G19), " ")</f>
        <v>4926.8484848484841</v>
      </c>
      <c r="I19" s="328">
        <f ca="1">IF(H19=" "," ",SUM($F$3:F19)/H19)</f>
        <v>1.6846468945665681E-2</v>
      </c>
      <c r="W19" s="308">
        <v>0</v>
      </c>
      <c r="X19" s="308">
        <v>4</v>
      </c>
      <c r="Y19" s="308">
        <f t="shared" si="0"/>
        <v>-4</v>
      </c>
      <c r="Z19" s="320"/>
      <c r="AA19" s="320"/>
      <c r="AB19" s="320"/>
      <c r="AC19" s="320"/>
    </row>
    <row r="20" spans="1:32" x14ac:dyDescent="0.3">
      <c r="A20" s="330">
        <v>18</v>
      </c>
      <c r="B20" s="321">
        <f ca="1">'0.ArdiData'!B20</f>
        <v>6851</v>
      </c>
      <c r="C20" s="322">
        <f t="shared" ca="1" si="1"/>
        <v>6851</v>
      </c>
      <c r="D20" s="331">
        <f ca="1">IF(A20&lt;$B$1," ",IF(A20=$B$1,AVERAGE($C$3:C20),D19+(C20-INDEX($C$3:$C$52,A20-$B$1))/$B$1))</f>
        <v>10718.833333333332</v>
      </c>
      <c r="E20" s="324">
        <f t="shared" ca="1" si="4"/>
        <v>11762.666666666666</v>
      </c>
      <c r="F20" s="325">
        <f t="shared" ca="1" si="2"/>
        <v>-4911.6666666666661</v>
      </c>
      <c r="G20" s="326">
        <f t="shared" ca="1" si="3"/>
        <v>4911.6666666666661</v>
      </c>
      <c r="H20" s="327">
        <f ca="1">IFERROR(AVERAGE($G$3:G20), " ")</f>
        <v>4925.583333333333</v>
      </c>
      <c r="I20" s="328">
        <f ca="1">IF(H20=" "," ",SUM($F$3:F20)/H20)</f>
        <v>-0.98032381951376313</v>
      </c>
      <c r="W20" s="308">
        <v>0</v>
      </c>
      <c r="X20" s="308">
        <v>4</v>
      </c>
      <c r="Y20" s="308">
        <f t="shared" si="0"/>
        <v>-4</v>
      </c>
      <c r="Z20" s="320"/>
      <c r="AA20" s="320"/>
      <c r="AB20" s="320"/>
      <c r="AC20" s="320"/>
    </row>
    <row r="21" spans="1:32" x14ac:dyDescent="0.3">
      <c r="A21" s="330">
        <v>19</v>
      </c>
      <c r="B21" s="321">
        <f ca="1">'0.ArdiData'!B21</f>
        <v>5786</v>
      </c>
      <c r="C21" s="322">
        <f t="shared" ca="1" si="1"/>
        <v>5786</v>
      </c>
      <c r="D21" s="331">
        <f ca="1">IF(A21&lt;$B$1," ",IF(A21=$B$1,AVERAGE($C$3:C21),D20+(C21-INDEX($C$3:$C$52,A21-$B$1))/$B$1))</f>
        <v>9069.6666666666661</v>
      </c>
      <c r="E21" s="324">
        <f t="shared" ca="1" si="4"/>
        <v>10718.833333333332</v>
      </c>
      <c r="F21" s="325">
        <f t="shared" ca="1" si="2"/>
        <v>-4932.8333333333321</v>
      </c>
      <c r="G21" s="326">
        <f t="shared" ca="1" si="3"/>
        <v>4932.8333333333321</v>
      </c>
      <c r="H21" s="327">
        <f ca="1">IFERROR(AVERAGE($G$3:G21), " ")</f>
        <v>4926.1410256410254</v>
      </c>
      <c r="I21" s="328">
        <f ca="1">IF(H21=" "," ",SUM($F$3:F21)/H21)</f>
        <v>-1.9815713657385114</v>
      </c>
      <c r="W21" s="308">
        <v>0</v>
      </c>
      <c r="X21" s="308">
        <v>4</v>
      </c>
      <c r="Y21" s="308">
        <f t="shared" si="0"/>
        <v>-4</v>
      </c>
      <c r="Z21" s="320"/>
      <c r="AA21" s="320"/>
      <c r="AB21" s="320"/>
      <c r="AC21" s="320"/>
    </row>
    <row r="22" spans="1:32" x14ac:dyDescent="0.3">
      <c r="A22" s="330">
        <v>20</v>
      </c>
      <c r="B22" s="321">
        <f ca="1">'0.ArdiData'!B22</f>
        <v>10452</v>
      </c>
      <c r="C22" s="322">
        <f t="shared" ca="1" si="1"/>
        <v>10452</v>
      </c>
      <c r="D22" s="331">
        <f ca="1">IF(A22&lt;$B$1," ",IF(A22=$B$1,AVERAGE($C$3:C22),D21+(C22-INDEX($C$3:$C$52,A22-$B$1))/$B$1))</f>
        <v>8813</v>
      </c>
      <c r="E22" s="324">
        <f t="shared" ca="1" si="4"/>
        <v>9069.6666666666661</v>
      </c>
      <c r="F22" s="325">
        <f t="shared" ca="1" si="2"/>
        <v>1382.3333333333339</v>
      </c>
      <c r="G22" s="326">
        <f t="shared" ca="1" si="3"/>
        <v>1382.3333333333339</v>
      </c>
      <c r="H22" s="327">
        <f ca="1">IFERROR(AVERAGE($G$3:G22), " ")</f>
        <v>4673.0119047619046</v>
      </c>
      <c r="I22" s="328">
        <f ca="1">IF(H22=" "," ",SUM($F$3:F22)/H22)</f>
        <v>-1.7930976503886293</v>
      </c>
      <c r="W22" s="308">
        <v>0</v>
      </c>
      <c r="X22" s="308">
        <v>4</v>
      </c>
      <c r="Y22" s="308">
        <f t="shared" si="0"/>
        <v>-4</v>
      </c>
      <c r="Z22" s="320"/>
      <c r="AA22" s="320"/>
      <c r="AB22" s="320"/>
      <c r="AC22" s="320"/>
    </row>
    <row r="23" spans="1:32" x14ac:dyDescent="0.3">
      <c r="A23" s="330">
        <v>21</v>
      </c>
      <c r="B23" s="321">
        <f ca="1">'0.ArdiData'!B23</f>
        <v>1730</v>
      </c>
      <c r="C23" s="322">
        <f t="shared" ca="1" si="1"/>
        <v>1730</v>
      </c>
      <c r="D23" s="331">
        <f ca="1">IF(A23&lt;$B$1," ",IF(A23=$B$1,AVERAGE($C$3:C23),D22+(C23-INDEX($C$3:$C$52,A23-$B$1))/$B$1))</f>
        <v>7253.666666666667</v>
      </c>
      <c r="E23" s="324">
        <f t="shared" ca="1" si="4"/>
        <v>8813</v>
      </c>
      <c r="F23" s="325">
        <f t="shared" ca="1" si="2"/>
        <v>-7083</v>
      </c>
      <c r="G23" s="326">
        <f t="shared" ca="1" si="3"/>
        <v>7083</v>
      </c>
      <c r="H23" s="327">
        <f ca="1">IFERROR(AVERAGE($G$3:G23), " ")</f>
        <v>4833.677777777777</v>
      </c>
      <c r="I23" s="328">
        <f ca="1">IF(H23=" "," ",SUM($F$3:F23)/H23)</f>
        <v>-3.1988410021354801</v>
      </c>
      <c r="W23" s="308">
        <v>0</v>
      </c>
      <c r="X23" s="308">
        <v>4</v>
      </c>
      <c r="Y23" s="308">
        <f t="shared" si="0"/>
        <v>-4</v>
      </c>
      <c r="Z23" s="320"/>
      <c r="AA23" s="320"/>
      <c r="AB23" s="320"/>
      <c r="AC23" s="320"/>
    </row>
    <row r="24" spans="1:32" x14ac:dyDescent="0.3">
      <c r="A24" s="330">
        <v>22</v>
      </c>
      <c r="B24" s="321">
        <f ca="1">'0.ArdiData'!B24</f>
        <v>18063</v>
      </c>
      <c r="C24" s="322">
        <f t="shared" ca="1" si="1"/>
        <v>18063</v>
      </c>
      <c r="D24" s="331">
        <f ca="1">IF(A24&lt;$B$1," ",IF(A24=$B$1,AVERAGE($C$3:C24),D23+(C24-INDEX($C$3:$C$52,A24-$B$1))/$B$1))</f>
        <v>7886.3333333333339</v>
      </c>
      <c r="E24" s="324">
        <f t="shared" ca="1" si="4"/>
        <v>7253.666666666667</v>
      </c>
      <c r="F24" s="325">
        <f t="shared" ca="1" si="2"/>
        <v>10809.333333333332</v>
      </c>
      <c r="G24" s="326">
        <f t="shared" ca="1" si="3"/>
        <v>10809.333333333332</v>
      </c>
      <c r="H24" s="327">
        <f ca="1">IFERROR(AVERAGE($G$3:G24), " ")</f>
        <v>5207.1562499999991</v>
      </c>
      <c r="I24" s="328">
        <f ca="1">IF(H24=" "," ",SUM($F$3:F24)/H24)</f>
        <v>-0.89354594138275245</v>
      </c>
      <c r="W24" s="308">
        <v>0</v>
      </c>
      <c r="X24" s="308">
        <v>4</v>
      </c>
      <c r="Y24" s="308">
        <f t="shared" si="0"/>
        <v>-4</v>
      </c>
      <c r="Z24" s="320"/>
      <c r="AA24" s="320"/>
      <c r="AB24" s="320"/>
      <c r="AC24" s="320"/>
    </row>
    <row r="25" spans="1:32" x14ac:dyDescent="0.3">
      <c r="A25" s="330">
        <v>23</v>
      </c>
      <c r="B25" s="321">
        <f ca="1">'0.ArdiData'!B25</f>
        <v>10025</v>
      </c>
      <c r="C25" s="322">
        <f t="shared" ca="1" si="1"/>
        <v>10025</v>
      </c>
      <c r="D25" s="331">
        <f ca="1">IF(A25&lt;$B$1," ",IF(A25=$B$1,AVERAGE($C$3:C25),D24+(C25-INDEX($C$3:$C$52,A25-$B$1))/$B$1))</f>
        <v>8817.8333333333339</v>
      </c>
      <c r="E25" s="324">
        <f t="shared" ca="1" si="4"/>
        <v>7886.3333333333339</v>
      </c>
      <c r="F25" s="325">
        <f t="shared" ca="1" si="2"/>
        <v>2138.6666666666661</v>
      </c>
      <c r="G25" s="326">
        <f t="shared" ca="1" si="3"/>
        <v>2138.6666666666661</v>
      </c>
      <c r="H25" s="327">
        <f ca="1">IFERROR(AVERAGE($G$3:G25), " ")</f>
        <v>5026.6568627450979</v>
      </c>
      <c r="I25" s="328">
        <f ca="1">IF(H25=" "," ",SUM($F$3:F25)/H25)</f>
        <v>-0.50016675800974797</v>
      </c>
      <c r="W25" s="308">
        <v>0</v>
      </c>
      <c r="X25" s="308">
        <v>4</v>
      </c>
      <c r="Y25" s="308">
        <f t="shared" si="0"/>
        <v>-4</v>
      </c>
      <c r="Z25" s="320"/>
      <c r="AA25" s="320"/>
      <c r="AB25" s="320">
        <v>0</v>
      </c>
      <c r="AC25" s="320">
        <v>0</v>
      </c>
      <c r="AD25" s="305">
        <v>0</v>
      </c>
      <c r="AE25" s="305">
        <v>-4</v>
      </c>
      <c r="AF25" s="305">
        <v>4</v>
      </c>
    </row>
    <row r="26" spans="1:32" x14ac:dyDescent="0.3">
      <c r="A26" s="330">
        <v>24</v>
      </c>
      <c r="B26" s="321">
        <f ca="1">'0.ArdiData'!B26</f>
        <v>4071</v>
      </c>
      <c r="C26" s="322">
        <f t="shared" ca="1" si="1"/>
        <v>4071</v>
      </c>
      <c r="D26" s="331">
        <f ca="1">IF(A26&lt;$B$1," ",IF(A26=$B$1,AVERAGE($C$3:C26),D25+(C26-INDEX($C$3:$C$52,A26-$B$1))/$B$1))</f>
        <v>8354.5</v>
      </c>
      <c r="E26" s="324">
        <f t="shared" ca="1" si="4"/>
        <v>8817.8333333333339</v>
      </c>
      <c r="F26" s="325">
        <f t="shared" ca="1" si="2"/>
        <v>-4746.8333333333339</v>
      </c>
      <c r="G26" s="326">
        <f t="shared" ca="1" si="3"/>
        <v>4746.8333333333339</v>
      </c>
      <c r="H26" s="327">
        <f ca="1">IFERROR(AVERAGE($G$3:G26), " ")</f>
        <v>5011.1111111111104</v>
      </c>
      <c r="I26" s="328">
        <f ca="1">IF(H26=" "," ",SUM($F$3:F26)/H26)</f>
        <v>-1.4489800443458982</v>
      </c>
      <c r="W26" s="308">
        <v>0</v>
      </c>
      <c r="X26" s="308">
        <v>4</v>
      </c>
      <c r="Y26" s="308">
        <f t="shared" si="0"/>
        <v>-4</v>
      </c>
      <c r="Z26" s="320"/>
      <c r="AA26" s="320"/>
      <c r="AB26" s="320"/>
      <c r="AC26" s="320">
        <v>30</v>
      </c>
      <c r="AD26" s="305">
        <v>0</v>
      </c>
      <c r="AE26" s="305">
        <v>-4</v>
      </c>
      <c r="AF26" s="305">
        <v>4</v>
      </c>
    </row>
    <row r="27" spans="1:32" x14ac:dyDescent="0.3">
      <c r="A27" s="330">
        <v>25</v>
      </c>
      <c r="B27" s="321">
        <f ca="1">'0.ArdiData'!B27</f>
        <v>17998</v>
      </c>
      <c r="C27" s="322">
        <f t="shared" ca="1" si="1"/>
        <v>17998</v>
      </c>
      <c r="D27" s="331">
        <f ca="1">IF(A27&lt;$B$1," ",IF(A27=$B$1,AVERAGE($C$3:C27),D26+(C27-INDEX($C$3:$C$52,A27-$B$1))/$B$1))</f>
        <v>10389.833333333334</v>
      </c>
      <c r="E27" s="324">
        <f t="shared" ca="1" si="4"/>
        <v>8354.5</v>
      </c>
      <c r="F27" s="325">
        <f t="shared" ca="1" si="2"/>
        <v>9643.5</v>
      </c>
      <c r="G27" s="326">
        <f t="shared" ca="1" si="3"/>
        <v>9643.5</v>
      </c>
      <c r="H27" s="327">
        <f ca="1">IFERROR(AVERAGE($G$3:G27), " ")</f>
        <v>5254.9210526315783</v>
      </c>
      <c r="I27" s="328">
        <f ca="1">IF(H27=" "," ",SUM($F$3:F27)/H27)</f>
        <v>0.45338454681576673</v>
      </c>
      <c r="W27" s="308">
        <v>0</v>
      </c>
      <c r="X27" s="308">
        <v>4</v>
      </c>
      <c r="Y27" s="308">
        <f t="shared" si="0"/>
        <v>-4</v>
      </c>
      <c r="Z27" s="320"/>
      <c r="AA27" s="320"/>
      <c r="AB27" s="320"/>
      <c r="AC27" s="320"/>
    </row>
    <row r="28" spans="1:32" x14ac:dyDescent="0.3">
      <c r="A28" s="330">
        <v>26</v>
      </c>
      <c r="B28" s="321">
        <f ca="1">'0.ArdiData'!B28</f>
        <v>19229</v>
      </c>
      <c r="C28" s="322">
        <f t="shared" ca="1" si="1"/>
        <v>19229</v>
      </c>
      <c r="D28" s="323">
        <f ca="1">IF(A28&lt;$B$1," ",IF(A28=$B$1,AVERAGE($C$3:C28),D27+(C28-INDEX($C$3:$C$52,A28-$B$1))/$B$1))</f>
        <v>11852.666666666668</v>
      </c>
      <c r="E28" s="324">
        <f t="shared" ca="1" si="4"/>
        <v>10389.833333333334</v>
      </c>
      <c r="F28" s="325">
        <f t="shared" ca="1" si="2"/>
        <v>8839.1666666666661</v>
      </c>
      <c r="G28" s="326">
        <f t="shared" ca="1" si="3"/>
        <v>8839.1666666666661</v>
      </c>
      <c r="H28" s="327">
        <f ca="1">IFERROR(AVERAGE($G$3:G28), " ")</f>
        <v>5434.1333333333332</v>
      </c>
      <c r="I28" s="328">
        <f ca="1">IF(H28=" "," ",SUM($F$3:F28)/H28)</f>
        <v>2.0650333693198548</v>
      </c>
      <c r="W28" s="308">
        <v>0</v>
      </c>
      <c r="X28" s="308">
        <v>4</v>
      </c>
      <c r="Y28" s="308">
        <f t="shared" si="0"/>
        <v>-4</v>
      </c>
      <c r="Z28" s="320"/>
      <c r="AA28" s="320"/>
      <c r="AB28" s="320"/>
      <c r="AC28" s="320"/>
    </row>
    <row r="29" spans="1:32" x14ac:dyDescent="0.3">
      <c r="A29" s="330">
        <v>27</v>
      </c>
      <c r="B29" s="321">
        <f ca="1">'0.ArdiData'!B29</f>
        <v>21932</v>
      </c>
      <c r="C29" s="322">
        <f t="shared" ca="1" si="1"/>
        <v>21932</v>
      </c>
      <c r="D29" s="323">
        <f ca="1">IF(A29&lt;$B$1," ",IF(A29=$B$1,AVERAGE($C$3:C29),D28+(C29-INDEX($C$3:$C$52,A29-$B$1))/$B$1))</f>
        <v>15219.666666666668</v>
      </c>
      <c r="E29" s="324">
        <f t="shared" ca="1" si="4"/>
        <v>11852.666666666668</v>
      </c>
      <c r="F29" s="325">
        <f t="shared" ca="1" si="2"/>
        <v>10079.333333333332</v>
      </c>
      <c r="G29" s="326">
        <f t="shared" ca="1" si="3"/>
        <v>10079.333333333332</v>
      </c>
      <c r="H29" s="327">
        <f ca="1">IFERROR(AVERAGE($G$3:G29), " ")</f>
        <v>5655.333333333333</v>
      </c>
      <c r="I29" s="328">
        <f ca="1">IF(H29=" "," ",SUM($F$3:F29)/H29)</f>
        <v>3.7665330661322649</v>
      </c>
      <c r="W29" s="308">
        <v>0</v>
      </c>
      <c r="X29" s="308">
        <v>4</v>
      </c>
      <c r="Y29" s="308">
        <f t="shared" si="0"/>
        <v>-4</v>
      </c>
      <c r="Z29" s="320"/>
      <c r="AA29" s="320"/>
      <c r="AB29" s="320"/>
      <c r="AC29" s="320"/>
    </row>
    <row r="30" spans="1:32" x14ac:dyDescent="0.3">
      <c r="A30" s="330">
        <v>28</v>
      </c>
      <c r="B30" s="321">
        <f ca="1">'0.ArdiData'!B30</f>
        <v>16974</v>
      </c>
      <c r="C30" s="322">
        <f t="shared" ca="1" si="1"/>
        <v>16974</v>
      </c>
      <c r="D30" s="331">
        <f ca="1">IF(A30&lt;$B$1," ",IF(A30=$B$1,AVERAGE($C$3:C30),D29+(C30-INDEX($C$3:$C$52,A30-$B$1))/$B$1))</f>
        <v>15038.166666666668</v>
      </c>
      <c r="E30" s="324">
        <f t="shared" ca="1" si="4"/>
        <v>15219.666666666668</v>
      </c>
      <c r="F30" s="325">
        <f t="shared" ca="1" si="2"/>
        <v>1754.3333333333321</v>
      </c>
      <c r="G30" s="326">
        <f t="shared" ca="1" si="3"/>
        <v>1754.3333333333321</v>
      </c>
      <c r="H30" s="327">
        <f ca="1">IFERROR(AVERAGE($G$3:G30), " ")</f>
        <v>5478.015151515151</v>
      </c>
      <c r="I30" s="328">
        <f ca="1">IF(H30=" "," ",SUM($F$3:F30)/H30)</f>
        <v>4.208702001665058</v>
      </c>
      <c r="W30" s="308">
        <v>0</v>
      </c>
      <c r="X30" s="308">
        <v>4</v>
      </c>
      <c r="Y30" s="308">
        <f t="shared" si="0"/>
        <v>-4</v>
      </c>
      <c r="Z30" s="320"/>
      <c r="AA30" s="320"/>
      <c r="AB30" s="320"/>
      <c r="AC30" s="320"/>
    </row>
    <row r="31" spans="1:32" x14ac:dyDescent="0.3">
      <c r="A31" s="330">
        <v>29</v>
      </c>
      <c r="B31" s="321">
        <f ca="1">'0.ArdiData'!B31</f>
        <v>15678</v>
      </c>
      <c r="C31" s="322">
        <f t="shared" ca="1" si="1"/>
        <v>15678</v>
      </c>
      <c r="D31" s="331">
        <f ca="1">IF(A31&lt;$B$1," ",IF(A31=$B$1,AVERAGE($C$3:C31),D30+(C31-INDEX($C$3:$C$52,A31-$B$1))/$B$1))</f>
        <v>15980.333333333334</v>
      </c>
      <c r="E31" s="324">
        <f t="shared" ca="1" si="4"/>
        <v>15038.166666666668</v>
      </c>
      <c r="F31" s="325">
        <f t="shared" ca="1" si="2"/>
        <v>639.83333333333212</v>
      </c>
      <c r="G31" s="326">
        <f t="shared" ca="1" si="3"/>
        <v>639.83333333333212</v>
      </c>
      <c r="H31" s="327">
        <f ca="1">IFERROR(AVERAGE($G$3:G31), " ")</f>
        <v>5267.6594202898541</v>
      </c>
      <c r="I31" s="328">
        <f ca="1">IF(H31=" "," ",SUM($F$3:F31)/H31)</f>
        <v>4.4982343724421794</v>
      </c>
      <c r="Z31" s="320"/>
      <c r="AA31" s="320"/>
      <c r="AB31" s="320"/>
      <c r="AC31" s="320"/>
    </row>
    <row r="32" spans="1:32" ht="17.25" thickBot="1" x14ac:dyDescent="0.35">
      <c r="A32" s="333">
        <v>30</v>
      </c>
      <c r="B32" s="334">
        <f ca="1">'0.ArdiData'!B32</f>
        <v>12263</v>
      </c>
      <c r="C32" s="322">
        <f t="shared" ca="1" si="1"/>
        <v>12263</v>
      </c>
      <c r="D32" s="335">
        <f ca="1">IF(A32&lt;$B$1," ",IF(A32=$B$1,AVERAGE($C$3:C32),D31+(C32-INDEX($C$3:$C$52,A32-$B$1))/$B$1))</f>
        <v>17345.666666666668</v>
      </c>
      <c r="E32" s="336">
        <f t="shared" ca="1" si="4"/>
        <v>15980.333333333334</v>
      </c>
      <c r="F32" s="337">
        <f t="shared" ca="1" si="2"/>
        <v>-3717.3333333333339</v>
      </c>
      <c r="G32" s="338">
        <f t="shared" ca="1" si="3"/>
        <v>3717.3333333333339</v>
      </c>
      <c r="H32" s="339">
        <f ca="1">IFERROR(AVERAGE($G$3:G32), " ")</f>
        <v>5203.0624999999991</v>
      </c>
      <c r="I32" s="340">
        <f ca="1">IF(H32=" "," ",SUM($F$3:F32)/H32)</f>
        <v>3.8396297052617245</v>
      </c>
      <c r="Z32" s="320"/>
      <c r="AA32" s="320"/>
      <c r="AB32" s="320"/>
      <c r="AC32" s="320"/>
    </row>
    <row r="33" spans="1:29" ht="17.25" thickBot="1" x14ac:dyDescent="0.35">
      <c r="A33" s="305">
        <v>31</v>
      </c>
      <c r="B33" s="171"/>
      <c r="C33" s="171"/>
      <c r="D33" s="341"/>
      <c r="E33" s="342">
        <f t="shared" ca="1" si="4"/>
        <v>17345.666666666668</v>
      </c>
      <c r="F33" s="343"/>
      <c r="G33" s="344"/>
      <c r="H33" s="171"/>
      <c r="I33" s="345"/>
      <c r="J33" s="345"/>
      <c r="K33" s="345"/>
      <c r="L33" s="345"/>
      <c r="M33" s="171"/>
      <c r="N33" s="171"/>
      <c r="O33" s="171"/>
      <c r="Z33" s="320"/>
      <c r="AA33" s="320"/>
      <c r="AB33" s="320"/>
      <c r="AC33" s="320"/>
    </row>
    <row r="34" spans="1:29" x14ac:dyDescent="0.3">
      <c r="A34" s="171"/>
      <c r="B34" s="171"/>
      <c r="C34" s="171"/>
      <c r="D34" s="171"/>
      <c r="E34" s="171"/>
      <c r="F34" s="171"/>
      <c r="G34" s="171"/>
      <c r="H34" s="171"/>
      <c r="I34" s="346"/>
      <c r="J34" s="346"/>
      <c r="K34" s="346"/>
      <c r="L34" s="346"/>
      <c r="M34" s="171"/>
      <c r="N34" s="171"/>
      <c r="O34" s="171"/>
      <c r="Z34" s="320"/>
      <c r="AA34" s="320"/>
      <c r="AB34" s="320"/>
      <c r="AC34" s="320"/>
    </row>
    <row r="35" spans="1:29" x14ac:dyDescent="0.3">
      <c r="A35" s="171"/>
      <c r="B35" s="171"/>
      <c r="C35" s="171"/>
      <c r="D35" s="171"/>
      <c r="E35" s="171"/>
      <c r="F35" s="171"/>
      <c r="G35" s="171"/>
      <c r="H35" s="171"/>
      <c r="I35" s="346"/>
      <c r="J35" s="346"/>
      <c r="K35" s="346"/>
      <c r="L35" s="346"/>
      <c r="M35" s="171"/>
      <c r="N35" s="171"/>
      <c r="O35" s="171"/>
      <c r="Z35" s="320"/>
      <c r="AA35" s="320"/>
      <c r="AB35" s="320"/>
      <c r="AC35" s="320"/>
    </row>
    <row r="36" spans="1:29" x14ac:dyDescent="0.3">
      <c r="A36" s="171"/>
      <c r="B36" s="171"/>
      <c r="C36" s="171"/>
      <c r="D36" s="171"/>
      <c r="E36" s="171"/>
      <c r="F36" s="171"/>
      <c r="G36" s="171"/>
      <c r="H36" s="171"/>
      <c r="I36" s="346"/>
      <c r="J36" s="346"/>
      <c r="K36" s="346"/>
      <c r="L36" s="346"/>
      <c r="M36" s="171"/>
      <c r="N36" s="171"/>
      <c r="O36" s="171"/>
      <c r="Z36" s="320"/>
      <c r="AA36" s="320"/>
      <c r="AB36" s="320"/>
      <c r="AC36" s="320"/>
    </row>
    <row r="37" spans="1:29" x14ac:dyDescent="0.3">
      <c r="A37" s="171"/>
      <c r="B37" s="171"/>
      <c r="C37" s="171"/>
      <c r="D37" s="171"/>
      <c r="E37" s="171"/>
      <c r="F37" s="171"/>
      <c r="G37" s="171"/>
      <c r="H37" s="171"/>
      <c r="I37" s="346"/>
      <c r="J37" s="346"/>
      <c r="K37" s="346"/>
      <c r="L37" s="346"/>
      <c r="M37" s="171"/>
      <c r="N37" s="171"/>
      <c r="O37" s="171"/>
      <c r="Z37" s="320"/>
      <c r="AA37" s="320"/>
      <c r="AB37" s="320"/>
      <c r="AC37" s="320"/>
    </row>
    <row r="38" spans="1:29" x14ac:dyDescent="0.3">
      <c r="A38" s="171"/>
      <c r="B38" s="171"/>
      <c r="C38" s="171"/>
      <c r="D38" s="171"/>
      <c r="E38" s="171"/>
      <c r="F38" s="171"/>
      <c r="G38" s="171"/>
      <c r="H38" s="171"/>
      <c r="I38" s="346"/>
      <c r="J38" s="346"/>
      <c r="K38" s="346"/>
      <c r="L38" s="346"/>
      <c r="M38" s="171"/>
      <c r="N38" s="171"/>
      <c r="O38" s="171"/>
      <c r="Z38" s="320"/>
      <c r="AA38" s="320"/>
      <c r="AB38" s="320"/>
      <c r="AC38" s="320"/>
    </row>
    <row r="39" spans="1:29" x14ac:dyDescent="0.3">
      <c r="A39" s="171"/>
      <c r="B39" s="171"/>
      <c r="C39" s="171"/>
      <c r="D39" s="171"/>
      <c r="E39" s="171"/>
      <c r="F39" s="171"/>
      <c r="G39" s="171"/>
      <c r="H39" s="171"/>
      <c r="I39" s="346"/>
      <c r="J39" s="346"/>
      <c r="K39" s="346"/>
      <c r="L39" s="346"/>
      <c r="M39" s="171"/>
      <c r="N39" s="171"/>
      <c r="O39" s="171"/>
      <c r="Z39" s="320"/>
      <c r="AA39" s="320"/>
      <c r="AB39" s="320"/>
      <c r="AC39" s="320"/>
    </row>
    <row r="40" spans="1:29" x14ac:dyDescent="0.3">
      <c r="A40" s="171"/>
      <c r="B40" s="171"/>
      <c r="C40" s="171"/>
      <c r="D40" s="171"/>
      <c r="E40" s="171"/>
      <c r="F40" s="171"/>
      <c r="G40" s="171"/>
      <c r="H40" s="171"/>
      <c r="I40" s="346"/>
      <c r="J40" s="346"/>
      <c r="K40" s="346"/>
      <c r="L40" s="346"/>
      <c r="M40" s="171"/>
      <c r="N40" s="171"/>
      <c r="O40" s="171"/>
      <c r="Z40" s="320"/>
      <c r="AA40" s="320"/>
      <c r="AB40" s="320"/>
      <c r="AC40" s="320"/>
    </row>
    <row r="41" spans="1:29" x14ac:dyDescent="0.3">
      <c r="A41" s="171"/>
      <c r="B41" s="171"/>
      <c r="C41" s="171"/>
      <c r="D41" s="171"/>
      <c r="E41" s="171"/>
      <c r="F41" s="171"/>
      <c r="G41" s="171"/>
      <c r="H41" s="171"/>
      <c r="I41" s="346"/>
      <c r="J41" s="346"/>
      <c r="K41" s="346"/>
      <c r="L41" s="346"/>
      <c r="M41" s="171"/>
      <c r="N41" s="171"/>
      <c r="O41" s="171"/>
      <c r="Z41" s="320"/>
      <c r="AA41" s="320"/>
      <c r="AB41" s="320"/>
      <c r="AC41" s="320"/>
    </row>
    <row r="42" spans="1:29" x14ac:dyDescent="0.3">
      <c r="A42" s="171"/>
      <c r="B42" s="171"/>
      <c r="C42" s="171"/>
      <c r="D42" s="171"/>
      <c r="E42" s="171"/>
      <c r="F42" s="171"/>
      <c r="G42" s="171"/>
      <c r="H42" s="171"/>
      <c r="I42" s="346"/>
      <c r="J42" s="346"/>
      <c r="K42" s="346"/>
      <c r="L42" s="346"/>
      <c r="M42" s="171"/>
      <c r="N42" s="171"/>
      <c r="O42" s="171"/>
      <c r="Z42" s="320"/>
      <c r="AA42" s="320"/>
      <c r="AB42" s="320"/>
      <c r="AC42" s="320"/>
    </row>
    <row r="43" spans="1:29" x14ac:dyDescent="0.3">
      <c r="A43" s="171"/>
      <c r="B43" s="171"/>
      <c r="C43" s="171"/>
      <c r="D43" s="171"/>
      <c r="E43" s="171"/>
      <c r="F43" s="171"/>
      <c r="G43" s="171"/>
      <c r="H43" s="171"/>
      <c r="I43" s="346"/>
      <c r="J43" s="346"/>
      <c r="K43" s="346"/>
      <c r="L43" s="346"/>
      <c r="M43" s="171"/>
      <c r="N43" s="171"/>
      <c r="O43" s="171"/>
      <c r="Z43" s="320"/>
      <c r="AA43" s="320"/>
      <c r="AB43" s="320"/>
      <c r="AC43" s="320"/>
    </row>
    <row r="44" spans="1:29" x14ac:dyDescent="0.3">
      <c r="A44" s="171"/>
      <c r="B44" s="171"/>
      <c r="C44" s="171"/>
      <c r="D44" s="171"/>
      <c r="E44" s="171"/>
      <c r="F44" s="171"/>
      <c r="G44" s="171"/>
      <c r="H44" s="171"/>
      <c r="I44" s="346"/>
      <c r="J44" s="346"/>
      <c r="K44" s="346"/>
      <c r="L44" s="346"/>
      <c r="M44" s="171"/>
      <c r="N44" s="171"/>
      <c r="O44" s="171"/>
      <c r="Z44" s="320"/>
      <c r="AA44" s="320"/>
      <c r="AB44" s="320"/>
      <c r="AC44" s="320"/>
    </row>
    <row r="45" spans="1:29" x14ac:dyDescent="0.3">
      <c r="A45" s="171"/>
      <c r="B45" s="171"/>
      <c r="C45" s="171"/>
      <c r="D45" s="171"/>
      <c r="E45" s="171"/>
      <c r="F45" s="171"/>
      <c r="G45" s="171"/>
      <c r="H45" s="171"/>
      <c r="I45" s="346"/>
      <c r="J45" s="346"/>
      <c r="K45" s="346"/>
      <c r="L45" s="346"/>
      <c r="M45" s="171"/>
      <c r="N45" s="171"/>
      <c r="O45" s="171"/>
      <c r="Z45" s="320"/>
      <c r="AA45" s="320"/>
      <c r="AB45" s="320"/>
      <c r="AC45" s="320"/>
    </row>
    <row r="46" spans="1:29" x14ac:dyDescent="0.3">
      <c r="A46" s="171"/>
      <c r="B46" s="171"/>
      <c r="C46" s="171"/>
      <c r="D46" s="171"/>
      <c r="E46" s="171"/>
      <c r="F46" s="171"/>
      <c r="G46" s="171"/>
      <c r="H46" s="171"/>
      <c r="I46" s="346"/>
      <c r="J46" s="346"/>
      <c r="K46" s="346"/>
      <c r="L46" s="346"/>
      <c r="M46" s="171"/>
      <c r="N46" s="171"/>
      <c r="O46" s="171"/>
      <c r="Z46" s="320"/>
      <c r="AA46" s="320"/>
      <c r="AB46" s="320"/>
      <c r="AC46" s="320"/>
    </row>
    <row r="47" spans="1:29" x14ac:dyDescent="0.3">
      <c r="A47" s="171"/>
      <c r="B47" s="171"/>
      <c r="C47" s="171"/>
      <c r="D47" s="171"/>
      <c r="E47" s="171"/>
      <c r="F47" s="171"/>
      <c r="G47" s="171"/>
      <c r="H47" s="171"/>
      <c r="I47" s="346"/>
      <c r="J47" s="346"/>
      <c r="K47" s="346"/>
      <c r="L47" s="346"/>
      <c r="M47" s="171"/>
      <c r="N47" s="171"/>
      <c r="O47" s="171"/>
      <c r="Z47" s="320"/>
      <c r="AA47" s="320"/>
      <c r="AB47" s="320"/>
      <c r="AC47" s="320"/>
    </row>
    <row r="48" spans="1:29" x14ac:dyDescent="0.3">
      <c r="A48" s="171"/>
      <c r="B48" s="171"/>
      <c r="C48" s="171"/>
      <c r="D48" s="171"/>
      <c r="E48" s="171"/>
      <c r="F48" s="171"/>
      <c r="G48" s="171"/>
      <c r="H48" s="171"/>
      <c r="I48" s="346"/>
      <c r="J48" s="346"/>
      <c r="K48" s="346"/>
      <c r="L48" s="346"/>
      <c r="M48" s="171"/>
      <c r="N48" s="171"/>
      <c r="O48" s="171"/>
      <c r="Z48" s="320"/>
      <c r="AA48" s="320"/>
      <c r="AB48" s="320"/>
      <c r="AC48" s="320"/>
    </row>
    <row r="49" spans="1:29" x14ac:dyDescent="0.3">
      <c r="A49" s="171"/>
      <c r="B49" s="171"/>
      <c r="C49" s="171"/>
      <c r="D49" s="171"/>
      <c r="E49" s="171"/>
      <c r="F49" s="171"/>
      <c r="G49" s="171"/>
      <c r="H49" s="171"/>
      <c r="I49" s="346"/>
      <c r="J49" s="346"/>
      <c r="K49" s="346"/>
      <c r="L49" s="346"/>
      <c r="M49" s="171"/>
      <c r="N49" s="171"/>
      <c r="O49" s="171"/>
      <c r="Z49" s="320"/>
      <c r="AA49" s="320"/>
      <c r="AB49" s="320"/>
      <c r="AC49" s="320"/>
    </row>
    <row r="50" spans="1:29" x14ac:dyDescent="0.3">
      <c r="A50" s="171"/>
      <c r="B50" s="171"/>
      <c r="C50" s="171"/>
      <c r="D50" s="171"/>
      <c r="E50" s="171"/>
      <c r="F50" s="171"/>
      <c r="G50" s="171"/>
      <c r="H50" s="171"/>
      <c r="I50" s="346"/>
      <c r="J50" s="346"/>
      <c r="K50" s="346"/>
      <c r="L50" s="346"/>
      <c r="M50" s="171"/>
      <c r="N50" s="171"/>
      <c r="O50" s="171"/>
      <c r="Z50" s="320"/>
      <c r="AA50" s="320"/>
      <c r="AB50" s="320"/>
      <c r="AC50" s="320"/>
    </row>
    <row r="51" spans="1:29" x14ac:dyDescent="0.3">
      <c r="A51" s="171"/>
      <c r="B51" s="171"/>
      <c r="C51" s="171"/>
      <c r="D51" s="171"/>
      <c r="E51" s="171"/>
      <c r="F51" s="171"/>
      <c r="G51" s="171"/>
      <c r="H51" s="171"/>
      <c r="I51" s="346"/>
      <c r="J51" s="346"/>
      <c r="K51" s="346"/>
      <c r="L51" s="346"/>
      <c r="M51" s="171"/>
      <c r="N51" s="171"/>
      <c r="O51" s="171"/>
      <c r="Z51" s="320"/>
      <c r="AA51" s="320"/>
      <c r="AB51" s="320"/>
      <c r="AC51" s="320"/>
    </row>
    <row r="52" spans="1:29" x14ac:dyDescent="0.3">
      <c r="A52" s="171"/>
      <c r="B52" s="171"/>
      <c r="C52" s="171"/>
      <c r="D52" s="171"/>
      <c r="E52" s="171"/>
      <c r="F52" s="171"/>
      <c r="G52" s="171"/>
      <c r="H52" s="171"/>
      <c r="I52" s="346"/>
      <c r="J52" s="346"/>
      <c r="K52" s="346"/>
      <c r="L52" s="346"/>
      <c r="M52" s="171"/>
      <c r="N52" s="171"/>
      <c r="O52" s="171"/>
      <c r="Z52" s="320"/>
      <c r="AA52" s="320"/>
      <c r="AB52" s="320"/>
      <c r="AC52" s="320"/>
    </row>
    <row r="53" spans="1:29" x14ac:dyDescent="0.3">
      <c r="A53" s="171"/>
      <c r="B53" s="171"/>
      <c r="C53" s="171"/>
      <c r="D53" s="171"/>
      <c r="E53" s="171"/>
      <c r="F53" s="171"/>
      <c r="G53" s="171"/>
      <c r="H53" s="171"/>
      <c r="I53" s="346"/>
      <c r="J53" s="346"/>
      <c r="K53" s="346"/>
      <c r="L53" s="346"/>
      <c r="M53" s="171"/>
      <c r="N53" s="171"/>
      <c r="O53" s="171"/>
    </row>
    <row r="54" spans="1:29" x14ac:dyDescent="0.3">
      <c r="A54" s="171"/>
      <c r="B54" s="171"/>
      <c r="C54" s="171"/>
      <c r="D54" s="171"/>
      <c r="E54" s="171"/>
      <c r="F54" s="171"/>
      <c r="G54" s="171"/>
      <c r="H54" s="171"/>
      <c r="I54" s="346"/>
      <c r="J54" s="346"/>
      <c r="K54" s="346"/>
      <c r="L54" s="346"/>
      <c r="M54" s="171"/>
      <c r="N54" s="171"/>
      <c r="O54" s="171"/>
    </row>
    <row r="55" spans="1:29" x14ac:dyDescent="0.3">
      <c r="A55" s="171"/>
      <c r="B55" s="171"/>
      <c r="C55" s="171"/>
      <c r="D55" s="171"/>
      <c r="E55" s="171"/>
      <c r="F55" s="171"/>
      <c r="G55" s="171"/>
      <c r="H55" s="171"/>
      <c r="I55" s="346"/>
      <c r="J55" s="346"/>
      <c r="K55" s="346"/>
      <c r="L55" s="346"/>
      <c r="M55" s="171"/>
      <c r="N55" s="171"/>
      <c r="O55" s="171"/>
    </row>
    <row r="56" spans="1:29" x14ac:dyDescent="0.3">
      <c r="A56" s="171"/>
      <c r="B56" s="171"/>
      <c r="C56" s="171"/>
      <c r="D56" s="171"/>
      <c r="E56" s="171"/>
      <c r="F56" s="171"/>
      <c r="G56" s="171"/>
      <c r="H56" s="171"/>
      <c r="I56" s="346"/>
      <c r="J56" s="346"/>
      <c r="K56" s="346"/>
      <c r="L56" s="346"/>
      <c r="M56" s="171"/>
      <c r="N56" s="171"/>
      <c r="O56" s="171"/>
    </row>
    <row r="57" spans="1:29" x14ac:dyDescent="0.3">
      <c r="A57" s="171"/>
      <c r="B57" s="171"/>
      <c r="C57" s="171"/>
      <c r="D57" s="171"/>
      <c r="E57" s="171"/>
      <c r="F57" s="171"/>
      <c r="G57" s="171"/>
      <c r="H57" s="171"/>
      <c r="I57" s="346"/>
      <c r="J57" s="346"/>
      <c r="K57" s="346"/>
      <c r="L57" s="346"/>
      <c r="M57" s="171"/>
      <c r="N57" s="171"/>
      <c r="O57" s="171"/>
    </row>
    <row r="58" spans="1:29" x14ac:dyDescent="0.3">
      <c r="A58" s="171"/>
      <c r="B58" s="171"/>
      <c r="C58" s="171"/>
      <c r="D58" s="171"/>
      <c r="E58" s="171"/>
      <c r="F58" s="171"/>
      <c r="G58" s="171"/>
      <c r="H58" s="171"/>
      <c r="I58" s="346"/>
      <c r="J58" s="346"/>
      <c r="K58" s="346"/>
      <c r="L58" s="346"/>
      <c r="M58" s="171"/>
      <c r="N58" s="171"/>
      <c r="O58" s="171"/>
    </row>
    <row r="59" spans="1:29" x14ac:dyDescent="0.3">
      <c r="A59" s="171"/>
      <c r="B59" s="171"/>
      <c r="C59" s="171"/>
      <c r="D59" s="171"/>
      <c r="E59" s="171"/>
      <c r="F59" s="171"/>
      <c r="G59" s="171"/>
      <c r="H59" s="171"/>
      <c r="I59" s="346"/>
      <c r="J59" s="346"/>
      <c r="K59" s="346"/>
      <c r="L59" s="346"/>
      <c r="M59" s="171"/>
      <c r="N59" s="171"/>
      <c r="O59" s="171"/>
    </row>
    <row r="60" spans="1:29" x14ac:dyDescent="0.3">
      <c r="A60" s="171"/>
      <c r="B60" s="171"/>
      <c r="C60" s="171"/>
      <c r="D60" s="171"/>
      <c r="E60" s="171"/>
      <c r="F60" s="171"/>
      <c r="G60" s="171"/>
      <c r="H60" s="171"/>
      <c r="I60" s="346"/>
      <c r="J60" s="346"/>
      <c r="K60" s="346"/>
      <c r="L60" s="346"/>
      <c r="M60" s="171"/>
      <c r="N60" s="171"/>
      <c r="O60" s="171"/>
    </row>
    <row r="61" spans="1:29" x14ac:dyDescent="0.3">
      <c r="A61" s="171"/>
      <c r="B61" s="171"/>
      <c r="C61" s="171"/>
      <c r="D61" s="171"/>
      <c r="E61" s="171"/>
      <c r="F61" s="171"/>
      <c r="G61" s="171"/>
      <c r="H61" s="171"/>
      <c r="I61" s="346"/>
      <c r="J61" s="346"/>
      <c r="K61" s="346"/>
      <c r="L61" s="346"/>
      <c r="M61" s="171"/>
      <c r="N61" s="171"/>
      <c r="O61" s="171"/>
    </row>
    <row r="62" spans="1:29" x14ac:dyDescent="0.3">
      <c r="A62" s="171"/>
      <c r="B62" s="171"/>
      <c r="C62" s="171"/>
      <c r="D62" s="171"/>
      <c r="E62" s="171"/>
      <c r="F62" s="171"/>
      <c r="G62" s="171"/>
      <c r="H62" s="171"/>
      <c r="I62" s="346"/>
      <c r="J62" s="346"/>
      <c r="K62" s="346"/>
      <c r="L62" s="346"/>
      <c r="M62" s="171"/>
      <c r="N62" s="171"/>
      <c r="O62" s="171"/>
    </row>
    <row r="63" spans="1:29" x14ac:dyDescent="0.3">
      <c r="A63" s="171"/>
      <c r="B63" s="171"/>
      <c r="C63" s="171"/>
      <c r="D63" s="171"/>
      <c r="E63" s="171"/>
      <c r="F63" s="171"/>
      <c r="G63" s="171"/>
      <c r="H63" s="171"/>
      <c r="I63" s="346"/>
      <c r="J63" s="346"/>
      <c r="K63" s="346"/>
      <c r="L63" s="346"/>
      <c r="M63" s="171"/>
      <c r="N63" s="171"/>
      <c r="O63" s="171"/>
    </row>
    <row r="64" spans="1:29" x14ac:dyDescent="0.3">
      <c r="A64" s="171"/>
      <c r="B64" s="171"/>
      <c r="C64" s="171"/>
      <c r="D64" s="171"/>
      <c r="E64" s="171"/>
      <c r="F64" s="171"/>
      <c r="G64" s="171"/>
      <c r="H64" s="171"/>
      <c r="I64" s="346"/>
      <c r="J64" s="346"/>
      <c r="K64" s="346"/>
      <c r="L64" s="346"/>
      <c r="M64" s="171"/>
      <c r="N64" s="171"/>
      <c r="O64" s="171"/>
    </row>
    <row r="65" spans="1:15" x14ac:dyDescent="0.3">
      <c r="A65" s="171"/>
      <c r="B65" s="171"/>
      <c r="C65" s="171"/>
      <c r="D65" s="171"/>
      <c r="E65" s="171"/>
      <c r="F65" s="171"/>
      <c r="G65" s="171"/>
      <c r="H65" s="171"/>
      <c r="I65" s="346"/>
      <c r="J65" s="346"/>
      <c r="K65" s="346"/>
      <c r="L65" s="346"/>
      <c r="M65" s="171"/>
      <c r="N65" s="171"/>
      <c r="O65" s="171"/>
    </row>
    <row r="66" spans="1:15" x14ac:dyDescent="0.3">
      <c r="A66" s="171"/>
      <c r="B66" s="171"/>
      <c r="C66" s="171"/>
      <c r="D66" s="171"/>
      <c r="E66" s="171"/>
      <c r="F66" s="171"/>
      <c r="G66" s="171"/>
      <c r="H66" s="171"/>
      <c r="I66" s="346"/>
      <c r="J66" s="346"/>
      <c r="K66" s="346"/>
      <c r="L66" s="346"/>
      <c r="M66" s="171"/>
      <c r="N66" s="171"/>
      <c r="O66" s="171"/>
    </row>
    <row r="67" spans="1:15" x14ac:dyDescent="0.3">
      <c r="A67" s="171"/>
      <c r="B67" s="171"/>
      <c r="C67" s="171"/>
      <c r="D67" s="171"/>
      <c r="E67" s="171"/>
      <c r="F67" s="171"/>
      <c r="G67" s="171"/>
      <c r="H67" s="171"/>
      <c r="I67" s="346"/>
      <c r="J67" s="346"/>
      <c r="K67" s="346"/>
      <c r="L67" s="346"/>
      <c r="M67" s="171"/>
      <c r="N67" s="171"/>
      <c r="O67" s="171"/>
    </row>
    <row r="68" spans="1:15" x14ac:dyDescent="0.3">
      <c r="A68" s="171"/>
      <c r="B68" s="171"/>
      <c r="C68" s="171"/>
      <c r="D68" s="171"/>
      <c r="E68" s="171"/>
      <c r="F68" s="171"/>
      <c r="G68" s="171"/>
      <c r="H68" s="171"/>
      <c r="I68" s="346"/>
      <c r="J68" s="346"/>
      <c r="K68" s="346"/>
      <c r="L68" s="346"/>
      <c r="M68" s="171"/>
      <c r="N68" s="171"/>
      <c r="O68" s="171"/>
    </row>
    <row r="69" spans="1:15" x14ac:dyDescent="0.3">
      <c r="A69" s="171"/>
      <c r="B69" s="171"/>
      <c r="C69" s="171"/>
      <c r="D69" s="171"/>
      <c r="E69" s="171"/>
      <c r="F69" s="171"/>
      <c r="G69" s="171"/>
      <c r="H69" s="171"/>
      <c r="I69" s="346"/>
      <c r="J69" s="346"/>
      <c r="K69" s="346"/>
      <c r="L69" s="346"/>
      <c r="M69" s="171"/>
      <c r="N69" s="171"/>
      <c r="O69" s="171"/>
    </row>
    <row r="70" spans="1:15" x14ac:dyDescent="0.3">
      <c r="A70" s="171"/>
      <c r="B70" s="171"/>
      <c r="C70" s="171"/>
      <c r="D70" s="171"/>
      <c r="E70" s="171"/>
      <c r="F70" s="171"/>
      <c r="G70" s="171"/>
      <c r="H70" s="171"/>
      <c r="I70" s="346"/>
      <c r="J70" s="346"/>
      <c r="K70" s="346"/>
      <c r="L70" s="346"/>
      <c r="M70" s="171"/>
      <c r="N70" s="171"/>
      <c r="O70" s="171"/>
    </row>
    <row r="71" spans="1:15" x14ac:dyDescent="0.3">
      <c r="A71" s="171"/>
      <c r="B71" s="171"/>
      <c r="C71" s="171"/>
      <c r="D71" s="171"/>
      <c r="E71" s="171"/>
      <c r="F71" s="171"/>
      <c r="G71" s="171"/>
      <c r="H71" s="171"/>
      <c r="I71" s="346"/>
      <c r="J71" s="346"/>
      <c r="K71" s="346"/>
      <c r="L71" s="346"/>
      <c r="M71" s="171"/>
      <c r="N71" s="171"/>
      <c r="O71" s="171"/>
    </row>
    <row r="72" spans="1:15" x14ac:dyDescent="0.3">
      <c r="A72" s="171"/>
      <c r="B72" s="171"/>
      <c r="C72" s="171"/>
      <c r="D72" s="171"/>
      <c r="E72" s="171"/>
      <c r="F72" s="171"/>
      <c r="G72" s="171"/>
      <c r="H72" s="171"/>
      <c r="I72" s="346"/>
      <c r="J72" s="346"/>
      <c r="K72" s="346"/>
      <c r="L72" s="346"/>
      <c r="M72" s="171"/>
      <c r="N72" s="171"/>
      <c r="O72" s="171"/>
    </row>
    <row r="73" spans="1:15" x14ac:dyDescent="0.3">
      <c r="A73" s="171"/>
      <c r="B73" s="171"/>
      <c r="C73" s="171"/>
      <c r="D73" s="171"/>
      <c r="E73" s="171"/>
      <c r="F73" s="171"/>
      <c r="G73" s="171"/>
      <c r="H73" s="171"/>
      <c r="I73" s="346"/>
      <c r="J73" s="346"/>
      <c r="K73" s="346"/>
      <c r="L73" s="346"/>
      <c r="M73" s="171"/>
      <c r="N73" s="171"/>
      <c r="O73" s="171"/>
    </row>
    <row r="74" spans="1:15" x14ac:dyDescent="0.3">
      <c r="A74" s="171"/>
      <c r="B74" s="171"/>
      <c r="C74" s="171"/>
      <c r="D74" s="171"/>
      <c r="E74" s="171"/>
      <c r="F74" s="171"/>
      <c r="G74" s="171"/>
      <c r="H74" s="171"/>
      <c r="I74" s="346"/>
      <c r="J74" s="346"/>
      <c r="K74" s="346"/>
      <c r="L74" s="346"/>
      <c r="M74" s="171"/>
      <c r="N74" s="171"/>
      <c r="O74" s="171"/>
    </row>
    <row r="75" spans="1:15" x14ac:dyDescent="0.3">
      <c r="A75" s="171"/>
      <c r="B75" s="171"/>
      <c r="C75" s="171"/>
      <c r="D75" s="171"/>
      <c r="E75" s="171"/>
      <c r="F75" s="171"/>
      <c r="G75" s="171"/>
      <c r="H75" s="171"/>
      <c r="I75" s="346"/>
      <c r="J75" s="346"/>
      <c r="K75" s="346"/>
      <c r="L75" s="346"/>
      <c r="M75" s="171"/>
      <c r="N75" s="171"/>
      <c r="O75" s="171"/>
    </row>
    <row r="76" spans="1:15" x14ac:dyDescent="0.3">
      <c r="A76" s="171"/>
      <c r="B76" s="171"/>
      <c r="C76" s="171"/>
      <c r="D76" s="171"/>
      <c r="E76" s="171"/>
      <c r="F76" s="171"/>
      <c r="G76" s="171"/>
      <c r="H76" s="171"/>
      <c r="I76" s="346"/>
      <c r="J76" s="346"/>
      <c r="K76" s="346"/>
      <c r="L76" s="346"/>
      <c r="M76" s="171"/>
      <c r="N76" s="171"/>
      <c r="O76" s="171"/>
    </row>
    <row r="77" spans="1:15" x14ac:dyDescent="0.3">
      <c r="A77" s="171"/>
      <c r="B77" s="171"/>
      <c r="C77" s="171"/>
      <c r="D77" s="171"/>
      <c r="E77" s="171"/>
      <c r="F77" s="171"/>
      <c r="G77" s="171"/>
      <c r="H77" s="171"/>
      <c r="I77" s="346"/>
      <c r="J77" s="346"/>
      <c r="K77" s="346"/>
      <c r="L77" s="346"/>
      <c r="M77" s="171"/>
      <c r="N77" s="171"/>
      <c r="O77" s="171"/>
    </row>
    <row r="78" spans="1:15" x14ac:dyDescent="0.3">
      <c r="A78" s="171"/>
      <c r="B78" s="171"/>
      <c r="C78" s="171"/>
      <c r="D78" s="171"/>
      <c r="E78" s="171"/>
      <c r="F78" s="171"/>
      <c r="G78" s="171"/>
      <c r="H78" s="171"/>
      <c r="I78" s="346"/>
      <c r="J78" s="346"/>
      <c r="K78" s="346"/>
      <c r="L78" s="346"/>
      <c r="M78" s="171"/>
      <c r="N78" s="171"/>
      <c r="O78" s="171"/>
    </row>
    <row r="79" spans="1:15" x14ac:dyDescent="0.3">
      <c r="A79" s="171"/>
      <c r="B79" s="171"/>
      <c r="C79" s="171"/>
      <c r="D79" s="171"/>
      <c r="E79" s="171"/>
      <c r="F79" s="171"/>
      <c r="G79" s="171"/>
      <c r="H79" s="171"/>
      <c r="I79" s="346"/>
      <c r="J79" s="346"/>
      <c r="K79" s="346"/>
      <c r="L79" s="346"/>
      <c r="M79" s="171"/>
      <c r="N79" s="171"/>
      <c r="O79" s="171"/>
    </row>
    <row r="80" spans="1:15" x14ac:dyDescent="0.3">
      <c r="A80" s="171"/>
      <c r="B80" s="171"/>
      <c r="C80" s="171"/>
      <c r="D80" s="171"/>
      <c r="E80" s="171"/>
      <c r="F80" s="171"/>
      <c r="G80" s="171"/>
      <c r="H80" s="171"/>
      <c r="I80" s="346"/>
      <c r="J80" s="346"/>
      <c r="K80" s="346"/>
      <c r="L80" s="346"/>
      <c r="M80" s="171"/>
      <c r="N80" s="171"/>
      <c r="O80" s="171"/>
    </row>
    <row r="81" spans="1:15" x14ac:dyDescent="0.3">
      <c r="A81" s="171"/>
      <c r="B81" s="171"/>
      <c r="C81" s="171"/>
      <c r="D81" s="171"/>
      <c r="E81" s="171"/>
      <c r="F81" s="171"/>
      <c r="G81" s="171"/>
      <c r="H81" s="171"/>
      <c r="I81" s="346"/>
      <c r="J81" s="346"/>
      <c r="K81" s="346"/>
      <c r="L81" s="346"/>
      <c r="M81" s="171"/>
      <c r="N81" s="171"/>
      <c r="O81" s="171"/>
    </row>
    <row r="82" spans="1:15" x14ac:dyDescent="0.3">
      <c r="A82" s="171"/>
      <c r="B82" s="171"/>
      <c r="C82" s="171"/>
      <c r="D82" s="171"/>
      <c r="E82" s="171"/>
      <c r="F82" s="171"/>
      <c r="G82" s="171"/>
      <c r="H82" s="171"/>
      <c r="I82" s="346"/>
      <c r="J82" s="346"/>
      <c r="K82" s="346"/>
      <c r="L82" s="346"/>
      <c r="M82" s="171"/>
      <c r="N82" s="171"/>
      <c r="O82" s="171"/>
    </row>
    <row r="83" spans="1:15" x14ac:dyDescent="0.3">
      <c r="A83" s="171"/>
      <c r="B83" s="171"/>
      <c r="C83" s="171"/>
      <c r="D83" s="171"/>
      <c r="E83" s="171"/>
      <c r="F83" s="171"/>
      <c r="G83" s="171"/>
      <c r="H83" s="171"/>
      <c r="I83" s="346"/>
      <c r="J83" s="346"/>
      <c r="K83" s="346"/>
      <c r="L83" s="346"/>
      <c r="M83" s="171"/>
      <c r="N83" s="171"/>
      <c r="O83" s="171"/>
    </row>
    <row r="84" spans="1:15" x14ac:dyDescent="0.3">
      <c r="A84" s="171"/>
      <c r="B84" s="171"/>
      <c r="C84" s="171"/>
      <c r="D84" s="171"/>
      <c r="E84" s="171"/>
      <c r="F84" s="171"/>
      <c r="G84" s="171"/>
      <c r="H84" s="171"/>
      <c r="I84" s="346"/>
      <c r="J84" s="346"/>
      <c r="K84" s="346"/>
      <c r="L84" s="346"/>
      <c r="M84" s="171"/>
      <c r="N84" s="171"/>
      <c r="O84" s="171"/>
    </row>
    <row r="85" spans="1:15" x14ac:dyDescent="0.3">
      <c r="A85" s="171"/>
      <c r="B85" s="171"/>
      <c r="C85" s="171"/>
      <c r="D85" s="171"/>
      <c r="E85" s="171"/>
      <c r="F85" s="171"/>
      <c r="G85" s="171"/>
      <c r="H85" s="171"/>
      <c r="I85" s="346"/>
      <c r="J85" s="346"/>
      <c r="K85" s="346"/>
      <c r="L85" s="346"/>
      <c r="M85" s="171"/>
      <c r="N85" s="171"/>
      <c r="O85" s="171"/>
    </row>
    <row r="86" spans="1:15" x14ac:dyDescent="0.3">
      <c r="A86" s="171"/>
      <c r="B86" s="171"/>
      <c r="C86" s="171"/>
      <c r="D86" s="171"/>
      <c r="E86" s="171"/>
      <c r="F86" s="171"/>
      <c r="G86" s="171"/>
      <c r="H86" s="171"/>
      <c r="I86" s="346"/>
      <c r="J86" s="346"/>
      <c r="K86" s="346"/>
      <c r="L86" s="346"/>
      <c r="M86" s="171"/>
      <c r="N86" s="171"/>
      <c r="O86" s="171"/>
    </row>
    <row r="87" spans="1:15" x14ac:dyDescent="0.3">
      <c r="A87" s="171"/>
      <c r="B87" s="171"/>
      <c r="C87" s="171"/>
      <c r="D87" s="171"/>
      <c r="E87" s="171"/>
      <c r="F87" s="171"/>
      <c r="G87" s="171"/>
      <c r="H87" s="171"/>
      <c r="I87" s="346"/>
      <c r="J87" s="346"/>
      <c r="K87" s="346"/>
      <c r="L87" s="346"/>
      <c r="M87" s="171"/>
      <c r="N87" s="171"/>
      <c r="O87" s="171"/>
    </row>
    <row r="88" spans="1:15" x14ac:dyDescent="0.3">
      <c r="A88" s="171"/>
      <c r="B88" s="171"/>
      <c r="C88" s="171"/>
      <c r="D88" s="171"/>
      <c r="E88" s="171"/>
      <c r="F88" s="171"/>
      <c r="G88" s="171"/>
      <c r="H88" s="171"/>
      <c r="I88" s="346"/>
      <c r="J88" s="346"/>
      <c r="K88" s="346"/>
      <c r="L88" s="346"/>
      <c r="M88" s="171"/>
      <c r="N88" s="171"/>
      <c r="O88" s="171"/>
    </row>
    <row r="89" spans="1:15" x14ac:dyDescent="0.3">
      <c r="A89" s="171"/>
      <c r="B89" s="171"/>
      <c r="C89" s="171"/>
      <c r="D89" s="171"/>
      <c r="E89" s="171"/>
      <c r="F89" s="171"/>
      <c r="G89" s="171"/>
      <c r="H89" s="171"/>
      <c r="I89" s="346"/>
      <c r="J89" s="346"/>
      <c r="K89" s="346"/>
      <c r="L89" s="346"/>
      <c r="M89" s="171"/>
      <c r="N89" s="171"/>
      <c r="O89" s="171"/>
    </row>
    <row r="90" spans="1:15" x14ac:dyDescent="0.3">
      <c r="A90" s="171"/>
      <c r="B90" s="171"/>
      <c r="C90" s="171"/>
      <c r="D90" s="171"/>
      <c r="E90" s="171"/>
      <c r="F90" s="171"/>
      <c r="G90" s="171"/>
      <c r="H90" s="171"/>
      <c r="I90" s="346"/>
      <c r="J90" s="346"/>
      <c r="K90" s="346"/>
      <c r="L90" s="346"/>
      <c r="M90" s="171"/>
      <c r="N90" s="171"/>
      <c r="O90" s="171"/>
    </row>
    <row r="91" spans="1:15" x14ac:dyDescent="0.3">
      <c r="A91" s="171"/>
      <c r="B91" s="171"/>
      <c r="C91" s="171"/>
      <c r="D91" s="171"/>
      <c r="E91" s="171"/>
      <c r="F91" s="171"/>
      <c r="G91" s="171"/>
      <c r="H91" s="171"/>
      <c r="I91" s="346"/>
      <c r="J91" s="346"/>
      <c r="K91" s="346"/>
      <c r="L91" s="346"/>
      <c r="M91" s="171"/>
      <c r="N91" s="171"/>
      <c r="O91" s="171"/>
    </row>
    <row r="92" spans="1:15" x14ac:dyDescent="0.3">
      <c r="A92" s="171"/>
      <c r="B92" s="171"/>
      <c r="C92" s="171"/>
      <c r="D92" s="171"/>
      <c r="E92" s="171"/>
      <c r="F92" s="171"/>
      <c r="G92" s="171"/>
      <c r="H92" s="171"/>
      <c r="I92" s="346"/>
      <c r="J92" s="346"/>
      <c r="K92" s="346"/>
      <c r="L92" s="346"/>
      <c r="M92" s="171"/>
      <c r="N92" s="171"/>
      <c r="O92" s="171"/>
    </row>
    <row r="93" spans="1:15" x14ac:dyDescent="0.3">
      <c r="A93" s="171"/>
      <c r="B93" s="171"/>
      <c r="C93" s="171"/>
      <c r="D93" s="171"/>
      <c r="E93" s="171"/>
      <c r="F93" s="171"/>
      <c r="G93" s="171"/>
      <c r="H93" s="171"/>
      <c r="I93" s="346"/>
      <c r="J93" s="346"/>
      <c r="K93" s="346"/>
      <c r="L93" s="346"/>
      <c r="M93" s="171"/>
      <c r="N93" s="171"/>
      <c r="O93" s="171"/>
    </row>
    <row r="94" spans="1:15" x14ac:dyDescent="0.3">
      <c r="A94" s="171"/>
      <c r="B94" s="171"/>
      <c r="C94" s="171"/>
      <c r="D94" s="171"/>
      <c r="E94" s="171"/>
      <c r="F94" s="171"/>
      <c r="G94" s="171"/>
      <c r="H94" s="171"/>
      <c r="I94" s="346"/>
      <c r="J94" s="346"/>
      <c r="K94" s="346"/>
      <c r="L94" s="346"/>
      <c r="M94" s="171"/>
      <c r="N94" s="171"/>
      <c r="O94" s="171"/>
    </row>
    <row r="95" spans="1:15" x14ac:dyDescent="0.3">
      <c r="A95" s="171"/>
      <c r="B95" s="171"/>
      <c r="C95" s="171"/>
      <c r="D95" s="171"/>
      <c r="E95" s="171"/>
      <c r="F95" s="171"/>
      <c r="G95" s="171"/>
      <c r="H95" s="171"/>
      <c r="I95" s="346"/>
      <c r="J95" s="346"/>
      <c r="K95" s="346"/>
      <c r="L95" s="346"/>
      <c r="M95" s="171"/>
      <c r="N95" s="171"/>
      <c r="O95" s="171"/>
    </row>
    <row r="96" spans="1:15" x14ac:dyDescent="0.3">
      <c r="A96" s="171"/>
      <c r="B96" s="171"/>
      <c r="C96" s="171"/>
      <c r="D96" s="171"/>
      <c r="E96" s="171"/>
      <c r="F96" s="171"/>
      <c r="G96" s="171"/>
      <c r="H96" s="171"/>
      <c r="I96" s="346"/>
      <c r="J96" s="346"/>
      <c r="K96" s="346"/>
      <c r="L96" s="346"/>
      <c r="M96" s="171"/>
      <c r="N96" s="171"/>
      <c r="O96" s="171"/>
    </row>
    <row r="97" spans="1:15" x14ac:dyDescent="0.3">
      <c r="A97" s="171"/>
      <c r="B97" s="171"/>
      <c r="C97" s="171"/>
      <c r="D97" s="171"/>
      <c r="E97" s="171"/>
      <c r="F97" s="171"/>
      <c r="G97" s="171"/>
      <c r="H97" s="171"/>
      <c r="I97" s="346"/>
      <c r="J97" s="346"/>
      <c r="K97" s="346"/>
      <c r="L97" s="346"/>
      <c r="M97" s="171"/>
      <c r="N97" s="171"/>
      <c r="O97" s="171"/>
    </row>
    <row r="98" spans="1:15" x14ac:dyDescent="0.3">
      <c r="A98" s="171"/>
      <c r="B98" s="171"/>
      <c r="C98" s="171"/>
      <c r="D98" s="171"/>
      <c r="E98" s="171"/>
      <c r="F98" s="171"/>
      <c r="G98" s="171"/>
      <c r="H98" s="171"/>
      <c r="I98" s="346"/>
      <c r="J98" s="346"/>
      <c r="K98" s="346"/>
      <c r="L98" s="346"/>
      <c r="M98" s="171"/>
      <c r="N98" s="171"/>
      <c r="O98" s="171"/>
    </row>
    <row r="99" spans="1:15" x14ac:dyDescent="0.3">
      <c r="A99" s="171"/>
      <c r="B99" s="171"/>
      <c r="C99" s="171"/>
      <c r="D99" s="171"/>
      <c r="E99" s="171"/>
      <c r="F99" s="171"/>
      <c r="G99" s="171"/>
      <c r="H99" s="171"/>
      <c r="I99" s="346"/>
      <c r="J99" s="346"/>
      <c r="K99" s="346"/>
      <c r="L99" s="346"/>
      <c r="M99" s="171"/>
      <c r="N99" s="171"/>
      <c r="O99" s="171"/>
    </row>
    <row r="100" spans="1:15" x14ac:dyDescent="0.3">
      <c r="A100" s="171"/>
      <c r="B100" s="171"/>
      <c r="C100" s="171"/>
      <c r="D100" s="171"/>
      <c r="E100" s="171"/>
      <c r="F100" s="171"/>
      <c r="G100" s="171"/>
      <c r="H100" s="171"/>
      <c r="I100" s="346"/>
      <c r="J100" s="346"/>
      <c r="K100" s="346"/>
      <c r="L100" s="346"/>
      <c r="M100" s="171"/>
      <c r="N100" s="171"/>
      <c r="O100" s="171"/>
    </row>
    <row r="101" spans="1:15" x14ac:dyDescent="0.3">
      <c r="A101" s="171"/>
      <c r="B101" s="171"/>
      <c r="C101" s="171"/>
      <c r="D101" s="171"/>
      <c r="E101" s="171"/>
      <c r="F101" s="171"/>
      <c r="G101" s="171"/>
      <c r="H101" s="171"/>
      <c r="I101" s="346"/>
      <c r="J101" s="346"/>
      <c r="K101" s="346"/>
      <c r="L101" s="346"/>
      <c r="M101" s="171"/>
      <c r="N101" s="171"/>
      <c r="O101" s="171"/>
    </row>
    <row r="102" spans="1:15" x14ac:dyDescent="0.3">
      <c r="A102" s="171"/>
      <c r="B102" s="171"/>
      <c r="C102" s="171"/>
      <c r="D102" s="171"/>
      <c r="E102" s="171"/>
      <c r="F102" s="171"/>
      <c r="G102" s="171"/>
      <c r="H102" s="171"/>
      <c r="I102" s="346"/>
      <c r="J102" s="346"/>
      <c r="K102" s="346"/>
      <c r="L102" s="346"/>
      <c r="M102" s="171"/>
      <c r="N102" s="171"/>
      <c r="O102" s="171"/>
    </row>
    <row r="103" spans="1:15" x14ac:dyDescent="0.3">
      <c r="A103" s="171"/>
      <c r="B103" s="171"/>
      <c r="C103" s="171"/>
      <c r="D103" s="171"/>
      <c r="E103" s="171"/>
      <c r="F103" s="171"/>
      <c r="G103" s="171"/>
      <c r="H103" s="171"/>
      <c r="I103" s="346"/>
      <c r="J103" s="346"/>
      <c r="K103" s="346"/>
      <c r="L103" s="346"/>
      <c r="M103" s="171"/>
      <c r="N103" s="171"/>
      <c r="O103" s="171"/>
    </row>
    <row r="104" spans="1:15" x14ac:dyDescent="0.3">
      <c r="A104" s="171"/>
      <c r="B104" s="171"/>
      <c r="C104" s="171"/>
      <c r="D104" s="171"/>
      <c r="E104" s="171"/>
      <c r="F104" s="171"/>
      <c r="G104" s="171"/>
      <c r="H104" s="171"/>
      <c r="I104" s="346"/>
      <c r="J104" s="346"/>
      <c r="K104" s="346"/>
      <c r="L104" s="346"/>
      <c r="M104" s="171"/>
      <c r="N104" s="171"/>
      <c r="O104" s="171"/>
    </row>
    <row r="105" spans="1:15" x14ac:dyDescent="0.3">
      <c r="A105" s="171"/>
      <c r="B105" s="171"/>
      <c r="C105" s="171"/>
      <c r="D105" s="171"/>
      <c r="E105" s="171"/>
      <c r="F105" s="171"/>
      <c r="G105" s="171"/>
      <c r="H105" s="171"/>
      <c r="I105" s="346"/>
      <c r="J105" s="346"/>
      <c r="K105" s="346"/>
      <c r="L105" s="346"/>
      <c r="M105" s="171"/>
      <c r="N105" s="171"/>
      <c r="O105" s="171"/>
    </row>
    <row r="106" spans="1:15" x14ac:dyDescent="0.3">
      <c r="A106" s="171"/>
      <c r="B106" s="171"/>
      <c r="C106" s="171"/>
      <c r="D106" s="171"/>
      <c r="E106" s="171"/>
      <c r="F106" s="171"/>
      <c r="G106" s="171"/>
      <c r="H106" s="171"/>
      <c r="I106" s="346"/>
      <c r="J106" s="346"/>
      <c r="K106" s="346"/>
      <c r="L106" s="346"/>
      <c r="M106" s="171"/>
      <c r="N106" s="171"/>
      <c r="O106" s="171"/>
    </row>
    <row r="107" spans="1:15" x14ac:dyDescent="0.3">
      <c r="B107" s="171"/>
      <c r="C107" s="171"/>
    </row>
    <row r="108" spans="1:15" x14ac:dyDescent="0.3">
      <c r="B108" s="171"/>
      <c r="C108" s="171"/>
    </row>
    <row r="109" spans="1:15" x14ac:dyDescent="0.3">
      <c r="B109" s="171"/>
      <c r="C109" s="171"/>
    </row>
    <row r="110" spans="1:15" x14ac:dyDescent="0.3">
      <c r="B110" s="171"/>
      <c r="C110" s="171"/>
    </row>
    <row r="111" spans="1:15" x14ac:dyDescent="0.3">
      <c r="B111" s="171"/>
      <c r="C111" s="171"/>
    </row>
    <row r="112" spans="1:15" x14ac:dyDescent="0.3">
      <c r="B112" s="171"/>
      <c r="C112" s="171"/>
    </row>
    <row r="113" spans="2:3" x14ac:dyDescent="0.3">
      <c r="B113" s="171"/>
      <c r="C113" s="171"/>
    </row>
    <row r="114" spans="2:3" x14ac:dyDescent="0.3">
      <c r="B114" s="171"/>
      <c r="C114" s="171"/>
    </row>
    <row r="115" spans="2:3" x14ac:dyDescent="0.3">
      <c r="B115" s="171"/>
      <c r="C115" s="171"/>
    </row>
    <row r="116" spans="2:3" x14ac:dyDescent="0.3">
      <c r="B116" s="171"/>
      <c r="C116" s="17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"/>
  <sheetViews>
    <sheetView zoomScale="71" zoomScaleNormal="71" workbookViewId="0">
      <selection activeCell="AD22" sqref="AD22"/>
    </sheetView>
  </sheetViews>
  <sheetFormatPr defaultRowHeight="16.5" x14ac:dyDescent="0.3"/>
  <cols>
    <col min="1" max="1" width="4" style="305" bestFit="1" customWidth="1"/>
    <col min="2" max="3" width="9.140625" style="305"/>
    <col min="4" max="4" width="10.28515625" style="305" bestFit="1" customWidth="1"/>
    <col min="5" max="5" width="10.28515625" style="305" customWidth="1"/>
    <col min="6" max="6" width="10.28515625" style="307" customWidth="1"/>
    <col min="7" max="8" width="10.28515625" style="305" customWidth="1"/>
    <col min="9" max="10" width="10.28515625" style="307" customWidth="1"/>
    <col min="11" max="11" width="3.5703125" style="307" bestFit="1" customWidth="1"/>
    <col min="12" max="12" width="4.28515625" style="307" bestFit="1" customWidth="1"/>
    <col min="13" max="13" width="6.5703125" style="305" customWidth="1"/>
    <col min="14" max="14" width="7.28515625" style="305" customWidth="1"/>
    <col min="15" max="15" width="8.140625" style="305" bestFit="1" customWidth="1"/>
    <col min="16" max="16" width="6.7109375" style="305" bestFit="1" customWidth="1"/>
    <col min="17" max="17" width="6.7109375" style="305" customWidth="1"/>
    <col min="18" max="18" width="7.85546875" style="305" customWidth="1"/>
    <col min="19" max="22" width="9.140625" style="305"/>
    <col min="23" max="24" width="3.5703125" style="332" bestFit="1" customWidth="1"/>
    <col min="25" max="25" width="4.28515625" style="332" bestFit="1" customWidth="1"/>
    <col min="26" max="16384" width="9.140625" style="305"/>
  </cols>
  <sheetData>
    <row r="1" spans="1:29" ht="17.25" thickBot="1" x14ac:dyDescent="0.35">
      <c r="B1" s="306">
        <f ca="1">RANDBETWEEN(1,10)</f>
        <v>4</v>
      </c>
      <c r="C1" s="306"/>
      <c r="D1" s="305" t="s">
        <v>59</v>
      </c>
      <c r="M1" s="305" t="str">
        <f ca="1">B1&amp;"-Period MA: F ("&amp;A33&amp;") = Mean: "&amp;ROUND(E33,0)&amp;", CV "&amp;ROUND(1.25*H32/E32,2)</f>
        <v>4-Period MA: F (31) = Mean: 16712, CV 0.34</v>
      </c>
      <c r="W1" s="308">
        <v>0</v>
      </c>
      <c r="X1" s="308">
        <v>4</v>
      </c>
      <c r="Y1" s="308">
        <f>-X1</f>
        <v>-4</v>
      </c>
      <c r="Z1" s="309"/>
      <c r="AA1" s="309"/>
      <c r="AB1" s="309"/>
    </row>
    <row r="2" spans="1:29" ht="17.25" thickBot="1" x14ac:dyDescent="0.35">
      <c r="A2" s="310"/>
      <c r="B2" s="311" t="s">
        <v>24</v>
      </c>
      <c r="C2" s="312" t="s">
        <v>60</v>
      </c>
      <c r="D2" s="313" t="s">
        <v>61</v>
      </c>
      <c r="E2" s="314" t="s">
        <v>62</v>
      </c>
      <c r="F2" s="315" t="s">
        <v>30</v>
      </c>
      <c r="G2" s="316" t="s">
        <v>23</v>
      </c>
      <c r="H2" s="317" t="s">
        <v>17</v>
      </c>
      <c r="I2" s="318" t="s">
        <v>68</v>
      </c>
      <c r="J2" s="319"/>
      <c r="K2" s="319"/>
      <c r="L2" s="319"/>
      <c r="M2" s="79" t="str">
        <f ca="1">_xlfn.FORMULATEXT(M1)</f>
        <v>=B1&amp;"-Period MA: F ("&amp;A33&amp;") = Mean: "&amp;ROUND(E33,0)&amp;", CV "&amp;ROUND(1.25*H32/E32,2)</v>
      </c>
      <c r="N2" s="76"/>
      <c r="O2" s="76"/>
      <c r="P2" s="76"/>
      <c r="Q2" s="76"/>
      <c r="R2" s="76"/>
      <c r="W2" s="308">
        <v>0</v>
      </c>
      <c r="X2" s="308">
        <v>4</v>
      </c>
      <c r="Y2" s="308">
        <f t="shared" ref="Y2:Y30" si="0">-X2</f>
        <v>-4</v>
      </c>
      <c r="Z2" s="320"/>
      <c r="AA2" s="320"/>
      <c r="AB2" s="320"/>
      <c r="AC2" s="320"/>
    </row>
    <row r="3" spans="1:29" x14ac:dyDescent="0.3">
      <c r="A3" s="310">
        <v>1</v>
      </c>
      <c r="B3" s="321">
        <f ca="1">'0.ArdiData'!B3</f>
        <v>5673</v>
      </c>
      <c r="C3" s="322">
        <f ca="1">B3</f>
        <v>5673</v>
      </c>
      <c r="D3" s="323" t="str">
        <f ca="1">IF(A3&lt;$B$1," ",IF(A3=$B$1,AVERAGE($C$3:C3),D2+(C3-INDEX($C$3:$C$52,A3-$B$1))/$B$1))</f>
        <v xml:space="preserve"> </v>
      </c>
      <c r="E3" s="324" t="str">
        <f xml:space="preserve"> " "</f>
        <v xml:space="preserve"> </v>
      </c>
      <c r="F3" s="325" t="str">
        <f>IF(E3=" "," ",C3-E3)</f>
        <v xml:space="preserve"> </v>
      </c>
      <c r="G3" s="326" t="str">
        <f>IF(F3=" "," ",ABS(F3))</f>
        <v xml:space="preserve"> </v>
      </c>
      <c r="H3" s="327" t="str">
        <f>IFERROR(AVERAGE($G$3:G3), " ")</f>
        <v xml:space="preserve"> </v>
      </c>
      <c r="I3" s="328" t="str">
        <f>IF(H3=" "," ",SUM($F$3:F3)/H3)</f>
        <v xml:space="preserve"> </v>
      </c>
      <c r="J3" s="329"/>
      <c r="M3" s="77"/>
      <c r="N3" s="76"/>
      <c r="O3" s="78"/>
      <c r="P3" s="77"/>
      <c r="Q3" s="77"/>
      <c r="R3" s="77"/>
      <c r="W3" s="308">
        <v>0</v>
      </c>
      <c r="X3" s="308">
        <v>4</v>
      </c>
      <c r="Y3" s="308">
        <f t="shared" si="0"/>
        <v>-4</v>
      </c>
      <c r="Z3" s="320"/>
      <c r="AA3" s="320"/>
      <c r="AB3" s="320"/>
      <c r="AC3" s="320"/>
    </row>
    <row r="4" spans="1:29" x14ac:dyDescent="0.3">
      <c r="A4" s="330">
        <v>2</v>
      </c>
      <c r="B4" s="321">
        <f ca="1">'0.ArdiData'!B4</f>
        <v>10089</v>
      </c>
      <c r="C4" s="322">
        <f t="shared" ref="C4:C32" ca="1" si="1">B4</f>
        <v>10089</v>
      </c>
      <c r="D4" s="331" t="str">
        <f ca="1">IF(A4&lt;$B$1," ",IF(A4=$B$1,AVERAGE($C$3:C4),D3+(C4-INDEX($C$3:$C$52,A4-$B$1))/$B$1))</f>
        <v xml:space="preserve"> </v>
      </c>
      <c r="E4" s="324" t="str">
        <f ca="1">D3</f>
        <v xml:space="preserve"> </v>
      </c>
      <c r="F4" s="325" t="str">
        <f t="shared" ref="F4:F32" ca="1" si="2">IF(E4=" "," ",C4-E4)</f>
        <v xml:space="preserve"> </v>
      </c>
      <c r="G4" s="326" t="str">
        <f t="shared" ref="G4:G32" ca="1" si="3">IF(F4=" "," ",ABS(F4))</f>
        <v xml:space="preserve"> </v>
      </c>
      <c r="H4" s="327" t="str">
        <f ca="1">IFERROR(AVERAGE($G$3:G4), " ")</f>
        <v xml:space="preserve"> </v>
      </c>
      <c r="I4" s="328" t="str">
        <f ca="1">IF(H4=" "," ",SUM($F$3:F4)/H4)</f>
        <v xml:space="preserve"> </v>
      </c>
      <c r="J4" s="329" t="str">
        <f ca="1">IF(A4&lt;$B$1," ",IF(A4=$B$1,AVERAGE($C$3:C4),D3+(C4-INDEX($C$3:$C$32,A4-$B$1))/$B$1))</f>
        <v xml:space="preserve"> </v>
      </c>
      <c r="M4" s="79"/>
      <c r="N4" s="76"/>
      <c r="O4" s="76"/>
      <c r="P4" s="76"/>
      <c r="Q4" s="76"/>
      <c r="R4" s="76"/>
      <c r="W4" s="308">
        <v>0</v>
      </c>
      <c r="X4" s="308">
        <v>4</v>
      </c>
      <c r="Y4" s="308">
        <f t="shared" si="0"/>
        <v>-4</v>
      </c>
      <c r="Z4" s="320"/>
      <c r="AA4" s="320"/>
      <c r="AB4" s="320"/>
      <c r="AC4" s="320"/>
    </row>
    <row r="5" spans="1:29" x14ac:dyDescent="0.3">
      <c r="A5" s="330">
        <v>3</v>
      </c>
      <c r="B5" s="321">
        <f ca="1">'0.ArdiData'!B5</f>
        <v>3359</v>
      </c>
      <c r="C5" s="322">
        <f t="shared" ca="1" si="1"/>
        <v>3359</v>
      </c>
      <c r="D5" s="331" t="str">
        <f ca="1">IF(A5&lt;$B$1," ",IF(A5=$B$1,AVERAGE($C$3:C5),D4+(C5-INDEX($C$3:$C$52,A5-$B$1))/$B$1))</f>
        <v xml:space="preserve"> </v>
      </c>
      <c r="E5" s="324" t="str">
        <f t="shared" ref="E5:E33" ca="1" si="4">D4</f>
        <v xml:space="preserve"> </v>
      </c>
      <c r="F5" s="325" t="str">
        <f t="shared" ca="1" si="2"/>
        <v xml:space="preserve"> </v>
      </c>
      <c r="G5" s="326" t="str">
        <f t="shared" ca="1" si="3"/>
        <v xml:space="preserve"> </v>
      </c>
      <c r="H5" s="327" t="str">
        <f ca="1">IFERROR(AVERAGE($G$3:G5), " ")</f>
        <v xml:space="preserve"> </v>
      </c>
      <c r="I5" s="328" t="str">
        <f ca="1">IF(H5=" "," ",SUM($F$3:F5)/H5)</f>
        <v xml:space="preserve"> </v>
      </c>
      <c r="J5" s="329" t="str">
        <f ca="1">IF(A5&lt;$B$1," ",IF(A5=$B$1,AVERAGE($C$3:C5),D4+(C5-INDEX($C$3:$C$32,A5-$B$1))/$B$1))</f>
        <v xml:space="preserve"> </v>
      </c>
      <c r="W5" s="308">
        <v>0</v>
      </c>
      <c r="X5" s="308">
        <v>4</v>
      </c>
      <c r="Y5" s="308">
        <f t="shared" si="0"/>
        <v>-4</v>
      </c>
      <c r="Z5" s="320"/>
      <c r="AA5" s="320"/>
      <c r="AB5" s="320"/>
      <c r="AC5" s="320"/>
    </row>
    <row r="6" spans="1:29" x14ac:dyDescent="0.3">
      <c r="A6" s="330">
        <v>4</v>
      </c>
      <c r="B6" s="321">
        <f ca="1">'0.ArdiData'!B6</f>
        <v>11048</v>
      </c>
      <c r="C6" s="322">
        <f t="shared" ca="1" si="1"/>
        <v>11048</v>
      </c>
      <c r="D6" s="331">
        <f ca="1">IF(A6&lt;$B$1," ",IF(A6=$B$1,AVERAGE($C$3:C6),D5+(C6-INDEX($C$3:$C$52,A6-$B$1))/$B$1))</f>
        <v>7542.25</v>
      </c>
      <c r="E6" s="324" t="str">
        <f t="shared" ca="1" si="4"/>
        <v xml:space="preserve"> </v>
      </c>
      <c r="F6" s="325" t="str">
        <f t="shared" ca="1" si="2"/>
        <v xml:space="preserve"> </v>
      </c>
      <c r="G6" s="326" t="str">
        <f t="shared" ca="1" si="3"/>
        <v xml:space="preserve"> </v>
      </c>
      <c r="H6" s="327" t="str">
        <f ca="1">IFERROR(AVERAGE($G$3:G6), " ")</f>
        <v xml:space="preserve"> </v>
      </c>
      <c r="I6" s="328" t="str">
        <f ca="1">IF(H6=" "," ",SUM($F$3:F6)/H6)</f>
        <v xml:space="preserve"> </v>
      </c>
      <c r="J6" s="329">
        <f ca="1">IF(A6&lt;$B$1," ",IF(A6=$B$1,AVERAGE($C$3:C6),D5+(C6-INDEX($C$3:$C$32,A6-$B$1))/$B$1))</f>
        <v>7542.25</v>
      </c>
      <c r="W6" s="308">
        <v>0</v>
      </c>
      <c r="X6" s="308">
        <v>4</v>
      </c>
      <c r="Y6" s="308">
        <f t="shared" si="0"/>
        <v>-4</v>
      </c>
      <c r="Z6" s="320"/>
      <c r="AA6" s="320"/>
      <c r="AB6" s="320"/>
      <c r="AC6" s="320"/>
    </row>
    <row r="7" spans="1:29" x14ac:dyDescent="0.3">
      <c r="A7" s="330">
        <v>5</v>
      </c>
      <c r="B7" s="321">
        <f ca="1">'0.ArdiData'!B7</f>
        <v>9953</v>
      </c>
      <c r="C7" s="322">
        <f t="shared" ca="1" si="1"/>
        <v>9953</v>
      </c>
      <c r="D7" s="331">
        <f ca="1">IF(A7&lt;$B$1," ",IF(A7=$B$1,AVERAGE($C$3:C7),D6+(C7-INDEX($C$3:$C$52,A7-$B$1))/$B$1))</f>
        <v>8612.25</v>
      </c>
      <c r="E7" s="324">
        <f t="shared" ca="1" si="4"/>
        <v>7542.25</v>
      </c>
      <c r="F7" s="325">
        <f t="shared" ca="1" si="2"/>
        <v>2410.75</v>
      </c>
      <c r="G7" s="326">
        <f t="shared" ca="1" si="3"/>
        <v>2410.75</v>
      </c>
      <c r="H7" s="327">
        <f ca="1">IFERROR(AVERAGE($G$3:G7), " ")</f>
        <v>2410.75</v>
      </c>
      <c r="I7" s="328">
        <f ca="1">IF(H7=" "," ",SUM($F$3:F7)/H7)</f>
        <v>1</v>
      </c>
      <c r="J7" s="329"/>
      <c r="W7" s="308">
        <v>0</v>
      </c>
      <c r="X7" s="308">
        <v>4</v>
      </c>
      <c r="Y7" s="308">
        <f t="shared" si="0"/>
        <v>-4</v>
      </c>
      <c r="Z7" s="320"/>
      <c r="AA7" s="320"/>
      <c r="AB7" s="320"/>
      <c r="AC7" s="320"/>
    </row>
    <row r="8" spans="1:29" x14ac:dyDescent="0.3">
      <c r="A8" s="330">
        <v>6</v>
      </c>
      <c r="B8" s="321">
        <f ca="1">'0.ArdiData'!B8</f>
        <v>15394</v>
      </c>
      <c r="C8" s="322">
        <f t="shared" ca="1" si="1"/>
        <v>15394</v>
      </c>
      <c r="D8" s="331">
        <f ca="1">IF(A8&lt;$B$1," ",IF(A8=$B$1,AVERAGE($C$3:C8),D7+(C8-INDEX($C$3:$C$52,A8-$B$1))/$B$1))</f>
        <v>9938.5</v>
      </c>
      <c r="E8" s="324">
        <f t="shared" ca="1" si="4"/>
        <v>8612.25</v>
      </c>
      <c r="F8" s="325">
        <f t="shared" ca="1" si="2"/>
        <v>6781.75</v>
      </c>
      <c r="G8" s="326">
        <f t="shared" ca="1" si="3"/>
        <v>6781.75</v>
      </c>
      <c r="H8" s="327">
        <f ca="1">IFERROR(AVERAGE($G$3:G8), " ")</f>
        <v>4596.25</v>
      </c>
      <c r="I8" s="328">
        <f ca="1">IF(H8=" "," ",SUM($F$3:F8)/H8)</f>
        <v>2</v>
      </c>
      <c r="J8" s="329"/>
      <c r="W8" s="308">
        <v>0</v>
      </c>
      <c r="X8" s="308">
        <v>4</v>
      </c>
      <c r="Y8" s="308">
        <f t="shared" si="0"/>
        <v>-4</v>
      </c>
      <c r="Z8" s="320"/>
      <c r="AA8" s="320"/>
      <c r="AB8" s="320"/>
      <c r="AC8" s="320"/>
    </row>
    <row r="9" spans="1:29" x14ac:dyDescent="0.3">
      <c r="A9" s="330">
        <v>7</v>
      </c>
      <c r="B9" s="321">
        <f ca="1">'0.ArdiData'!B9</f>
        <v>2550</v>
      </c>
      <c r="C9" s="322">
        <f t="shared" ca="1" si="1"/>
        <v>2550</v>
      </c>
      <c r="D9" s="331">
        <f ca="1">IF(A9&lt;$B$1," ",IF(A9=$B$1,AVERAGE($C$3:C9),D8+(C9-INDEX($C$3:$C$52,A9-$B$1))/$B$1))</f>
        <v>9736.25</v>
      </c>
      <c r="E9" s="324">
        <f t="shared" ca="1" si="4"/>
        <v>9938.5</v>
      </c>
      <c r="F9" s="325">
        <f t="shared" ca="1" si="2"/>
        <v>-7388.5</v>
      </c>
      <c r="G9" s="326">
        <f t="shared" ca="1" si="3"/>
        <v>7388.5</v>
      </c>
      <c r="H9" s="327">
        <f ca="1">IFERROR(AVERAGE($G$3:G9), " ")</f>
        <v>5527</v>
      </c>
      <c r="I9" s="328">
        <f ca="1">IF(H9=" "," ",SUM($F$3:F9)/H9)</f>
        <v>0.32639768409625475</v>
      </c>
      <c r="J9" s="329"/>
      <c r="W9" s="308">
        <v>0</v>
      </c>
      <c r="X9" s="308">
        <v>4</v>
      </c>
      <c r="Y9" s="308">
        <f t="shared" si="0"/>
        <v>-4</v>
      </c>
      <c r="Z9" s="320"/>
      <c r="AA9" s="320"/>
      <c r="AB9" s="320"/>
      <c r="AC9" s="320"/>
    </row>
    <row r="10" spans="1:29" x14ac:dyDescent="0.3">
      <c r="A10" s="330">
        <v>8</v>
      </c>
      <c r="B10" s="321">
        <f ca="1">'0.ArdiData'!B10</f>
        <v>6418</v>
      </c>
      <c r="C10" s="322">
        <f t="shared" ca="1" si="1"/>
        <v>6418</v>
      </c>
      <c r="D10" s="331">
        <f ca="1">IF(A10&lt;$B$1," ",IF(A10=$B$1,AVERAGE($C$3:C10),D9+(C10-INDEX($C$3:$C$52,A10-$B$1))/$B$1))</f>
        <v>8578.75</v>
      </c>
      <c r="E10" s="324">
        <f t="shared" ca="1" si="4"/>
        <v>9736.25</v>
      </c>
      <c r="F10" s="325">
        <f t="shared" ca="1" si="2"/>
        <v>-3318.25</v>
      </c>
      <c r="G10" s="326">
        <f t="shared" ca="1" si="3"/>
        <v>3318.25</v>
      </c>
      <c r="H10" s="327">
        <f ca="1">IFERROR(AVERAGE($G$3:G10), " ")</f>
        <v>4974.8125</v>
      </c>
      <c r="I10" s="328">
        <f ca="1">IF(H10=" "," ",SUM($F$3:F10)/H10)</f>
        <v>-0.30438333103006393</v>
      </c>
      <c r="J10" s="329"/>
      <c r="W10" s="308">
        <v>0</v>
      </c>
      <c r="X10" s="308">
        <v>4</v>
      </c>
      <c r="Y10" s="308">
        <f t="shared" si="0"/>
        <v>-4</v>
      </c>
      <c r="Z10" s="320"/>
      <c r="AA10" s="320"/>
      <c r="AB10" s="320"/>
      <c r="AC10" s="320"/>
    </row>
    <row r="11" spans="1:29" x14ac:dyDescent="0.3">
      <c r="A11" s="330">
        <v>9</v>
      </c>
      <c r="B11" s="321">
        <f ca="1">'0.ArdiData'!B11</f>
        <v>18141</v>
      </c>
      <c r="C11" s="322">
        <f t="shared" ca="1" si="1"/>
        <v>18141</v>
      </c>
      <c r="D11" s="331">
        <f ca="1">IF(A11&lt;$B$1," ",IF(A11=$B$1,AVERAGE($C$3:C11),D10+(C11-INDEX($C$3:$C$52,A11-$B$1))/$B$1))</f>
        <v>10625.75</v>
      </c>
      <c r="E11" s="324">
        <f t="shared" ca="1" si="4"/>
        <v>8578.75</v>
      </c>
      <c r="F11" s="325">
        <f t="shared" ca="1" si="2"/>
        <v>9562.25</v>
      </c>
      <c r="G11" s="326">
        <f t="shared" ca="1" si="3"/>
        <v>9562.25</v>
      </c>
      <c r="H11" s="327">
        <f ca="1">IFERROR(AVERAGE($G$3:G11), " ")</f>
        <v>5892.3</v>
      </c>
      <c r="I11" s="328">
        <f ca="1">IF(H11=" "," ",SUM($F$3:F11)/H11)</f>
        <v>1.3658503470631163</v>
      </c>
      <c r="J11" s="329"/>
      <c r="W11" s="308">
        <v>0</v>
      </c>
      <c r="X11" s="308">
        <v>4</v>
      </c>
      <c r="Y11" s="308">
        <f t="shared" si="0"/>
        <v>-4</v>
      </c>
      <c r="Z11" s="320"/>
      <c r="AA11" s="320"/>
      <c r="AB11" s="320"/>
      <c r="AC11" s="320"/>
    </row>
    <row r="12" spans="1:29" x14ac:dyDescent="0.3">
      <c r="A12" s="330">
        <v>10</v>
      </c>
      <c r="B12" s="321">
        <f ca="1">'0.ArdiData'!B12</f>
        <v>2648</v>
      </c>
      <c r="C12" s="322">
        <f t="shared" ca="1" si="1"/>
        <v>2648</v>
      </c>
      <c r="D12" s="331">
        <f ca="1">IF(A12&lt;$B$1," ",IF(A12=$B$1,AVERAGE($C$3:C12),D11+(C12-INDEX($C$3:$C$52,A12-$B$1))/$B$1))</f>
        <v>7439.25</v>
      </c>
      <c r="E12" s="324">
        <f t="shared" ca="1" si="4"/>
        <v>10625.75</v>
      </c>
      <c r="F12" s="325">
        <f t="shared" ca="1" si="2"/>
        <v>-7977.75</v>
      </c>
      <c r="G12" s="326">
        <f t="shared" ca="1" si="3"/>
        <v>7977.75</v>
      </c>
      <c r="H12" s="327">
        <f ca="1">IFERROR(AVERAGE($G$3:G12), " ")</f>
        <v>6239.875</v>
      </c>
      <c r="I12" s="328">
        <f ca="1">IF(H12=" "," ",SUM($F$3:F12)/H12)</f>
        <v>1.1258238346120716E-2</v>
      </c>
      <c r="J12" s="329"/>
      <c r="W12" s="308">
        <v>0</v>
      </c>
      <c r="X12" s="308">
        <v>4</v>
      </c>
      <c r="Y12" s="308">
        <f t="shared" si="0"/>
        <v>-4</v>
      </c>
      <c r="Z12" s="320"/>
      <c r="AA12" s="320"/>
      <c r="AB12" s="320"/>
      <c r="AC12" s="320"/>
    </row>
    <row r="13" spans="1:29" x14ac:dyDescent="0.3">
      <c r="A13" s="330">
        <v>11</v>
      </c>
      <c r="B13" s="321">
        <f ca="1">'0.ArdiData'!B13</f>
        <v>7267</v>
      </c>
      <c r="C13" s="322">
        <f t="shared" ca="1" si="1"/>
        <v>7267</v>
      </c>
      <c r="D13" s="331">
        <f ca="1">IF(A13&lt;$B$1," ",IF(A13=$B$1,AVERAGE($C$3:C13),D12+(C13-INDEX($C$3:$C$52,A13-$B$1))/$B$1))</f>
        <v>8618.5</v>
      </c>
      <c r="E13" s="324">
        <f t="shared" ca="1" si="4"/>
        <v>7439.25</v>
      </c>
      <c r="F13" s="325">
        <f t="shared" ca="1" si="2"/>
        <v>-172.25</v>
      </c>
      <c r="G13" s="326">
        <f t="shared" ca="1" si="3"/>
        <v>172.25</v>
      </c>
      <c r="H13" s="327">
        <f ca="1">IFERROR(AVERAGE($G$3:G13), " ")</f>
        <v>5373.0714285714284</v>
      </c>
      <c r="I13" s="328">
        <f ca="1">IF(H13=" "," ",SUM($F$3:F13)/H13)</f>
        <v>-1.8983555561463913E-2</v>
      </c>
      <c r="J13" s="329"/>
      <c r="W13" s="308">
        <v>0</v>
      </c>
      <c r="X13" s="308">
        <v>4</v>
      </c>
      <c r="Y13" s="308">
        <f t="shared" si="0"/>
        <v>-4</v>
      </c>
      <c r="Z13" s="320"/>
      <c r="AA13" s="320"/>
      <c r="AB13" s="320"/>
      <c r="AC13" s="320"/>
    </row>
    <row r="14" spans="1:29" x14ac:dyDescent="0.3">
      <c r="A14" s="330">
        <v>12</v>
      </c>
      <c r="B14" s="321">
        <f ca="1">'0.ArdiData'!B14</f>
        <v>13114</v>
      </c>
      <c r="C14" s="322">
        <f t="shared" ca="1" si="1"/>
        <v>13114</v>
      </c>
      <c r="D14" s="331">
        <f ca="1">IF(A14&lt;$B$1," ",IF(A14=$B$1,AVERAGE($C$3:C14),D13+(C14-INDEX($C$3:$C$52,A14-$B$1))/$B$1))</f>
        <v>10292.5</v>
      </c>
      <c r="E14" s="324">
        <f t="shared" ca="1" si="4"/>
        <v>8618.5</v>
      </c>
      <c r="F14" s="325">
        <f t="shared" ca="1" si="2"/>
        <v>4495.5</v>
      </c>
      <c r="G14" s="326">
        <f t="shared" ca="1" si="3"/>
        <v>4495.5</v>
      </c>
      <c r="H14" s="327">
        <f ca="1">IFERROR(AVERAGE($G$3:G14), " ")</f>
        <v>5263.375</v>
      </c>
      <c r="I14" s="328">
        <f ca="1">IF(H14=" "," ",SUM($F$3:F14)/H14)</f>
        <v>0.83473056736409623</v>
      </c>
      <c r="J14" s="329"/>
      <c r="W14" s="308">
        <v>0</v>
      </c>
      <c r="X14" s="308">
        <v>4</v>
      </c>
      <c r="Y14" s="308">
        <f t="shared" si="0"/>
        <v>-4</v>
      </c>
      <c r="Z14" s="320"/>
      <c r="AA14" s="320"/>
      <c r="AB14" s="320"/>
      <c r="AC14" s="320"/>
    </row>
    <row r="15" spans="1:29" x14ac:dyDescent="0.3">
      <c r="A15" s="330">
        <v>13</v>
      </c>
      <c r="B15" s="321">
        <f ca="1">'0.ArdiData'!B15</f>
        <v>15681</v>
      </c>
      <c r="C15" s="322">
        <f t="shared" ca="1" si="1"/>
        <v>15681</v>
      </c>
      <c r="D15" s="323">
        <f ca="1">IF(A15&lt;$B$1," ",IF(A15=$B$1,AVERAGE($C$3:C15),D14+(C15-INDEX($C$3:$C$52,A15-$B$1))/$B$1))</f>
        <v>9677.5</v>
      </c>
      <c r="E15" s="324">
        <f t="shared" ca="1" si="4"/>
        <v>10292.5</v>
      </c>
      <c r="F15" s="325">
        <f t="shared" ca="1" si="2"/>
        <v>5388.5</v>
      </c>
      <c r="G15" s="326">
        <f t="shared" ca="1" si="3"/>
        <v>5388.5</v>
      </c>
      <c r="H15" s="327">
        <f ca="1">IFERROR(AVERAGE($G$3:G15), " ")</f>
        <v>5277.2777777777774</v>
      </c>
      <c r="I15" s="328">
        <f ca="1">IF(H15=" "," ",SUM($F$3:F15)/H15)</f>
        <v>1.8536071838384691</v>
      </c>
      <c r="J15" s="329"/>
      <c r="W15" s="308">
        <v>0</v>
      </c>
      <c r="X15" s="308">
        <v>4</v>
      </c>
      <c r="Y15" s="308">
        <f t="shared" si="0"/>
        <v>-4</v>
      </c>
      <c r="Z15" s="320"/>
      <c r="AA15" s="320"/>
      <c r="AB15" s="320"/>
      <c r="AC15" s="320"/>
    </row>
    <row r="16" spans="1:29" x14ac:dyDescent="0.3">
      <c r="A16" s="330">
        <v>14</v>
      </c>
      <c r="B16" s="321">
        <f ca="1">'0.ArdiData'!B16</f>
        <v>11992</v>
      </c>
      <c r="C16" s="322">
        <f t="shared" ca="1" si="1"/>
        <v>11992</v>
      </c>
      <c r="D16" s="323">
        <f ca="1">IF(A16&lt;$B$1," ",IF(A16=$B$1,AVERAGE($C$3:C16),D15+(C16-INDEX($C$3:$C$52,A16-$B$1))/$B$1))</f>
        <v>12013.5</v>
      </c>
      <c r="E16" s="324">
        <f t="shared" ca="1" si="4"/>
        <v>9677.5</v>
      </c>
      <c r="F16" s="325">
        <f t="shared" ca="1" si="2"/>
        <v>2314.5</v>
      </c>
      <c r="G16" s="326">
        <f t="shared" ca="1" si="3"/>
        <v>2314.5</v>
      </c>
      <c r="H16" s="327">
        <f ca="1">IFERROR(AVERAGE($G$3:G16), " ")</f>
        <v>4981</v>
      </c>
      <c r="I16" s="328">
        <f ca="1">IF(H16=" "," ",SUM($F$3:F16)/H16)</f>
        <v>2.428528407950211</v>
      </c>
      <c r="W16" s="308">
        <v>0</v>
      </c>
      <c r="X16" s="308">
        <v>4</v>
      </c>
      <c r="Y16" s="308">
        <f t="shared" si="0"/>
        <v>-4</v>
      </c>
      <c r="Z16" s="320"/>
      <c r="AA16" s="320"/>
      <c r="AB16" s="320"/>
      <c r="AC16" s="320"/>
    </row>
    <row r="17" spans="1:32" x14ac:dyDescent="0.3">
      <c r="A17" s="330">
        <v>15</v>
      </c>
      <c r="B17" s="321">
        <f ca="1">'0.ArdiData'!B17</f>
        <v>11086</v>
      </c>
      <c r="C17" s="322">
        <f t="shared" ca="1" si="1"/>
        <v>11086</v>
      </c>
      <c r="D17" s="331">
        <f ca="1">IF(A17&lt;$B$1," ",IF(A17=$B$1,AVERAGE($C$3:C17),D16+(C17-INDEX($C$3:$C$52,A17-$B$1))/$B$1))</f>
        <v>12968.25</v>
      </c>
      <c r="E17" s="324">
        <f t="shared" ca="1" si="4"/>
        <v>12013.5</v>
      </c>
      <c r="F17" s="325">
        <f t="shared" ca="1" si="2"/>
        <v>-927.5</v>
      </c>
      <c r="G17" s="326">
        <f t="shared" ca="1" si="3"/>
        <v>927.5</v>
      </c>
      <c r="H17" s="327">
        <f ca="1">IFERROR(AVERAGE($G$3:G17), " ")</f>
        <v>4612.5</v>
      </c>
      <c r="I17" s="328">
        <f ca="1">IF(H17=" "," ",SUM($F$3:F17)/H17)</f>
        <v>2.4214634146341463</v>
      </c>
      <c r="W17" s="308">
        <v>0</v>
      </c>
      <c r="X17" s="308">
        <v>4</v>
      </c>
      <c r="Y17" s="308">
        <f t="shared" si="0"/>
        <v>-4</v>
      </c>
      <c r="Z17" s="320"/>
      <c r="AA17" s="320"/>
      <c r="AB17" s="320"/>
      <c r="AC17" s="320"/>
    </row>
    <row r="18" spans="1:32" x14ac:dyDescent="0.3">
      <c r="A18" s="330">
        <v>16</v>
      </c>
      <c r="B18" s="321">
        <f ca="1">'0.ArdiData'!B18</f>
        <v>14267</v>
      </c>
      <c r="C18" s="322">
        <f t="shared" ca="1" si="1"/>
        <v>14267</v>
      </c>
      <c r="D18" s="331">
        <f ca="1">IF(A18&lt;$B$1," ",IF(A18=$B$1,AVERAGE($C$3:C18),D17+(C18-INDEX($C$3:$C$52,A18-$B$1))/$B$1))</f>
        <v>13256.5</v>
      </c>
      <c r="E18" s="324">
        <f t="shared" ca="1" si="4"/>
        <v>12968.25</v>
      </c>
      <c r="F18" s="325">
        <f t="shared" ca="1" si="2"/>
        <v>1298.75</v>
      </c>
      <c r="G18" s="326">
        <f t="shared" ca="1" si="3"/>
        <v>1298.75</v>
      </c>
      <c r="H18" s="327">
        <f ca="1">IFERROR(AVERAGE($G$3:G18), " ")</f>
        <v>4336.354166666667</v>
      </c>
      <c r="I18" s="328">
        <f ca="1">IF(H18=" "," ",SUM($F$3:F18)/H18)</f>
        <v>2.8751687525523071</v>
      </c>
      <c r="W18" s="308">
        <v>0</v>
      </c>
      <c r="X18" s="308">
        <v>4</v>
      </c>
      <c r="Y18" s="308">
        <f t="shared" si="0"/>
        <v>-4</v>
      </c>
      <c r="Z18" s="320"/>
      <c r="AA18" s="320"/>
      <c r="AB18" s="320"/>
      <c r="AC18" s="320"/>
    </row>
    <row r="19" spans="1:32" x14ac:dyDescent="0.3">
      <c r="A19" s="330">
        <v>17</v>
      </c>
      <c r="B19" s="321">
        <f ca="1">'0.ArdiData'!B19</f>
        <v>4436</v>
      </c>
      <c r="C19" s="322">
        <f t="shared" ca="1" si="1"/>
        <v>4436</v>
      </c>
      <c r="D19" s="331">
        <f ca="1">IF(A19&lt;$B$1," ",IF(A19=$B$1,AVERAGE($C$3:C19),D18+(C19-INDEX($C$3:$C$52,A19-$B$1))/$B$1))</f>
        <v>10445.25</v>
      </c>
      <c r="E19" s="324">
        <f t="shared" ca="1" si="4"/>
        <v>13256.5</v>
      </c>
      <c r="F19" s="325">
        <f t="shared" ca="1" si="2"/>
        <v>-8820.5</v>
      </c>
      <c r="G19" s="326">
        <f t="shared" ca="1" si="3"/>
        <v>8820.5</v>
      </c>
      <c r="H19" s="327">
        <f ca="1">IFERROR(AVERAGE($G$3:G19), " ")</f>
        <v>4681.2884615384619</v>
      </c>
      <c r="I19" s="328">
        <f ca="1">IF(H19=" "," ",SUM($F$3:F19)/H19)</f>
        <v>0.77911242384780643</v>
      </c>
      <c r="W19" s="308">
        <v>0</v>
      </c>
      <c r="X19" s="308">
        <v>4</v>
      </c>
      <c r="Y19" s="308">
        <f t="shared" si="0"/>
        <v>-4</v>
      </c>
      <c r="Z19" s="320"/>
      <c r="AA19" s="320"/>
      <c r="AB19" s="320"/>
      <c r="AC19" s="320"/>
    </row>
    <row r="20" spans="1:32" x14ac:dyDescent="0.3">
      <c r="A20" s="330">
        <v>18</v>
      </c>
      <c r="B20" s="321">
        <f ca="1">'0.ArdiData'!B20</f>
        <v>6851</v>
      </c>
      <c r="C20" s="322">
        <f t="shared" ca="1" si="1"/>
        <v>6851</v>
      </c>
      <c r="D20" s="331">
        <f ca="1">IF(A20&lt;$B$1," ",IF(A20=$B$1,AVERAGE($C$3:C20),D19+(C20-INDEX($C$3:$C$52,A20-$B$1))/$B$1))</f>
        <v>9160</v>
      </c>
      <c r="E20" s="324">
        <f t="shared" ca="1" si="4"/>
        <v>10445.25</v>
      </c>
      <c r="F20" s="325">
        <f t="shared" ca="1" si="2"/>
        <v>-3594.25</v>
      </c>
      <c r="G20" s="326">
        <f t="shared" ca="1" si="3"/>
        <v>3594.25</v>
      </c>
      <c r="H20" s="327">
        <f ca="1">IFERROR(AVERAGE($G$3:G20), " ")</f>
        <v>4603.6428571428569</v>
      </c>
      <c r="I20" s="328">
        <f ca="1">IF(H20=" "," ",SUM($F$3:F20)/H20)</f>
        <v>1.1512621991900824E-2</v>
      </c>
      <c r="W20" s="308">
        <v>0</v>
      </c>
      <c r="X20" s="308">
        <v>4</v>
      </c>
      <c r="Y20" s="308">
        <f t="shared" si="0"/>
        <v>-4</v>
      </c>
      <c r="Z20" s="320"/>
      <c r="AA20" s="320"/>
      <c r="AB20" s="320"/>
      <c r="AC20" s="320"/>
    </row>
    <row r="21" spans="1:32" x14ac:dyDescent="0.3">
      <c r="A21" s="330">
        <v>19</v>
      </c>
      <c r="B21" s="321">
        <f ca="1">'0.ArdiData'!B21</f>
        <v>5786</v>
      </c>
      <c r="C21" s="322">
        <f t="shared" ca="1" si="1"/>
        <v>5786</v>
      </c>
      <c r="D21" s="331">
        <f ca="1">IF(A21&lt;$B$1," ",IF(A21=$B$1,AVERAGE($C$3:C21),D20+(C21-INDEX($C$3:$C$52,A21-$B$1))/$B$1))</f>
        <v>7835</v>
      </c>
      <c r="E21" s="324">
        <f t="shared" ca="1" si="4"/>
        <v>9160</v>
      </c>
      <c r="F21" s="325">
        <f t="shared" ca="1" si="2"/>
        <v>-3374</v>
      </c>
      <c r="G21" s="326">
        <f t="shared" ca="1" si="3"/>
        <v>3374</v>
      </c>
      <c r="H21" s="327">
        <f ca="1">IFERROR(AVERAGE($G$3:G21), " ")</f>
        <v>4521.666666666667</v>
      </c>
      <c r="I21" s="328">
        <f ca="1">IF(H21=" "," ",SUM($F$3:F21)/H21)</f>
        <v>-0.73446369332841865</v>
      </c>
      <c r="W21" s="308">
        <v>0</v>
      </c>
      <c r="X21" s="308">
        <v>4</v>
      </c>
      <c r="Y21" s="308">
        <f t="shared" si="0"/>
        <v>-4</v>
      </c>
      <c r="Z21" s="320"/>
      <c r="AA21" s="320"/>
      <c r="AB21" s="320"/>
      <c r="AC21" s="320"/>
    </row>
    <row r="22" spans="1:32" x14ac:dyDescent="0.3">
      <c r="A22" s="330">
        <v>20</v>
      </c>
      <c r="B22" s="321">
        <f ca="1">'0.ArdiData'!B22</f>
        <v>10452</v>
      </c>
      <c r="C22" s="322">
        <f t="shared" ca="1" si="1"/>
        <v>10452</v>
      </c>
      <c r="D22" s="331">
        <f ca="1">IF(A22&lt;$B$1," ",IF(A22=$B$1,AVERAGE($C$3:C22),D21+(C22-INDEX($C$3:$C$52,A22-$B$1))/$B$1))</f>
        <v>6881.25</v>
      </c>
      <c r="E22" s="324">
        <f t="shared" ca="1" si="4"/>
        <v>7835</v>
      </c>
      <c r="F22" s="325">
        <f t="shared" ca="1" si="2"/>
        <v>2617</v>
      </c>
      <c r="G22" s="326">
        <f t="shared" ca="1" si="3"/>
        <v>2617</v>
      </c>
      <c r="H22" s="327">
        <f ca="1">IFERROR(AVERAGE($G$3:G22), " ")</f>
        <v>4402.625</v>
      </c>
      <c r="I22" s="328">
        <f ca="1">IF(H22=" "," ",SUM($F$3:F22)/H22)</f>
        <v>-0.15990460236790552</v>
      </c>
      <c r="W22" s="308">
        <v>0</v>
      </c>
      <c r="X22" s="308">
        <v>4</v>
      </c>
      <c r="Y22" s="308">
        <f t="shared" si="0"/>
        <v>-4</v>
      </c>
      <c r="Z22" s="320"/>
      <c r="AA22" s="320"/>
      <c r="AB22" s="320"/>
      <c r="AC22" s="320"/>
    </row>
    <row r="23" spans="1:32" x14ac:dyDescent="0.3">
      <c r="A23" s="330">
        <v>21</v>
      </c>
      <c r="B23" s="321">
        <f ca="1">'0.ArdiData'!B23</f>
        <v>1730</v>
      </c>
      <c r="C23" s="322">
        <f t="shared" ca="1" si="1"/>
        <v>1730</v>
      </c>
      <c r="D23" s="331">
        <f ca="1">IF(A23&lt;$B$1," ",IF(A23=$B$1,AVERAGE($C$3:C23),D22+(C23-INDEX($C$3:$C$52,A23-$B$1))/$B$1))</f>
        <v>6204.75</v>
      </c>
      <c r="E23" s="324">
        <f t="shared" ca="1" si="4"/>
        <v>6881.25</v>
      </c>
      <c r="F23" s="325">
        <f t="shared" ca="1" si="2"/>
        <v>-5151.25</v>
      </c>
      <c r="G23" s="326">
        <f t="shared" ca="1" si="3"/>
        <v>5151.25</v>
      </c>
      <c r="H23" s="327">
        <f ca="1">IFERROR(AVERAGE($G$3:G23), " ")</f>
        <v>4446.661764705882</v>
      </c>
      <c r="I23" s="328">
        <f ca="1">IF(H23=" "," ",SUM($F$3:F23)/H23)</f>
        <v>-1.3167743151670288</v>
      </c>
      <c r="W23" s="308">
        <v>0</v>
      </c>
      <c r="X23" s="308">
        <v>4</v>
      </c>
      <c r="Y23" s="308">
        <f t="shared" si="0"/>
        <v>-4</v>
      </c>
      <c r="Z23" s="320"/>
      <c r="AA23" s="320"/>
      <c r="AB23" s="320"/>
      <c r="AC23" s="320"/>
    </row>
    <row r="24" spans="1:32" x14ac:dyDescent="0.3">
      <c r="A24" s="330">
        <v>22</v>
      </c>
      <c r="B24" s="321">
        <f ca="1">'0.ArdiData'!B24</f>
        <v>18063</v>
      </c>
      <c r="C24" s="322">
        <f t="shared" ca="1" si="1"/>
        <v>18063</v>
      </c>
      <c r="D24" s="331">
        <f ca="1">IF(A24&lt;$B$1," ",IF(A24=$B$1,AVERAGE($C$3:C24),D23+(C24-INDEX($C$3:$C$52,A24-$B$1))/$B$1))</f>
        <v>9007.75</v>
      </c>
      <c r="E24" s="324">
        <f t="shared" ca="1" si="4"/>
        <v>6204.75</v>
      </c>
      <c r="F24" s="325">
        <f t="shared" ca="1" si="2"/>
        <v>11858.25</v>
      </c>
      <c r="G24" s="326">
        <f t="shared" ca="1" si="3"/>
        <v>11858.25</v>
      </c>
      <c r="H24" s="327">
        <f ca="1">IFERROR(AVERAGE($G$3:G24), " ")</f>
        <v>4858.416666666667</v>
      </c>
      <c r="I24" s="328">
        <f ca="1">IF(H24=" "," ",SUM($F$3:F24)/H24)</f>
        <v>1.235587725767997</v>
      </c>
      <c r="W24" s="308">
        <v>0</v>
      </c>
      <c r="X24" s="308">
        <v>4</v>
      </c>
      <c r="Y24" s="308">
        <f t="shared" si="0"/>
        <v>-4</v>
      </c>
      <c r="Z24" s="320"/>
      <c r="AA24" s="320"/>
      <c r="AB24" s="320"/>
      <c r="AC24" s="320"/>
    </row>
    <row r="25" spans="1:32" x14ac:dyDescent="0.3">
      <c r="A25" s="330">
        <v>23</v>
      </c>
      <c r="B25" s="321">
        <f ca="1">'0.ArdiData'!B25</f>
        <v>10025</v>
      </c>
      <c r="C25" s="322">
        <f t="shared" ca="1" si="1"/>
        <v>10025</v>
      </c>
      <c r="D25" s="331">
        <f ca="1">IF(A25&lt;$B$1," ",IF(A25=$B$1,AVERAGE($C$3:C25),D24+(C25-INDEX($C$3:$C$52,A25-$B$1))/$B$1))</f>
        <v>10067.5</v>
      </c>
      <c r="E25" s="324">
        <f t="shared" ca="1" si="4"/>
        <v>9007.75</v>
      </c>
      <c r="F25" s="325">
        <f t="shared" ca="1" si="2"/>
        <v>1017.25</v>
      </c>
      <c r="G25" s="326">
        <f t="shared" ca="1" si="3"/>
        <v>1017.25</v>
      </c>
      <c r="H25" s="327">
        <f ca="1">IFERROR(AVERAGE($G$3:G25), " ")</f>
        <v>4656.25</v>
      </c>
      <c r="I25" s="328">
        <f ca="1">IF(H25=" "," ",SUM($F$3:F25)/H25)</f>
        <v>1.5077046979865771</v>
      </c>
      <c r="W25" s="308">
        <v>0</v>
      </c>
      <c r="X25" s="308">
        <v>4</v>
      </c>
      <c r="Y25" s="308">
        <f t="shared" si="0"/>
        <v>-4</v>
      </c>
      <c r="Z25" s="320"/>
      <c r="AA25" s="320"/>
      <c r="AB25" s="320">
        <v>0</v>
      </c>
      <c r="AC25" s="320">
        <v>0</v>
      </c>
      <c r="AD25" s="305">
        <v>0</v>
      </c>
      <c r="AE25" s="305">
        <v>-4</v>
      </c>
      <c r="AF25" s="305">
        <v>4</v>
      </c>
    </row>
    <row r="26" spans="1:32" x14ac:dyDescent="0.3">
      <c r="A26" s="330">
        <v>24</v>
      </c>
      <c r="B26" s="321">
        <f ca="1">'0.ArdiData'!B26</f>
        <v>4071</v>
      </c>
      <c r="C26" s="322">
        <f t="shared" ca="1" si="1"/>
        <v>4071</v>
      </c>
      <c r="D26" s="331">
        <f ca="1">IF(A26&lt;$B$1," ",IF(A26=$B$1,AVERAGE($C$3:C26),D25+(C26-INDEX($C$3:$C$52,A26-$B$1))/$B$1))</f>
        <v>8472.25</v>
      </c>
      <c r="E26" s="324">
        <f t="shared" ca="1" si="4"/>
        <v>10067.5</v>
      </c>
      <c r="F26" s="325">
        <f t="shared" ca="1" si="2"/>
        <v>-5996.5</v>
      </c>
      <c r="G26" s="326">
        <f t="shared" ca="1" si="3"/>
        <v>5996.5</v>
      </c>
      <c r="H26" s="327">
        <f ca="1">IFERROR(AVERAGE($G$3:G26), " ")</f>
        <v>4723.2624999999998</v>
      </c>
      <c r="I26" s="328">
        <f ca="1">IF(H26=" "," ",SUM($F$3:F26)/H26)</f>
        <v>0.21674636969679328</v>
      </c>
      <c r="W26" s="308">
        <v>0</v>
      </c>
      <c r="X26" s="308">
        <v>4</v>
      </c>
      <c r="Y26" s="308">
        <f t="shared" si="0"/>
        <v>-4</v>
      </c>
      <c r="Z26" s="320"/>
      <c r="AA26" s="320"/>
      <c r="AB26" s="320"/>
      <c r="AC26" s="320">
        <v>30</v>
      </c>
      <c r="AD26" s="305">
        <v>0</v>
      </c>
      <c r="AE26" s="305">
        <v>-4</v>
      </c>
      <c r="AF26" s="305">
        <v>4</v>
      </c>
    </row>
    <row r="27" spans="1:32" x14ac:dyDescent="0.3">
      <c r="A27" s="330">
        <v>25</v>
      </c>
      <c r="B27" s="321">
        <f ca="1">'0.ArdiData'!B27</f>
        <v>17998</v>
      </c>
      <c r="C27" s="322">
        <f t="shared" ca="1" si="1"/>
        <v>17998</v>
      </c>
      <c r="D27" s="331">
        <f ca="1">IF(A27&lt;$B$1," ",IF(A27=$B$1,AVERAGE($C$3:C27),D26+(C27-INDEX($C$3:$C$52,A27-$B$1))/$B$1))</f>
        <v>12539.25</v>
      </c>
      <c r="E27" s="324">
        <f t="shared" ca="1" si="4"/>
        <v>8472.25</v>
      </c>
      <c r="F27" s="325">
        <f t="shared" ca="1" si="2"/>
        <v>9525.75</v>
      </c>
      <c r="G27" s="326">
        <f t="shared" ca="1" si="3"/>
        <v>9525.75</v>
      </c>
      <c r="H27" s="327">
        <f ca="1">IFERROR(AVERAGE($G$3:G27), " ")</f>
        <v>4951.9523809523807</v>
      </c>
      <c r="I27" s="328">
        <f ca="1">IF(H27=" "," ",SUM($F$3:F27)/H27)</f>
        <v>2.1303718591031919</v>
      </c>
      <c r="W27" s="308">
        <v>0</v>
      </c>
      <c r="X27" s="308">
        <v>4</v>
      </c>
      <c r="Y27" s="308">
        <f t="shared" si="0"/>
        <v>-4</v>
      </c>
      <c r="Z27" s="320"/>
      <c r="AA27" s="320"/>
      <c r="AB27" s="320"/>
      <c r="AC27" s="320"/>
    </row>
    <row r="28" spans="1:32" x14ac:dyDescent="0.3">
      <c r="A28" s="330">
        <v>26</v>
      </c>
      <c r="B28" s="321">
        <f ca="1">'0.ArdiData'!B28</f>
        <v>19229</v>
      </c>
      <c r="C28" s="322">
        <f t="shared" ca="1" si="1"/>
        <v>19229</v>
      </c>
      <c r="D28" s="323">
        <f ca="1">IF(A28&lt;$B$1," ",IF(A28=$B$1,AVERAGE($C$3:C28),D27+(C28-INDEX($C$3:$C$52,A28-$B$1))/$B$1))</f>
        <v>12830.75</v>
      </c>
      <c r="E28" s="324">
        <f t="shared" ca="1" si="4"/>
        <v>12539.25</v>
      </c>
      <c r="F28" s="325">
        <f t="shared" ca="1" si="2"/>
        <v>6689.75</v>
      </c>
      <c r="G28" s="326">
        <f t="shared" ca="1" si="3"/>
        <v>6689.75</v>
      </c>
      <c r="H28" s="327">
        <f ca="1">IFERROR(AVERAGE($G$3:G28), " ")</f>
        <v>5030.943181818182</v>
      </c>
      <c r="I28" s="328">
        <f ca="1">IF(H28=" "," ",SUM($F$3:F28)/H28)</f>
        <v>3.4266437478965401</v>
      </c>
      <c r="W28" s="308">
        <v>0</v>
      </c>
      <c r="X28" s="308">
        <v>4</v>
      </c>
      <c r="Y28" s="308">
        <f t="shared" si="0"/>
        <v>-4</v>
      </c>
      <c r="Z28" s="320"/>
      <c r="AA28" s="320"/>
      <c r="AB28" s="320"/>
      <c r="AC28" s="320"/>
    </row>
    <row r="29" spans="1:32" x14ac:dyDescent="0.3">
      <c r="A29" s="330">
        <v>27</v>
      </c>
      <c r="B29" s="321">
        <f ca="1">'0.ArdiData'!B29</f>
        <v>21932</v>
      </c>
      <c r="C29" s="322">
        <f t="shared" ca="1" si="1"/>
        <v>21932</v>
      </c>
      <c r="D29" s="323">
        <f ca="1">IF(A29&lt;$B$1," ",IF(A29=$B$1,AVERAGE($C$3:C29),D28+(C29-INDEX($C$3:$C$52,A29-$B$1))/$B$1))</f>
        <v>15807.5</v>
      </c>
      <c r="E29" s="324">
        <f t="shared" ca="1" si="4"/>
        <v>12830.75</v>
      </c>
      <c r="F29" s="325">
        <f t="shared" ca="1" si="2"/>
        <v>9101.25</v>
      </c>
      <c r="G29" s="326">
        <f t="shared" ca="1" si="3"/>
        <v>9101.25</v>
      </c>
      <c r="H29" s="327">
        <f ca="1">IFERROR(AVERAGE($G$3:G29), " ")</f>
        <v>5207.913043478261</v>
      </c>
      <c r="I29" s="328">
        <f ca="1">IF(H29=" "," ",SUM($F$3:F29)/H29)</f>
        <v>5.0577841411898277</v>
      </c>
      <c r="W29" s="308">
        <v>0</v>
      </c>
      <c r="X29" s="308">
        <v>4</v>
      </c>
      <c r="Y29" s="308">
        <f t="shared" si="0"/>
        <v>-4</v>
      </c>
      <c r="Z29" s="320"/>
      <c r="AA29" s="320"/>
      <c r="AB29" s="320"/>
      <c r="AC29" s="320"/>
    </row>
    <row r="30" spans="1:32" x14ac:dyDescent="0.3">
      <c r="A30" s="330">
        <v>28</v>
      </c>
      <c r="B30" s="321">
        <f ca="1">'0.ArdiData'!B30</f>
        <v>16974</v>
      </c>
      <c r="C30" s="322">
        <f t="shared" ca="1" si="1"/>
        <v>16974</v>
      </c>
      <c r="D30" s="331">
        <f ca="1">IF(A30&lt;$B$1," ",IF(A30=$B$1,AVERAGE($C$3:C30),D29+(C30-INDEX($C$3:$C$52,A30-$B$1))/$B$1))</f>
        <v>19033.25</v>
      </c>
      <c r="E30" s="324">
        <f t="shared" ca="1" si="4"/>
        <v>15807.5</v>
      </c>
      <c r="F30" s="325">
        <f t="shared" ca="1" si="2"/>
        <v>1166.5</v>
      </c>
      <c r="G30" s="326">
        <f t="shared" ca="1" si="3"/>
        <v>1166.5</v>
      </c>
      <c r="H30" s="327">
        <f ca="1">IFERROR(AVERAGE($G$3:G30), " ")</f>
        <v>5039.520833333333</v>
      </c>
      <c r="I30" s="328">
        <f ca="1">IF(H30=" "," ",SUM($F$3:F30)/H30)</f>
        <v>5.4582570267510553</v>
      </c>
      <c r="W30" s="308">
        <v>0</v>
      </c>
      <c r="X30" s="308">
        <v>4</v>
      </c>
      <c r="Y30" s="308">
        <f t="shared" si="0"/>
        <v>-4</v>
      </c>
      <c r="Z30" s="320"/>
      <c r="AA30" s="320"/>
      <c r="AB30" s="320"/>
      <c r="AC30" s="320"/>
    </row>
    <row r="31" spans="1:32" x14ac:dyDescent="0.3">
      <c r="A31" s="330">
        <v>29</v>
      </c>
      <c r="B31" s="321">
        <f ca="1">'0.ArdiData'!B31</f>
        <v>15678</v>
      </c>
      <c r="C31" s="322">
        <f t="shared" ca="1" si="1"/>
        <v>15678</v>
      </c>
      <c r="D31" s="331">
        <f ca="1">IF(A31&lt;$B$1," ",IF(A31=$B$1,AVERAGE($C$3:C31),D30+(C31-INDEX($C$3:$C$52,A31-$B$1))/$B$1))</f>
        <v>18453.25</v>
      </c>
      <c r="E31" s="324">
        <f t="shared" ca="1" si="4"/>
        <v>19033.25</v>
      </c>
      <c r="F31" s="325">
        <f t="shared" ca="1" si="2"/>
        <v>-3355.25</v>
      </c>
      <c r="G31" s="326">
        <f t="shared" ca="1" si="3"/>
        <v>3355.25</v>
      </c>
      <c r="H31" s="327">
        <f ca="1">IFERROR(AVERAGE($G$3:G31), " ")</f>
        <v>4972.1499999999996</v>
      </c>
      <c r="I31" s="328">
        <f ca="1">IF(H31=" "," ",SUM($F$3:F31)/H31)</f>
        <v>4.8574057500276542</v>
      </c>
      <c r="Z31" s="320"/>
      <c r="AA31" s="320"/>
      <c r="AB31" s="320"/>
      <c r="AC31" s="320"/>
    </row>
    <row r="32" spans="1:32" ht="17.25" thickBot="1" x14ac:dyDescent="0.35">
      <c r="A32" s="333">
        <v>30</v>
      </c>
      <c r="B32" s="334">
        <f ca="1">'0.ArdiData'!B32</f>
        <v>12263</v>
      </c>
      <c r="C32" s="322">
        <f t="shared" ca="1" si="1"/>
        <v>12263</v>
      </c>
      <c r="D32" s="335">
        <f ca="1">IF(A32&lt;$B$1," ",IF(A32=$B$1,AVERAGE($C$3:C32),D31+(C32-INDEX($C$3:$C$52,A32-$B$1))/$B$1))</f>
        <v>16711.75</v>
      </c>
      <c r="E32" s="336">
        <f t="shared" ca="1" si="4"/>
        <v>18453.25</v>
      </c>
      <c r="F32" s="337">
        <f t="shared" ca="1" si="2"/>
        <v>-6190.25</v>
      </c>
      <c r="G32" s="338">
        <f t="shared" ca="1" si="3"/>
        <v>6190.25</v>
      </c>
      <c r="H32" s="339">
        <f ca="1">IFERROR(AVERAGE($G$3:G32), " ")</f>
        <v>5019</v>
      </c>
      <c r="I32" s="340">
        <f ca="1">IF(H32=" "," ",SUM($F$3:F32)/H32)</f>
        <v>3.5787009364415221</v>
      </c>
      <c r="Z32" s="320"/>
      <c r="AA32" s="320"/>
      <c r="AB32" s="320"/>
      <c r="AC32" s="320"/>
    </row>
    <row r="33" spans="1:29" ht="17.25" thickBot="1" x14ac:dyDescent="0.35">
      <c r="A33" s="305">
        <v>31</v>
      </c>
      <c r="B33" s="171"/>
      <c r="C33" s="171"/>
      <c r="D33" s="341"/>
      <c r="E33" s="342">
        <f t="shared" ca="1" si="4"/>
        <v>16711.75</v>
      </c>
      <c r="F33" s="343"/>
      <c r="G33" s="344"/>
      <c r="H33" s="171"/>
      <c r="I33" s="345"/>
      <c r="J33" s="345"/>
      <c r="K33" s="345"/>
      <c r="L33" s="345"/>
      <c r="M33" s="171"/>
      <c r="N33" s="171"/>
      <c r="O33" s="171"/>
      <c r="Z33" s="320"/>
      <c r="AA33" s="320"/>
      <c r="AB33" s="320"/>
      <c r="AC33" s="320"/>
    </row>
    <row r="34" spans="1:29" x14ac:dyDescent="0.3">
      <c r="A34" s="171"/>
      <c r="B34" s="171"/>
      <c r="C34" s="171"/>
      <c r="D34" s="171"/>
      <c r="E34" s="171"/>
      <c r="F34" s="171"/>
      <c r="G34" s="171"/>
      <c r="H34" s="171"/>
      <c r="I34" s="346"/>
      <c r="J34" s="346"/>
      <c r="K34" s="346"/>
      <c r="L34" s="346"/>
      <c r="M34" s="171"/>
      <c r="N34" s="171"/>
      <c r="O34" s="171"/>
      <c r="Z34" s="320"/>
      <c r="AA34" s="320"/>
      <c r="AB34" s="320"/>
      <c r="AC34" s="320"/>
    </row>
    <row r="35" spans="1:29" x14ac:dyDescent="0.3">
      <c r="A35" s="171"/>
      <c r="B35" s="171"/>
      <c r="C35" s="171"/>
      <c r="D35" s="171"/>
      <c r="E35" s="171"/>
      <c r="F35" s="171"/>
      <c r="G35" s="171"/>
      <c r="H35" s="171"/>
      <c r="I35" s="346"/>
      <c r="J35" s="346"/>
      <c r="K35" s="346"/>
      <c r="L35" s="346"/>
      <c r="M35" s="171"/>
      <c r="N35" s="171"/>
      <c r="O35" s="171"/>
      <c r="Z35" s="320"/>
      <c r="AA35" s="320"/>
      <c r="AB35" s="320"/>
      <c r="AC35" s="320"/>
    </row>
    <row r="36" spans="1:29" x14ac:dyDescent="0.3">
      <c r="A36" s="171"/>
      <c r="B36" s="171"/>
      <c r="C36" s="171"/>
      <c r="D36" s="171"/>
      <c r="E36" s="171"/>
      <c r="F36" s="171"/>
      <c r="G36" s="171"/>
      <c r="H36" s="171"/>
      <c r="I36" s="346"/>
      <c r="J36" s="346"/>
      <c r="K36" s="346"/>
      <c r="L36" s="346"/>
      <c r="M36" s="171"/>
      <c r="N36" s="171"/>
      <c r="O36" s="171"/>
      <c r="Z36" s="320"/>
      <c r="AA36" s="320"/>
      <c r="AB36" s="320"/>
      <c r="AC36" s="320"/>
    </row>
    <row r="37" spans="1:29" x14ac:dyDescent="0.3">
      <c r="A37" s="171"/>
      <c r="B37" s="171"/>
      <c r="C37" s="171"/>
      <c r="D37" s="171"/>
      <c r="E37" s="171"/>
      <c r="F37" s="171"/>
      <c r="G37" s="171"/>
      <c r="H37" s="171"/>
      <c r="I37" s="346"/>
      <c r="J37" s="346"/>
      <c r="K37" s="346"/>
      <c r="L37" s="346"/>
      <c r="M37" s="171"/>
      <c r="N37" s="171"/>
      <c r="O37" s="171"/>
      <c r="Z37" s="320"/>
      <c r="AA37" s="320"/>
      <c r="AB37" s="320"/>
      <c r="AC37" s="320"/>
    </row>
    <row r="38" spans="1:29" x14ac:dyDescent="0.3">
      <c r="A38" s="171"/>
      <c r="B38" s="171"/>
      <c r="C38" s="171"/>
      <c r="D38" s="171"/>
      <c r="E38" s="171"/>
      <c r="F38" s="171"/>
      <c r="G38" s="171"/>
      <c r="H38" s="171"/>
      <c r="I38" s="346"/>
      <c r="J38" s="346"/>
      <c r="K38" s="346"/>
      <c r="L38" s="346"/>
      <c r="M38" s="171"/>
      <c r="N38" s="171"/>
      <c r="O38" s="171"/>
      <c r="Z38" s="320"/>
      <c r="AA38" s="320"/>
      <c r="AB38" s="320"/>
      <c r="AC38" s="320"/>
    </row>
    <row r="39" spans="1:29" x14ac:dyDescent="0.3">
      <c r="A39" s="171"/>
      <c r="B39" s="171"/>
      <c r="C39" s="171"/>
      <c r="D39" s="171"/>
      <c r="E39" s="171"/>
      <c r="F39" s="171"/>
      <c r="G39" s="171"/>
      <c r="H39" s="171"/>
      <c r="I39" s="346"/>
      <c r="J39" s="346"/>
      <c r="K39" s="346"/>
      <c r="L39" s="346"/>
      <c r="M39" s="171"/>
      <c r="N39" s="171"/>
      <c r="O39" s="171"/>
      <c r="Z39" s="320"/>
      <c r="AA39" s="320"/>
      <c r="AB39" s="320"/>
      <c r="AC39" s="320"/>
    </row>
    <row r="40" spans="1:29" x14ac:dyDescent="0.3">
      <c r="A40" s="171"/>
      <c r="B40" s="171"/>
      <c r="C40" s="171"/>
      <c r="D40" s="171"/>
      <c r="E40" s="171"/>
      <c r="F40" s="171"/>
      <c r="G40" s="171"/>
      <c r="H40" s="171"/>
      <c r="I40" s="346"/>
      <c r="J40" s="346"/>
      <c r="K40" s="346"/>
      <c r="L40" s="346"/>
      <c r="M40" s="171"/>
      <c r="N40" s="171"/>
      <c r="O40" s="171"/>
      <c r="Z40" s="320"/>
      <c r="AA40" s="320"/>
      <c r="AB40" s="320"/>
      <c r="AC40" s="320"/>
    </row>
    <row r="41" spans="1:29" x14ac:dyDescent="0.3">
      <c r="A41" s="171"/>
      <c r="B41" s="171"/>
      <c r="C41" s="171"/>
      <c r="D41" s="171"/>
      <c r="E41" s="171"/>
      <c r="F41" s="171"/>
      <c r="G41" s="171"/>
      <c r="H41" s="171"/>
      <c r="I41" s="346"/>
      <c r="J41" s="346"/>
      <c r="K41" s="346"/>
      <c r="L41" s="346"/>
      <c r="M41" s="171"/>
      <c r="N41" s="171"/>
      <c r="O41" s="171"/>
      <c r="Z41" s="320"/>
      <c r="AA41" s="320"/>
      <c r="AB41" s="320"/>
      <c r="AC41" s="320"/>
    </row>
    <row r="42" spans="1:29" x14ac:dyDescent="0.3">
      <c r="A42" s="171"/>
      <c r="B42" s="171"/>
      <c r="C42" s="171"/>
      <c r="D42" s="171"/>
      <c r="E42" s="171"/>
      <c r="F42" s="171"/>
      <c r="G42" s="171"/>
      <c r="H42" s="171"/>
      <c r="I42" s="346"/>
      <c r="J42" s="346"/>
      <c r="K42" s="346"/>
      <c r="L42" s="346"/>
      <c r="M42" s="171"/>
      <c r="N42" s="171"/>
      <c r="O42" s="171"/>
      <c r="Z42" s="320"/>
      <c r="AA42" s="320"/>
      <c r="AB42" s="320"/>
      <c r="AC42" s="320"/>
    </row>
    <row r="43" spans="1:29" x14ac:dyDescent="0.3">
      <c r="A43" s="171"/>
      <c r="B43" s="171"/>
      <c r="C43" s="171"/>
      <c r="D43" s="171"/>
      <c r="E43" s="171"/>
      <c r="F43" s="171"/>
      <c r="G43" s="171"/>
      <c r="H43" s="171"/>
      <c r="I43" s="346"/>
      <c r="J43" s="346"/>
      <c r="K43" s="346"/>
      <c r="L43" s="346"/>
      <c r="M43" s="171"/>
      <c r="N43" s="171"/>
      <c r="O43" s="171"/>
      <c r="Z43" s="320"/>
      <c r="AA43" s="320"/>
      <c r="AB43" s="320"/>
      <c r="AC43" s="320"/>
    </row>
    <row r="44" spans="1:29" x14ac:dyDescent="0.3">
      <c r="A44" s="171"/>
      <c r="B44" s="171"/>
      <c r="C44" s="171"/>
      <c r="D44" s="171"/>
      <c r="E44" s="171"/>
      <c r="F44" s="171"/>
      <c r="G44" s="171"/>
      <c r="H44" s="171"/>
      <c r="I44" s="346"/>
      <c r="J44" s="346"/>
      <c r="K44" s="346"/>
      <c r="L44" s="346"/>
      <c r="M44" s="171"/>
      <c r="N44" s="171"/>
      <c r="O44" s="171"/>
      <c r="Z44" s="320"/>
      <c r="AA44" s="320"/>
      <c r="AB44" s="320"/>
      <c r="AC44" s="320"/>
    </row>
    <row r="45" spans="1:29" x14ac:dyDescent="0.3">
      <c r="A45" s="171"/>
      <c r="B45" s="171"/>
      <c r="C45" s="171"/>
      <c r="D45" s="171"/>
      <c r="E45" s="171"/>
      <c r="F45" s="171"/>
      <c r="G45" s="171"/>
      <c r="H45" s="171"/>
      <c r="I45" s="346"/>
      <c r="J45" s="346"/>
      <c r="K45" s="346"/>
      <c r="L45" s="346"/>
      <c r="M45" s="171"/>
      <c r="N45" s="171"/>
      <c r="O45" s="171"/>
      <c r="Z45" s="320"/>
      <c r="AA45" s="320"/>
      <c r="AB45" s="320"/>
      <c r="AC45" s="320"/>
    </row>
    <row r="46" spans="1:29" x14ac:dyDescent="0.3">
      <c r="A46" s="171"/>
      <c r="B46" s="171"/>
      <c r="C46" s="171"/>
      <c r="D46" s="171"/>
      <c r="E46" s="171"/>
      <c r="F46" s="171"/>
      <c r="G46" s="171"/>
      <c r="H46" s="171"/>
      <c r="I46" s="346"/>
      <c r="J46" s="346"/>
      <c r="K46" s="346"/>
      <c r="L46" s="346"/>
      <c r="M46" s="171"/>
      <c r="N46" s="171"/>
      <c r="O46" s="171"/>
      <c r="Z46" s="320"/>
      <c r="AA46" s="320"/>
      <c r="AB46" s="320"/>
      <c r="AC46" s="320"/>
    </row>
    <row r="47" spans="1:29" x14ac:dyDescent="0.3">
      <c r="A47" s="171"/>
      <c r="B47" s="171"/>
      <c r="C47" s="171"/>
      <c r="D47" s="171"/>
      <c r="E47" s="171"/>
      <c r="F47" s="171"/>
      <c r="G47" s="171"/>
      <c r="H47" s="171"/>
      <c r="I47" s="346"/>
      <c r="J47" s="346"/>
      <c r="K47" s="346"/>
      <c r="L47" s="346"/>
      <c r="M47" s="171"/>
      <c r="N47" s="171"/>
      <c r="O47" s="171"/>
      <c r="Z47" s="320"/>
      <c r="AA47" s="320"/>
      <c r="AB47" s="320"/>
      <c r="AC47" s="320"/>
    </row>
    <row r="48" spans="1:29" x14ac:dyDescent="0.3">
      <c r="A48" s="171"/>
      <c r="B48" s="171"/>
      <c r="C48" s="171"/>
      <c r="D48" s="171"/>
      <c r="E48" s="171"/>
      <c r="F48" s="171"/>
      <c r="G48" s="171"/>
      <c r="H48" s="171"/>
      <c r="I48" s="346"/>
      <c r="J48" s="346"/>
      <c r="K48" s="346"/>
      <c r="L48" s="346"/>
      <c r="M48" s="171"/>
      <c r="N48" s="171"/>
      <c r="O48" s="171"/>
      <c r="Z48" s="320"/>
      <c r="AA48" s="320"/>
      <c r="AB48" s="320"/>
      <c r="AC48" s="320"/>
    </row>
    <row r="49" spans="1:29" x14ac:dyDescent="0.3">
      <c r="A49" s="171"/>
      <c r="B49" s="171"/>
      <c r="C49" s="171"/>
      <c r="D49" s="171"/>
      <c r="E49" s="171"/>
      <c r="F49" s="171"/>
      <c r="G49" s="171"/>
      <c r="H49" s="171"/>
      <c r="I49" s="346"/>
      <c r="J49" s="346"/>
      <c r="K49" s="346"/>
      <c r="L49" s="346"/>
      <c r="M49" s="171"/>
      <c r="N49" s="171"/>
      <c r="O49" s="171"/>
      <c r="Z49" s="320"/>
      <c r="AA49" s="320"/>
      <c r="AB49" s="320"/>
      <c r="AC49" s="320"/>
    </row>
    <row r="50" spans="1:29" x14ac:dyDescent="0.3">
      <c r="A50" s="171"/>
      <c r="B50" s="171"/>
      <c r="C50" s="171"/>
      <c r="D50" s="171"/>
      <c r="E50" s="171"/>
      <c r="F50" s="171"/>
      <c r="G50" s="171"/>
      <c r="H50" s="171"/>
      <c r="I50" s="346"/>
      <c r="J50" s="346"/>
      <c r="K50" s="346"/>
      <c r="L50" s="346"/>
      <c r="M50" s="171"/>
      <c r="N50" s="171"/>
      <c r="O50" s="171"/>
      <c r="Z50" s="320"/>
      <c r="AA50" s="320"/>
      <c r="AB50" s="320"/>
      <c r="AC50" s="320"/>
    </row>
    <row r="51" spans="1:29" x14ac:dyDescent="0.3">
      <c r="A51" s="171"/>
      <c r="B51" s="171"/>
      <c r="C51" s="171"/>
      <c r="D51" s="171"/>
      <c r="E51" s="171"/>
      <c r="F51" s="171"/>
      <c r="G51" s="171"/>
      <c r="H51" s="171"/>
      <c r="I51" s="346"/>
      <c r="J51" s="346"/>
      <c r="K51" s="346"/>
      <c r="L51" s="346"/>
      <c r="M51" s="171"/>
      <c r="N51" s="171"/>
      <c r="O51" s="171"/>
      <c r="Z51" s="320"/>
      <c r="AA51" s="320"/>
      <c r="AB51" s="320"/>
      <c r="AC51" s="320"/>
    </row>
    <row r="52" spans="1:29" x14ac:dyDescent="0.3">
      <c r="A52" s="171"/>
      <c r="B52" s="171"/>
      <c r="C52" s="171"/>
      <c r="D52" s="171"/>
      <c r="E52" s="171"/>
      <c r="F52" s="171"/>
      <c r="G52" s="171"/>
      <c r="H52" s="171"/>
      <c r="I52" s="346"/>
      <c r="J52" s="346"/>
      <c r="K52" s="346"/>
      <c r="L52" s="346"/>
      <c r="M52" s="171"/>
      <c r="N52" s="171"/>
      <c r="O52" s="171"/>
      <c r="Z52" s="320"/>
      <c r="AA52" s="320"/>
      <c r="AB52" s="320"/>
      <c r="AC52" s="320"/>
    </row>
    <row r="53" spans="1:29" x14ac:dyDescent="0.3">
      <c r="A53" s="171"/>
      <c r="B53" s="171"/>
      <c r="C53" s="171"/>
      <c r="D53" s="171"/>
      <c r="E53" s="171"/>
      <c r="F53" s="171"/>
      <c r="G53" s="171"/>
      <c r="H53" s="171"/>
      <c r="I53" s="346"/>
      <c r="J53" s="346"/>
      <c r="K53" s="346"/>
      <c r="L53" s="346"/>
      <c r="M53" s="171"/>
      <c r="N53" s="171"/>
      <c r="O53" s="171"/>
    </row>
    <row r="54" spans="1:29" x14ac:dyDescent="0.3">
      <c r="A54" s="171"/>
      <c r="B54" s="171"/>
      <c r="C54" s="171"/>
      <c r="D54" s="171"/>
      <c r="E54" s="171"/>
      <c r="F54" s="171"/>
      <c r="G54" s="171"/>
      <c r="H54" s="171"/>
      <c r="I54" s="346"/>
      <c r="J54" s="346"/>
      <c r="K54" s="346"/>
      <c r="L54" s="346"/>
      <c r="M54" s="171"/>
      <c r="N54" s="171"/>
      <c r="O54" s="171"/>
    </row>
    <row r="55" spans="1:29" x14ac:dyDescent="0.3">
      <c r="A55" s="171"/>
      <c r="B55" s="171"/>
      <c r="C55" s="171"/>
      <c r="D55" s="171"/>
      <c r="E55" s="171"/>
      <c r="F55" s="171"/>
      <c r="G55" s="171"/>
      <c r="H55" s="171"/>
      <c r="I55" s="346"/>
      <c r="J55" s="346"/>
      <c r="K55" s="346"/>
      <c r="L55" s="346"/>
      <c r="M55" s="171"/>
      <c r="N55" s="171"/>
      <c r="O55" s="171"/>
    </row>
    <row r="56" spans="1:29" x14ac:dyDescent="0.3">
      <c r="A56" s="171"/>
      <c r="B56" s="171"/>
      <c r="C56" s="171"/>
      <c r="D56" s="171"/>
      <c r="E56" s="171"/>
      <c r="F56" s="171"/>
      <c r="G56" s="171"/>
      <c r="H56" s="171"/>
      <c r="I56" s="346"/>
      <c r="J56" s="346"/>
      <c r="K56" s="346"/>
      <c r="L56" s="346"/>
      <c r="M56" s="171"/>
      <c r="N56" s="171"/>
      <c r="O56" s="171"/>
    </row>
    <row r="57" spans="1:29" x14ac:dyDescent="0.3">
      <c r="A57" s="171"/>
      <c r="B57" s="171"/>
      <c r="C57" s="171"/>
      <c r="D57" s="171"/>
      <c r="E57" s="171"/>
      <c r="F57" s="171"/>
      <c r="G57" s="171"/>
      <c r="H57" s="171"/>
      <c r="I57" s="346"/>
      <c r="J57" s="346"/>
      <c r="K57" s="346"/>
      <c r="L57" s="346"/>
      <c r="M57" s="171"/>
      <c r="N57" s="171"/>
      <c r="O57" s="171"/>
    </row>
    <row r="58" spans="1:29" x14ac:dyDescent="0.3">
      <c r="A58" s="171"/>
      <c r="B58" s="171"/>
      <c r="C58" s="171"/>
      <c r="D58" s="171"/>
      <c r="E58" s="171"/>
      <c r="F58" s="171"/>
      <c r="G58" s="171"/>
      <c r="H58" s="171"/>
      <c r="I58" s="346"/>
      <c r="J58" s="346"/>
      <c r="K58" s="346"/>
      <c r="L58" s="346"/>
      <c r="M58" s="171"/>
      <c r="N58" s="171"/>
      <c r="O58" s="171"/>
    </row>
    <row r="59" spans="1:29" x14ac:dyDescent="0.3">
      <c r="A59" s="171"/>
      <c r="B59" s="171"/>
      <c r="C59" s="171"/>
      <c r="D59" s="171"/>
      <c r="E59" s="171"/>
      <c r="F59" s="171"/>
      <c r="G59" s="171"/>
      <c r="H59" s="171"/>
      <c r="I59" s="346"/>
      <c r="J59" s="346"/>
      <c r="K59" s="346"/>
      <c r="L59" s="346"/>
      <c r="M59" s="171"/>
      <c r="N59" s="171"/>
      <c r="O59" s="171"/>
    </row>
    <row r="60" spans="1:29" x14ac:dyDescent="0.3">
      <c r="A60" s="171"/>
      <c r="B60" s="171"/>
      <c r="C60" s="171"/>
      <c r="D60" s="171"/>
      <c r="E60" s="171"/>
      <c r="F60" s="171"/>
      <c r="G60" s="171"/>
      <c r="H60" s="171"/>
      <c r="I60" s="346"/>
      <c r="J60" s="346"/>
      <c r="K60" s="346"/>
      <c r="L60" s="346"/>
      <c r="M60" s="171"/>
      <c r="N60" s="171"/>
      <c r="O60" s="171"/>
    </row>
    <row r="61" spans="1:29" x14ac:dyDescent="0.3">
      <c r="A61" s="171"/>
      <c r="B61" s="171"/>
      <c r="C61" s="171"/>
      <c r="D61" s="171"/>
      <c r="E61" s="171"/>
      <c r="F61" s="171"/>
      <c r="G61" s="171"/>
      <c r="H61" s="171"/>
      <c r="I61" s="346"/>
      <c r="J61" s="346"/>
      <c r="K61" s="346"/>
      <c r="L61" s="346"/>
      <c r="M61" s="171"/>
      <c r="N61" s="171"/>
      <c r="O61" s="171"/>
    </row>
    <row r="62" spans="1:29" x14ac:dyDescent="0.3">
      <c r="A62" s="171"/>
      <c r="B62" s="171"/>
      <c r="C62" s="171"/>
      <c r="D62" s="171"/>
      <c r="E62" s="171"/>
      <c r="F62" s="171"/>
      <c r="G62" s="171"/>
      <c r="H62" s="171"/>
      <c r="I62" s="346"/>
      <c r="J62" s="346"/>
      <c r="K62" s="346"/>
      <c r="L62" s="346"/>
      <c r="M62" s="171"/>
      <c r="N62" s="171"/>
      <c r="O62" s="171"/>
    </row>
    <row r="63" spans="1:29" x14ac:dyDescent="0.3">
      <c r="A63" s="171"/>
      <c r="B63" s="171"/>
      <c r="C63" s="171"/>
      <c r="D63" s="171"/>
      <c r="E63" s="171"/>
      <c r="F63" s="171"/>
      <c r="G63" s="171"/>
      <c r="H63" s="171"/>
      <c r="I63" s="346"/>
      <c r="J63" s="346"/>
      <c r="K63" s="346"/>
      <c r="L63" s="346"/>
      <c r="M63" s="171"/>
      <c r="N63" s="171"/>
      <c r="O63" s="171"/>
    </row>
    <row r="64" spans="1:29" x14ac:dyDescent="0.3">
      <c r="A64" s="171"/>
      <c r="B64" s="171"/>
      <c r="C64" s="171"/>
      <c r="D64" s="171"/>
      <c r="E64" s="171"/>
      <c r="F64" s="171"/>
      <c r="G64" s="171"/>
      <c r="H64" s="171"/>
      <c r="I64" s="346"/>
      <c r="J64" s="346"/>
      <c r="K64" s="346"/>
      <c r="L64" s="346"/>
      <c r="M64" s="171"/>
      <c r="N64" s="171"/>
      <c r="O64" s="171"/>
    </row>
    <row r="65" spans="1:15" x14ac:dyDescent="0.3">
      <c r="A65" s="171"/>
      <c r="B65" s="171"/>
      <c r="C65" s="171"/>
      <c r="D65" s="171"/>
      <c r="E65" s="171"/>
      <c r="F65" s="171"/>
      <c r="G65" s="171"/>
      <c r="H65" s="171"/>
      <c r="I65" s="346"/>
      <c r="J65" s="346"/>
      <c r="K65" s="346"/>
      <c r="L65" s="346"/>
      <c r="M65" s="171"/>
      <c r="N65" s="171"/>
      <c r="O65" s="171"/>
    </row>
    <row r="66" spans="1:15" x14ac:dyDescent="0.3">
      <c r="A66" s="171"/>
      <c r="B66" s="171"/>
      <c r="C66" s="171"/>
      <c r="D66" s="171"/>
      <c r="E66" s="171"/>
      <c r="F66" s="171"/>
      <c r="G66" s="171"/>
      <c r="H66" s="171"/>
      <c r="I66" s="346"/>
      <c r="J66" s="346"/>
      <c r="K66" s="346"/>
      <c r="L66" s="346"/>
      <c r="M66" s="171"/>
      <c r="N66" s="171"/>
      <c r="O66" s="171"/>
    </row>
    <row r="67" spans="1:15" x14ac:dyDescent="0.3">
      <c r="A67" s="171"/>
      <c r="B67" s="171"/>
      <c r="C67" s="171"/>
      <c r="D67" s="171"/>
      <c r="E67" s="171"/>
      <c r="F67" s="171"/>
      <c r="G67" s="171"/>
      <c r="H67" s="171"/>
      <c r="I67" s="346"/>
      <c r="J67" s="346"/>
      <c r="K67" s="346"/>
      <c r="L67" s="346"/>
      <c r="M67" s="171"/>
      <c r="N67" s="171"/>
      <c r="O67" s="171"/>
    </row>
    <row r="68" spans="1:15" x14ac:dyDescent="0.3">
      <c r="A68" s="171"/>
      <c r="B68" s="171"/>
      <c r="C68" s="171"/>
      <c r="D68" s="171"/>
      <c r="E68" s="171"/>
      <c r="F68" s="171"/>
      <c r="G68" s="171"/>
      <c r="H68" s="171"/>
      <c r="I68" s="346"/>
      <c r="J68" s="346"/>
      <c r="K68" s="346"/>
      <c r="L68" s="346"/>
      <c r="M68" s="171"/>
      <c r="N68" s="171"/>
      <c r="O68" s="171"/>
    </row>
    <row r="69" spans="1:15" x14ac:dyDescent="0.3">
      <c r="A69" s="171"/>
      <c r="B69" s="171"/>
      <c r="C69" s="171"/>
      <c r="D69" s="171"/>
      <c r="E69" s="171"/>
      <c r="F69" s="171"/>
      <c r="G69" s="171"/>
      <c r="H69" s="171"/>
      <c r="I69" s="346"/>
      <c r="J69" s="346"/>
      <c r="K69" s="346"/>
      <c r="L69" s="346"/>
      <c r="M69" s="171"/>
      <c r="N69" s="171"/>
      <c r="O69" s="171"/>
    </row>
    <row r="70" spans="1:15" x14ac:dyDescent="0.3">
      <c r="A70" s="171"/>
      <c r="B70" s="171"/>
      <c r="C70" s="171"/>
      <c r="D70" s="171"/>
      <c r="E70" s="171"/>
      <c r="F70" s="171"/>
      <c r="G70" s="171"/>
      <c r="H70" s="171"/>
      <c r="I70" s="346"/>
      <c r="J70" s="346"/>
      <c r="K70" s="346"/>
      <c r="L70" s="346"/>
      <c r="M70" s="171"/>
      <c r="N70" s="171"/>
      <c r="O70" s="171"/>
    </row>
    <row r="71" spans="1:15" x14ac:dyDescent="0.3">
      <c r="A71" s="171"/>
      <c r="B71" s="171"/>
      <c r="C71" s="171"/>
      <c r="D71" s="171"/>
      <c r="E71" s="171"/>
      <c r="F71" s="171"/>
      <c r="G71" s="171"/>
      <c r="H71" s="171"/>
      <c r="I71" s="346"/>
      <c r="J71" s="346"/>
      <c r="K71" s="346"/>
      <c r="L71" s="346"/>
      <c r="M71" s="171"/>
      <c r="N71" s="171"/>
      <c r="O71" s="171"/>
    </row>
    <row r="72" spans="1:15" x14ac:dyDescent="0.3">
      <c r="A72" s="171"/>
      <c r="B72" s="171"/>
      <c r="C72" s="171"/>
      <c r="D72" s="171"/>
      <c r="E72" s="171"/>
      <c r="F72" s="171"/>
      <c r="G72" s="171"/>
      <c r="H72" s="171"/>
      <c r="I72" s="346"/>
      <c r="J72" s="346"/>
      <c r="K72" s="346"/>
      <c r="L72" s="346"/>
      <c r="M72" s="171"/>
      <c r="N72" s="171"/>
      <c r="O72" s="171"/>
    </row>
    <row r="73" spans="1:15" x14ac:dyDescent="0.3">
      <c r="A73" s="171"/>
      <c r="B73" s="171"/>
      <c r="C73" s="171"/>
      <c r="D73" s="171"/>
      <c r="E73" s="171"/>
      <c r="F73" s="171"/>
      <c r="G73" s="171"/>
      <c r="H73" s="171"/>
      <c r="I73" s="346"/>
      <c r="J73" s="346"/>
      <c r="K73" s="346"/>
      <c r="L73" s="346"/>
      <c r="M73" s="171"/>
      <c r="N73" s="171"/>
      <c r="O73" s="171"/>
    </row>
    <row r="74" spans="1:15" x14ac:dyDescent="0.3">
      <c r="A74" s="171"/>
      <c r="B74" s="171"/>
      <c r="C74" s="171"/>
      <c r="D74" s="171"/>
      <c r="E74" s="171"/>
      <c r="F74" s="171"/>
      <c r="G74" s="171"/>
      <c r="H74" s="171"/>
      <c r="I74" s="346"/>
      <c r="J74" s="346"/>
      <c r="K74" s="346"/>
      <c r="L74" s="346"/>
      <c r="M74" s="171"/>
      <c r="N74" s="171"/>
      <c r="O74" s="171"/>
    </row>
    <row r="75" spans="1:15" x14ac:dyDescent="0.3">
      <c r="A75" s="171"/>
      <c r="B75" s="171"/>
      <c r="C75" s="171"/>
      <c r="D75" s="171"/>
      <c r="E75" s="171"/>
      <c r="F75" s="171"/>
      <c r="G75" s="171"/>
      <c r="H75" s="171"/>
      <c r="I75" s="346"/>
      <c r="J75" s="346"/>
      <c r="K75" s="346"/>
      <c r="L75" s="346"/>
      <c r="M75" s="171"/>
      <c r="N75" s="171"/>
      <c r="O75" s="171"/>
    </row>
    <row r="76" spans="1:15" x14ac:dyDescent="0.3">
      <c r="A76" s="171"/>
      <c r="B76" s="171"/>
      <c r="C76" s="171"/>
      <c r="D76" s="171"/>
      <c r="E76" s="171"/>
      <c r="F76" s="171"/>
      <c r="G76" s="171"/>
      <c r="H76" s="171"/>
      <c r="I76" s="346"/>
      <c r="J76" s="346"/>
      <c r="K76" s="346"/>
      <c r="L76" s="346"/>
      <c r="M76" s="171"/>
      <c r="N76" s="171"/>
      <c r="O76" s="171"/>
    </row>
    <row r="77" spans="1:15" x14ac:dyDescent="0.3">
      <c r="A77" s="171"/>
      <c r="B77" s="171"/>
      <c r="C77" s="171"/>
      <c r="D77" s="171"/>
      <c r="E77" s="171"/>
      <c r="F77" s="171"/>
      <c r="G77" s="171"/>
      <c r="H77" s="171"/>
      <c r="I77" s="346"/>
      <c r="J77" s="346"/>
      <c r="K77" s="346"/>
      <c r="L77" s="346"/>
      <c r="M77" s="171"/>
      <c r="N77" s="171"/>
      <c r="O77" s="171"/>
    </row>
    <row r="78" spans="1:15" x14ac:dyDescent="0.3">
      <c r="A78" s="171"/>
      <c r="B78" s="171"/>
      <c r="C78" s="171"/>
      <c r="D78" s="171"/>
      <c r="E78" s="171"/>
      <c r="F78" s="171"/>
      <c r="G78" s="171"/>
      <c r="H78" s="171"/>
      <c r="I78" s="346"/>
      <c r="J78" s="346"/>
      <c r="K78" s="346"/>
      <c r="L78" s="346"/>
      <c r="M78" s="171"/>
      <c r="N78" s="171"/>
      <c r="O78" s="171"/>
    </row>
    <row r="79" spans="1:15" x14ac:dyDescent="0.3">
      <c r="A79" s="171"/>
      <c r="B79" s="171"/>
      <c r="C79" s="171"/>
      <c r="D79" s="171"/>
      <c r="E79" s="171"/>
      <c r="F79" s="171"/>
      <c r="G79" s="171"/>
      <c r="H79" s="171"/>
      <c r="I79" s="346"/>
      <c r="J79" s="346"/>
      <c r="K79" s="346"/>
      <c r="L79" s="346"/>
      <c r="M79" s="171"/>
      <c r="N79" s="171"/>
      <c r="O79" s="171"/>
    </row>
    <row r="80" spans="1:15" x14ac:dyDescent="0.3">
      <c r="A80" s="171"/>
      <c r="B80" s="171"/>
      <c r="C80" s="171"/>
      <c r="D80" s="171"/>
      <c r="E80" s="171"/>
      <c r="F80" s="171"/>
      <c r="G80" s="171"/>
      <c r="H80" s="171"/>
      <c r="I80" s="346"/>
      <c r="J80" s="346"/>
      <c r="K80" s="346"/>
      <c r="L80" s="346"/>
      <c r="M80" s="171"/>
      <c r="N80" s="171"/>
      <c r="O80" s="171"/>
    </row>
    <row r="81" spans="1:15" x14ac:dyDescent="0.3">
      <c r="A81" s="171"/>
      <c r="B81" s="171"/>
      <c r="C81" s="171"/>
      <c r="D81" s="171"/>
      <c r="E81" s="171"/>
      <c r="F81" s="171"/>
      <c r="G81" s="171"/>
      <c r="H81" s="171"/>
      <c r="I81" s="346"/>
      <c r="J81" s="346"/>
      <c r="K81" s="346"/>
      <c r="L81" s="346"/>
      <c r="M81" s="171"/>
      <c r="N81" s="171"/>
      <c r="O81" s="171"/>
    </row>
    <row r="82" spans="1:15" x14ac:dyDescent="0.3">
      <c r="A82" s="171"/>
      <c r="B82" s="171"/>
      <c r="C82" s="171"/>
      <c r="D82" s="171"/>
      <c r="E82" s="171"/>
      <c r="F82" s="171"/>
      <c r="G82" s="171"/>
      <c r="H82" s="171"/>
      <c r="I82" s="346"/>
      <c r="J82" s="346"/>
      <c r="K82" s="346"/>
      <c r="L82" s="346"/>
      <c r="M82" s="171"/>
      <c r="N82" s="171"/>
      <c r="O82" s="171"/>
    </row>
    <row r="83" spans="1:15" x14ac:dyDescent="0.3">
      <c r="A83" s="171"/>
      <c r="B83" s="171"/>
      <c r="C83" s="171"/>
      <c r="D83" s="171"/>
      <c r="E83" s="171"/>
      <c r="F83" s="171"/>
      <c r="G83" s="171"/>
      <c r="H83" s="171"/>
      <c r="I83" s="346"/>
      <c r="J83" s="346"/>
      <c r="K83" s="346"/>
      <c r="L83" s="346"/>
      <c r="M83" s="171"/>
      <c r="N83" s="171"/>
      <c r="O83" s="171"/>
    </row>
    <row r="84" spans="1:15" x14ac:dyDescent="0.3">
      <c r="A84" s="171"/>
      <c r="B84" s="171"/>
      <c r="C84" s="171"/>
      <c r="D84" s="171"/>
      <c r="E84" s="171"/>
      <c r="F84" s="171"/>
      <c r="G84" s="171"/>
      <c r="H84" s="171"/>
      <c r="I84" s="346"/>
      <c r="J84" s="346"/>
      <c r="K84" s="346"/>
      <c r="L84" s="346"/>
      <c r="M84" s="171"/>
      <c r="N84" s="171"/>
      <c r="O84" s="171"/>
    </row>
    <row r="85" spans="1:15" x14ac:dyDescent="0.3">
      <c r="A85" s="171"/>
      <c r="B85" s="171"/>
      <c r="C85" s="171"/>
      <c r="D85" s="171"/>
      <c r="E85" s="171"/>
      <c r="F85" s="171"/>
      <c r="G85" s="171"/>
      <c r="H85" s="171"/>
      <c r="I85" s="346"/>
      <c r="J85" s="346"/>
      <c r="K85" s="346"/>
      <c r="L85" s="346"/>
      <c r="M85" s="171"/>
      <c r="N85" s="171"/>
      <c r="O85" s="171"/>
    </row>
    <row r="86" spans="1:15" x14ac:dyDescent="0.3">
      <c r="A86" s="171"/>
      <c r="B86" s="171"/>
      <c r="C86" s="171"/>
      <c r="D86" s="171"/>
      <c r="E86" s="171"/>
      <c r="F86" s="171"/>
      <c r="G86" s="171"/>
      <c r="H86" s="171"/>
      <c r="I86" s="346"/>
      <c r="J86" s="346"/>
      <c r="K86" s="346"/>
      <c r="L86" s="346"/>
      <c r="M86" s="171"/>
      <c r="N86" s="171"/>
      <c r="O86" s="171"/>
    </row>
    <row r="87" spans="1:15" x14ac:dyDescent="0.3">
      <c r="A87" s="171"/>
      <c r="B87" s="171"/>
      <c r="C87" s="171"/>
      <c r="D87" s="171"/>
      <c r="E87" s="171"/>
      <c r="F87" s="171"/>
      <c r="G87" s="171"/>
      <c r="H87" s="171"/>
      <c r="I87" s="346"/>
      <c r="J87" s="346"/>
      <c r="K87" s="346"/>
      <c r="L87" s="346"/>
      <c r="M87" s="171"/>
      <c r="N87" s="171"/>
      <c r="O87" s="171"/>
    </row>
    <row r="88" spans="1:15" x14ac:dyDescent="0.3">
      <c r="A88" s="171"/>
      <c r="B88" s="171"/>
      <c r="C88" s="171"/>
      <c r="D88" s="171"/>
      <c r="E88" s="171"/>
      <c r="F88" s="171"/>
      <c r="G88" s="171"/>
      <c r="H88" s="171"/>
      <c r="I88" s="346"/>
      <c r="J88" s="346"/>
      <c r="K88" s="346"/>
      <c r="L88" s="346"/>
      <c r="M88" s="171"/>
      <c r="N88" s="171"/>
      <c r="O88" s="171"/>
    </row>
    <row r="89" spans="1:15" x14ac:dyDescent="0.3">
      <c r="A89" s="171"/>
      <c r="B89" s="171"/>
      <c r="C89" s="171"/>
      <c r="D89" s="171"/>
      <c r="E89" s="171"/>
      <c r="F89" s="171"/>
      <c r="G89" s="171"/>
      <c r="H89" s="171"/>
      <c r="I89" s="346"/>
      <c r="J89" s="346"/>
      <c r="K89" s="346"/>
      <c r="L89" s="346"/>
      <c r="M89" s="171"/>
      <c r="N89" s="171"/>
      <c r="O89" s="171"/>
    </row>
    <row r="90" spans="1:15" x14ac:dyDescent="0.3">
      <c r="A90" s="171"/>
      <c r="B90" s="171"/>
      <c r="C90" s="171"/>
      <c r="D90" s="171"/>
      <c r="E90" s="171"/>
      <c r="F90" s="171"/>
      <c r="G90" s="171"/>
      <c r="H90" s="171"/>
      <c r="I90" s="346"/>
      <c r="J90" s="346"/>
      <c r="K90" s="346"/>
      <c r="L90" s="346"/>
      <c r="M90" s="171"/>
      <c r="N90" s="171"/>
      <c r="O90" s="171"/>
    </row>
    <row r="91" spans="1:15" x14ac:dyDescent="0.3">
      <c r="A91" s="171"/>
      <c r="B91" s="171"/>
      <c r="C91" s="171"/>
      <c r="D91" s="171"/>
      <c r="E91" s="171"/>
      <c r="F91" s="171"/>
      <c r="G91" s="171"/>
      <c r="H91" s="171"/>
      <c r="I91" s="346"/>
      <c r="J91" s="346"/>
      <c r="K91" s="346"/>
      <c r="L91" s="346"/>
      <c r="M91" s="171"/>
      <c r="N91" s="171"/>
      <c r="O91" s="171"/>
    </row>
    <row r="92" spans="1:15" x14ac:dyDescent="0.3">
      <c r="A92" s="171"/>
      <c r="B92" s="171"/>
      <c r="C92" s="171"/>
      <c r="D92" s="171"/>
      <c r="E92" s="171"/>
      <c r="F92" s="171"/>
      <c r="G92" s="171"/>
      <c r="H92" s="171"/>
      <c r="I92" s="346"/>
      <c r="J92" s="346"/>
      <c r="K92" s="346"/>
      <c r="L92" s="346"/>
      <c r="M92" s="171"/>
      <c r="N92" s="171"/>
      <c r="O92" s="171"/>
    </row>
    <row r="93" spans="1:15" x14ac:dyDescent="0.3">
      <c r="A93" s="171"/>
      <c r="B93" s="171"/>
      <c r="C93" s="171"/>
      <c r="D93" s="171"/>
      <c r="E93" s="171"/>
      <c r="F93" s="171"/>
      <c r="G93" s="171"/>
      <c r="H93" s="171"/>
      <c r="I93" s="346"/>
      <c r="J93" s="346"/>
      <c r="K93" s="346"/>
      <c r="L93" s="346"/>
      <c r="M93" s="171"/>
      <c r="N93" s="171"/>
      <c r="O93" s="171"/>
    </row>
    <row r="94" spans="1:15" x14ac:dyDescent="0.3">
      <c r="A94" s="171"/>
      <c r="B94" s="171"/>
      <c r="C94" s="171"/>
      <c r="D94" s="171"/>
      <c r="E94" s="171"/>
      <c r="F94" s="171"/>
      <c r="G94" s="171"/>
      <c r="H94" s="171"/>
      <c r="I94" s="346"/>
      <c r="J94" s="346"/>
      <c r="K94" s="346"/>
      <c r="L94" s="346"/>
      <c r="M94" s="171"/>
      <c r="N94" s="171"/>
      <c r="O94" s="171"/>
    </row>
    <row r="95" spans="1:15" x14ac:dyDescent="0.3">
      <c r="A95" s="171"/>
      <c r="B95" s="171"/>
      <c r="C95" s="171"/>
      <c r="D95" s="171"/>
      <c r="E95" s="171"/>
      <c r="F95" s="171"/>
      <c r="G95" s="171"/>
      <c r="H95" s="171"/>
      <c r="I95" s="346"/>
      <c r="J95" s="346"/>
      <c r="K95" s="346"/>
      <c r="L95" s="346"/>
      <c r="M95" s="171"/>
      <c r="N95" s="171"/>
      <c r="O95" s="171"/>
    </row>
    <row r="96" spans="1:15" x14ac:dyDescent="0.3">
      <c r="A96" s="171"/>
      <c r="B96" s="171"/>
      <c r="C96" s="171"/>
      <c r="D96" s="171"/>
      <c r="E96" s="171"/>
      <c r="F96" s="171"/>
      <c r="G96" s="171"/>
      <c r="H96" s="171"/>
      <c r="I96" s="346"/>
      <c r="J96" s="346"/>
      <c r="K96" s="346"/>
      <c r="L96" s="346"/>
      <c r="M96" s="171"/>
      <c r="N96" s="171"/>
      <c r="O96" s="171"/>
    </row>
    <row r="97" spans="1:15" x14ac:dyDescent="0.3">
      <c r="A97" s="171"/>
      <c r="B97" s="171"/>
      <c r="C97" s="171"/>
      <c r="D97" s="171"/>
      <c r="E97" s="171"/>
      <c r="F97" s="171"/>
      <c r="G97" s="171"/>
      <c r="H97" s="171"/>
      <c r="I97" s="346"/>
      <c r="J97" s="346"/>
      <c r="K97" s="346"/>
      <c r="L97" s="346"/>
      <c r="M97" s="171"/>
      <c r="N97" s="171"/>
      <c r="O97" s="171"/>
    </row>
    <row r="98" spans="1:15" x14ac:dyDescent="0.3">
      <c r="A98" s="171"/>
      <c r="B98" s="171"/>
      <c r="C98" s="171"/>
      <c r="D98" s="171"/>
      <c r="E98" s="171"/>
      <c r="F98" s="171"/>
      <c r="G98" s="171"/>
      <c r="H98" s="171"/>
      <c r="I98" s="346"/>
      <c r="J98" s="346"/>
      <c r="K98" s="346"/>
      <c r="L98" s="346"/>
      <c r="M98" s="171"/>
      <c r="N98" s="171"/>
      <c r="O98" s="171"/>
    </row>
    <row r="99" spans="1:15" x14ac:dyDescent="0.3">
      <c r="A99" s="171"/>
      <c r="B99" s="171"/>
      <c r="C99" s="171"/>
      <c r="D99" s="171"/>
      <c r="E99" s="171"/>
      <c r="F99" s="171"/>
      <c r="G99" s="171"/>
      <c r="H99" s="171"/>
      <c r="I99" s="346"/>
      <c r="J99" s="346"/>
      <c r="K99" s="346"/>
      <c r="L99" s="346"/>
      <c r="M99" s="171"/>
      <c r="N99" s="171"/>
      <c r="O99" s="171"/>
    </row>
    <row r="100" spans="1:15" x14ac:dyDescent="0.3">
      <c r="A100" s="171"/>
      <c r="B100" s="171"/>
      <c r="C100" s="171"/>
      <c r="D100" s="171"/>
      <c r="E100" s="171"/>
      <c r="F100" s="171"/>
      <c r="G100" s="171"/>
      <c r="H100" s="171"/>
      <c r="I100" s="346"/>
      <c r="J100" s="346"/>
      <c r="K100" s="346"/>
      <c r="L100" s="346"/>
      <c r="M100" s="171"/>
      <c r="N100" s="171"/>
      <c r="O100" s="171"/>
    </row>
    <row r="101" spans="1:15" x14ac:dyDescent="0.3">
      <c r="A101" s="171"/>
      <c r="B101" s="171"/>
      <c r="C101" s="171"/>
      <c r="D101" s="171"/>
      <c r="E101" s="171"/>
      <c r="F101" s="171"/>
      <c r="G101" s="171"/>
      <c r="H101" s="171"/>
      <c r="I101" s="346"/>
      <c r="J101" s="346"/>
      <c r="K101" s="346"/>
      <c r="L101" s="346"/>
      <c r="M101" s="171"/>
      <c r="N101" s="171"/>
      <c r="O101" s="171"/>
    </row>
    <row r="102" spans="1:15" x14ac:dyDescent="0.3">
      <c r="A102" s="171"/>
      <c r="B102" s="171"/>
      <c r="C102" s="171"/>
      <c r="D102" s="171"/>
      <c r="E102" s="171"/>
      <c r="F102" s="171"/>
      <c r="G102" s="171"/>
      <c r="H102" s="171"/>
      <c r="I102" s="346"/>
      <c r="J102" s="346"/>
      <c r="K102" s="346"/>
      <c r="L102" s="346"/>
      <c r="M102" s="171"/>
      <c r="N102" s="171"/>
      <c r="O102" s="171"/>
    </row>
    <row r="103" spans="1:15" x14ac:dyDescent="0.3">
      <c r="A103" s="171"/>
      <c r="B103" s="171"/>
      <c r="C103" s="171"/>
      <c r="D103" s="171"/>
      <c r="E103" s="171"/>
      <c r="F103" s="171"/>
      <c r="G103" s="171"/>
      <c r="H103" s="171"/>
      <c r="I103" s="346"/>
      <c r="J103" s="346"/>
      <c r="K103" s="346"/>
      <c r="L103" s="346"/>
      <c r="M103" s="171"/>
      <c r="N103" s="171"/>
      <c r="O103" s="171"/>
    </row>
    <row r="104" spans="1:15" x14ac:dyDescent="0.3">
      <c r="A104" s="171"/>
      <c r="B104" s="171"/>
      <c r="C104" s="171"/>
      <c r="D104" s="171"/>
      <c r="E104" s="171"/>
      <c r="F104" s="171"/>
      <c r="G104" s="171"/>
      <c r="H104" s="171"/>
      <c r="I104" s="346"/>
      <c r="J104" s="346"/>
      <c r="K104" s="346"/>
      <c r="L104" s="346"/>
      <c r="M104" s="171"/>
      <c r="N104" s="171"/>
      <c r="O104" s="171"/>
    </row>
    <row r="105" spans="1:15" x14ac:dyDescent="0.3">
      <c r="A105" s="171"/>
      <c r="B105" s="171"/>
      <c r="C105" s="171"/>
      <c r="D105" s="171"/>
      <c r="E105" s="171"/>
      <c r="F105" s="171"/>
      <c r="G105" s="171"/>
      <c r="H105" s="171"/>
      <c r="I105" s="346"/>
      <c r="J105" s="346"/>
      <c r="K105" s="346"/>
      <c r="L105" s="346"/>
      <c r="M105" s="171"/>
      <c r="N105" s="171"/>
      <c r="O105" s="171"/>
    </row>
    <row r="106" spans="1:15" x14ac:dyDescent="0.3">
      <c r="A106" s="171"/>
      <c r="B106" s="171"/>
      <c r="C106" s="171"/>
      <c r="D106" s="171"/>
      <c r="E106" s="171"/>
      <c r="F106" s="171"/>
      <c r="G106" s="171"/>
      <c r="H106" s="171"/>
      <c r="I106" s="346"/>
      <c r="J106" s="346"/>
      <c r="K106" s="346"/>
      <c r="L106" s="346"/>
      <c r="M106" s="171"/>
      <c r="N106" s="171"/>
      <c r="O106" s="171"/>
    </row>
    <row r="107" spans="1:15" x14ac:dyDescent="0.3">
      <c r="B107" s="171"/>
      <c r="C107" s="171"/>
    </row>
    <row r="108" spans="1:15" x14ac:dyDescent="0.3">
      <c r="B108" s="171"/>
      <c r="C108" s="171"/>
    </row>
    <row r="109" spans="1:15" x14ac:dyDescent="0.3">
      <c r="B109" s="171"/>
      <c r="C109" s="171"/>
    </row>
    <row r="110" spans="1:15" x14ac:dyDescent="0.3">
      <c r="B110" s="171"/>
      <c r="C110" s="171"/>
    </row>
    <row r="111" spans="1:15" x14ac:dyDescent="0.3">
      <c r="B111" s="171"/>
      <c r="C111" s="171"/>
    </row>
    <row r="112" spans="1:15" x14ac:dyDescent="0.3">
      <c r="B112" s="171"/>
      <c r="C112" s="171"/>
    </row>
    <row r="113" spans="2:3" x14ac:dyDescent="0.3">
      <c r="B113" s="171"/>
      <c r="C113" s="171"/>
    </row>
    <row r="114" spans="2:3" x14ac:dyDescent="0.3">
      <c r="B114" s="171"/>
      <c r="C114" s="171"/>
    </row>
    <row r="115" spans="2:3" x14ac:dyDescent="0.3">
      <c r="B115" s="171"/>
      <c r="C115" s="171"/>
    </row>
    <row r="116" spans="2:3" x14ac:dyDescent="0.3">
      <c r="B116" s="171"/>
      <c r="C116" s="17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62"/>
  <sheetViews>
    <sheetView zoomScale="80" zoomScaleNormal="80" workbookViewId="0">
      <selection activeCell="D62" sqref="D62"/>
    </sheetView>
  </sheetViews>
  <sheetFormatPr defaultRowHeight="16.5" x14ac:dyDescent="0.3"/>
  <cols>
    <col min="1" max="1" width="9.140625" style="171"/>
    <col min="2" max="2" width="4.85546875" style="171" customWidth="1"/>
    <col min="3" max="3" width="9.7109375" style="171" bestFit="1" customWidth="1"/>
    <col min="4" max="4" width="15.7109375" style="171" customWidth="1"/>
    <col min="5" max="5" width="11.42578125" style="173" customWidth="1"/>
    <col min="6" max="6" width="10.7109375" style="173" customWidth="1"/>
    <col min="7" max="7" width="18.42578125" style="173" bestFit="1" customWidth="1"/>
    <col min="8" max="8" width="15.42578125" style="171" bestFit="1" customWidth="1"/>
    <col min="9" max="16384" width="9.140625" style="171"/>
  </cols>
  <sheetData>
    <row r="1" spans="1:24" x14ac:dyDescent="0.3">
      <c r="A1" s="265" t="s">
        <v>155</v>
      </c>
      <c r="B1" s="265"/>
      <c r="C1" s="265"/>
      <c r="D1" s="265"/>
      <c r="E1" s="265"/>
      <c r="F1" s="265"/>
      <c r="G1" s="265"/>
      <c r="H1" s="265"/>
      <c r="I1" s="265"/>
      <c r="J1" s="265"/>
      <c r="K1"/>
    </row>
    <row r="2" spans="1:24" ht="17.25" thickBot="1" x14ac:dyDescent="0.35">
      <c r="A2" s="265" t="s">
        <v>156</v>
      </c>
      <c r="B2" s="265"/>
      <c r="C2" s="265"/>
      <c r="D2" s="265"/>
      <c r="E2">
        <v>0.3</v>
      </c>
      <c r="F2"/>
      <c r="G2" s="265"/>
      <c r="H2" s="265"/>
      <c r="I2" s="265"/>
      <c r="J2" s="265"/>
      <c r="K2"/>
    </row>
    <row r="3" spans="1:24" ht="17.25" thickBot="1" x14ac:dyDescent="0.35">
      <c r="A3" s="265" t="s">
        <v>157</v>
      </c>
      <c r="B3"/>
      <c r="C3"/>
      <c r="D3"/>
      <c r="E3"/>
      <c r="F3"/>
      <c r="G3" s="269">
        <f>G60</f>
        <v>18.772602390637807</v>
      </c>
      <c r="H3" s="265"/>
      <c r="I3" s="265"/>
      <c r="N3"/>
      <c r="O3"/>
      <c r="P3"/>
      <c r="Q3"/>
      <c r="R3"/>
      <c r="S3"/>
      <c r="T3"/>
      <c r="U3"/>
      <c r="V3"/>
      <c r="W3" s="265"/>
      <c r="X3"/>
    </row>
    <row r="4" spans="1:24" ht="17.25" thickBot="1" x14ac:dyDescent="0.35">
      <c r="A4" s="266" t="s">
        <v>150</v>
      </c>
      <c r="B4" s="266"/>
      <c r="C4" s="266"/>
      <c r="D4" s="266"/>
      <c r="E4" s="88"/>
      <c r="F4" s="267"/>
      <c r="G4" s="266"/>
      <c r="H4" s="270">
        <f>D61</f>
        <v>68.637112428336991</v>
      </c>
      <c r="I4"/>
    </row>
    <row r="5" spans="1:24" ht="17.25" thickBot="1" x14ac:dyDescent="0.35">
      <c r="A5" s="266" t="s">
        <v>151</v>
      </c>
      <c r="B5"/>
      <c r="C5"/>
      <c r="D5"/>
      <c r="E5"/>
      <c r="F5"/>
      <c r="G5"/>
      <c r="H5"/>
      <c r="I5" s="269">
        <f>1.25*G3</f>
        <v>23.465752988297261</v>
      </c>
      <c r="J5"/>
    </row>
    <row r="6" spans="1:24" x14ac:dyDescent="0.3">
      <c r="A6" s="266" t="s">
        <v>152</v>
      </c>
      <c r="B6"/>
      <c r="C6" s="266" t="s">
        <v>153</v>
      </c>
      <c r="D6"/>
      <c r="E6" s="266" t="s">
        <v>154</v>
      </c>
      <c r="F6" s="171"/>
      <c r="G6"/>
      <c r="J6" s="265"/>
      <c r="K6" s="171">
        <v>0</v>
      </c>
      <c r="L6" s="171">
        <v>4</v>
      </c>
      <c r="M6" s="171">
        <v>0</v>
      </c>
      <c r="N6" s="171">
        <v>-4</v>
      </c>
    </row>
    <row r="7" spans="1:24" x14ac:dyDescent="0.3">
      <c r="A7" s="266" t="s">
        <v>158</v>
      </c>
      <c r="B7"/>
      <c r="C7" t="s">
        <v>116</v>
      </c>
      <c r="D7"/>
      <c r="E7" t="s">
        <v>154</v>
      </c>
      <c r="F7"/>
      <c r="G7"/>
      <c r="H7"/>
      <c r="I7"/>
      <c r="J7"/>
      <c r="K7" s="171">
        <v>50</v>
      </c>
      <c r="L7" s="171">
        <v>4</v>
      </c>
      <c r="M7" s="171">
        <v>0</v>
      </c>
      <c r="N7" s="171">
        <v>-4</v>
      </c>
    </row>
    <row r="8" spans="1:24" x14ac:dyDescent="0.3">
      <c r="E8" s="171"/>
      <c r="F8" s="171"/>
      <c r="G8" s="171"/>
      <c r="H8"/>
      <c r="I8" s="266"/>
      <c r="J8"/>
    </row>
    <row r="9" spans="1:24" ht="17.25" thickBot="1" x14ac:dyDescent="0.35"/>
    <row r="10" spans="1:24" ht="17.25" thickBot="1" x14ac:dyDescent="0.35">
      <c r="A10" s="184" t="s">
        <v>111</v>
      </c>
      <c r="B10" s="228" t="s">
        <v>69</v>
      </c>
      <c r="C10" s="257" t="s">
        <v>12</v>
      </c>
      <c r="D10" s="257" t="s">
        <v>146</v>
      </c>
      <c r="E10" s="285" t="s">
        <v>147</v>
      </c>
      <c r="F10" s="285" t="s">
        <v>23</v>
      </c>
      <c r="G10" s="285" t="s">
        <v>148</v>
      </c>
      <c r="H10" s="291" t="s">
        <v>149</v>
      </c>
    </row>
    <row r="11" spans="1:24" x14ac:dyDescent="0.3">
      <c r="A11" s="277">
        <f ca="1">'0.ArdiData&amp;FixedData'!B3</f>
        <v>15107</v>
      </c>
      <c r="B11" s="262">
        <v>1</v>
      </c>
      <c r="C11" s="280">
        <v>60</v>
      </c>
      <c r="D11" s="282">
        <f>C11</f>
        <v>60</v>
      </c>
      <c r="E11" s="286">
        <f>C11-D11</f>
        <v>0</v>
      </c>
      <c r="F11" s="288">
        <f>ABS(E11)</f>
        <v>0</v>
      </c>
      <c r="G11" s="290">
        <f>AVERAGE($F$11:F11)</f>
        <v>0</v>
      </c>
      <c r="H11" s="292" t="e">
        <f>SUM($E$11:E11)/G11</f>
        <v>#DIV/0!</v>
      </c>
    </row>
    <row r="12" spans="1:24" x14ac:dyDescent="0.3">
      <c r="A12" s="278">
        <f ca="1">'0.ArdiData&amp;FixedData'!B4</f>
        <v>10035</v>
      </c>
      <c r="B12" s="262">
        <v>2</v>
      </c>
      <c r="C12" s="280">
        <v>38</v>
      </c>
      <c r="D12" s="282">
        <f>(1-$E$2)*D11+$E$2*C11</f>
        <v>60</v>
      </c>
      <c r="E12" s="286">
        <f>C12-D12</f>
        <v>-22</v>
      </c>
      <c r="F12" s="288">
        <f>ABS(E12)</f>
        <v>22</v>
      </c>
      <c r="G12" s="290">
        <f>AVERAGE($F$11:F12)</f>
        <v>11</v>
      </c>
      <c r="H12" s="293">
        <f>SUM($E$11:E12)/G12</f>
        <v>-2</v>
      </c>
    </row>
    <row r="13" spans="1:24" x14ac:dyDescent="0.3">
      <c r="A13" s="278">
        <f ca="1">'0.ArdiData&amp;FixedData'!B5</f>
        <v>8653</v>
      </c>
      <c r="B13" s="262">
        <v>3</v>
      </c>
      <c r="C13" s="280">
        <v>29</v>
      </c>
      <c r="D13" s="282">
        <f t="shared" ref="D13:D61" si="0">(1-$E$2)*D12+$E$2*C12</f>
        <v>53.4</v>
      </c>
      <c r="E13" s="286">
        <f t="shared" ref="E13:E60" si="1">C13-D13</f>
        <v>-24.4</v>
      </c>
      <c r="F13" s="288">
        <f t="shared" ref="F13:F60" si="2">ABS(E13)</f>
        <v>24.4</v>
      </c>
      <c r="G13" s="290">
        <f>AVERAGE($F$11:F13)</f>
        <v>15.466666666666667</v>
      </c>
      <c r="H13" s="293">
        <f>SUM($E$11:E13)/G13</f>
        <v>-3</v>
      </c>
    </row>
    <row r="14" spans="1:24" x14ac:dyDescent="0.3">
      <c r="A14" s="278">
        <f ca="1">'0.ArdiData&amp;FixedData'!B6</f>
        <v>2388</v>
      </c>
      <c r="B14" s="262">
        <v>4</v>
      </c>
      <c r="C14" s="280">
        <v>21</v>
      </c>
      <c r="D14" s="282">
        <f t="shared" si="0"/>
        <v>46.08</v>
      </c>
      <c r="E14" s="286">
        <f t="shared" si="1"/>
        <v>-25.08</v>
      </c>
      <c r="F14" s="288">
        <f t="shared" si="2"/>
        <v>25.08</v>
      </c>
      <c r="G14" s="290">
        <f>AVERAGE($F$11:F14)</f>
        <v>17.869999999999997</v>
      </c>
      <c r="H14" s="293">
        <f>SUM($E$11:E14)/G14</f>
        <v>-4</v>
      </c>
    </row>
    <row r="15" spans="1:24" x14ac:dyDescent="0.3">
      <c r="A15" s="278">
        <f ca="1">'0.ArdiData&amp;FixedData'!B7</f>
        <v>6918</v>
      </c>
      <c r="B15" s="262">
        <v>5</v>
      </c>
      <c r="C15" s="280">
        <v>26</v>
      </c>
      <c r="D15" s="282">
        <f t="shared" si="0"/>
        <v>38.555999999999997</v>
      </c>
      <c r="E15" s="286">
        <f t="shared" si="1"/>
        <v>-12.555999999999997</v>
      </c>
      <c r="F15" s="288">
        <f t="shared" si="2"/>
        <v>12.555999999999997</v>
      </c>
      <c r="G15" s="290">
        <f>AVERAGE($F$11:F15)</f>
        <v>16.807199999999998</v>
      </c>
      <c r="H15" s="293">
        <f>SUM($E$11:E15)/G15</f>
        <v>-5</v>
      </c>
    </row>
    <row r="16" spans="1:24" x14ac:dyDescent="0.3">
      <c r="A16" s="278">
        <f ca="1">'0.ArdiData&amp;FixedData'!B8</f>
        <v>10512</v>
      </c>
      <c r="B16" s="262">
        <v>6</v>
      </c>
      <c r="C16" s="280">
        <v>43</v>
      </c>
      <c r="D16" s="282">
        <f t="shared" si="0"/>
        <v>34.789199999999994</v>
      </c>
      <c r="E16" s="286">
        <f t="shared" si="1"/>
        <v>8.2108000000000061</v>
      </c>
      <c r="F16" s="288">
        <f t="shared" si="2"/>
        <v>8.2108000000000061</v>
      </c>
      <c r="G16" s="290">
        <f>AVERAGE($F$11:F16)</f>
        <v>15.374466666666665</v>
      </c>
      <c r="H16" s="293">
        <f>SUM($E$11:E16)/G16</f>
        <v>-4.9318914043630775</v>
      </c>
    </row>
    <row r="17" spans="1:10" x14ac:dyDescent="0.3">
      <c r="A17" s="278">
        <f ca="1">'0.ArdiData&amp;FixedData'!B9</f>
        <v>2856</v>
      </c>
      <c r="B17" s="262">
        <v>7</v>
      </c>
      <c r="C17" s="280">
        <v>39</v>
      </c>
      <c r="D17" s="282">
        <f t="shared" si="0"/>
        <v>37.252439999999993</v>
      </c>
      <c r="E17" s="286">
        <f t="shared" si="1"/>
        <v>1.7475600000000071</v>
      </c>
      <c r="F17" s="288">
        <f t="shared" si="2"/>
        <v>1.7475600000000071</v>
      </c>
      <c r="G17" s="290">
        <f>AVERAGE($F$11:F17)</f>
        <v>13.427765714285714</v>
      </c>
      <c r="H17" s="293">
        <f>SUM($E$11:E17)/G17</f>
        <v>-5.5167510050603017</v>
      </c>
    </row>
    <row r="18" spans="1:10" x14ac:dyDescent="0.3">
      <c r="A18" s="278">
        <f ca="1">'0.ArdiData&amp;FixedData'!B10</f>
        <v>7500</v>
      </c>
      <c r="B18" s="262">
        <v>8</v>
      </c>
      <c r="C18" s="280">
        <v>38</v>
      </c>
      <c r="D18" s="282">
        <f t="shared" si="0"/>
        <v>37.776707999999992</v>
      </c>
      <c r="E18" s="286">
        <f t="shared" si="1"/>
        <v>0.22329200000000782</v>
      </c>
      <c r="F18" s="288">
        <f t="shared" si="2"/>
        <v>0.22329200000000782</v>
      </c>
      <c r="G18" s="290">
        <f>AVERAGE($F$11:F18)</f>
        <v>11.777206500000002</v>
      </c>
      <c r="H18" s="293">
        <f>SUM($E$11:E18)/G18</f>
        <v>-6.2709563596426658</v>
      </c>
    </row>
    <row r="19" spans="1:10" x14ac:dyDescent="0.3">
      <c r="A19" s="278">
        <f ca="1">'0.ArdiData&amp;FixedData'!B11</f>
        <v>13430</v>
      </c>
      <c r="B19" s="262">
        <v>9</v>
      </c>
      <c r="C19" s="280">
        <v>45</v>
      </c>
      <c r="D19" s="282">
        <f t="shared" si="0"/>
        <v>37.843695599999997</v>
      </c>
      <c r="E19" s="286">
        <f t="shared" si="1"/>
        <v>7.1563044000000033</v>
      </c>
      <c r="F19" s="288">
        <f t="shared" si="2"/>
        <v>7.1563044000000033</v>
      </c>
      <c r="G19" s="290">
        <f>AVERAGE($F$11:F19)</f>
        <v>11.263772933333335</v>
      </c>
      <c r="H19" s="293">
        <f>SUM($E$11:E19)/G19</f>
        <v>-5.921465568843078</v>
      </c>
      <c r="J19" s="171" t="s">
        <v>30</v>
      </c>
    </row>
    <row r="20" spans="1:10" x14ac:dyDescent="0.3">
      <c r="A20" s="278">
        <f ca="1">'0.ArdiData&amp;FixedData'!B12</f>
        <v>3141</v>
      </c>
      <c r="B20" s="262">
        <v>10</v>
      </c>
      <c r="C20" s="280">
        <v>73</v>
      </c>
      <c r="D20" s="282">
        <f t="shared" si="0"/>
        <v>39.990586919999998</v>
      </c>
      <c r="E20" s="286">
        <f t="shared" si="1"/>
        <v>33.009413080000002</v>
      </c>
      <c r="F20" s="288">
        <f t="shared" si="2"/>
        <v>33.009413080000002</v>
      </c>
      <c r="G20" s="290">
        <f>AVERAGE($F$11:F20)</f>
        <v>13.438336948000003</v>
      </c>
      <c r="H20" s="293">
        <f>SUM($E$11:E20)/G20</f>
        <v>-2.5069047345932005</v>
      </c>
    </row>
    <row r="21" spans="1:10" x14ac:dyDescent="0.3">
      <c r="A21" s="278">
        <f ca="1">'0.ArdiData&amp;FixedData'!B13</f>
        <v>8956</v>
      </c>
      <c r="B21" s="262">
        <v>11</v>
      </c>
      <c r="C21" s="280">
        <v>26</v>
      </c>
      <c r="D21" s="282">
        <f t="shared" si="0"/>
        <v>49.893410843999995</v>
      </c>
      <c r="E21" s="286">
        <f t="shared" si="1"/>
        <v>-23.893410843999995</v>
      </c>
      <c r="F21" s="288">
        <f t="shared" si="2"/>
        <v>23.893410843999995</v>
      </c>
      <c r="G21" s="290">
        <f>AVERAGE($F$11:F21)</f>
        <v>14.388798211272729</v>
      </c>
      <c r="H21" s="293">
        <f>SUM($E$11:E21)/G21</f>
        <v>-4.0018659319920129</v>
      </c>
    </row>
    <row r="22" spans="1:10" x14ac:dyDescent="0.3">
      <c r="A22" s="278">
        <f ca="1">'0.ArdiData&amp;FixedData'!B14</f>
        <v>9327</v>
      </c>
      <c r="B22" s="262">
        <v>12</v>
      </c>
      <c r="C22" s="280">
        <v>96</v>
      </c>
      <c r="D22" s="282">
        <f t="shared" si="0"/>
        <v>42.72538759079999</v>
      </c>
      <c r="E22" s="286">
        <f t="shared" si="1"/>
        <v>53.27461240920001</v>
      </c>
      <c r="F22" s="288">
        <f t="shared" si="2"/>
        <v>53.27461240920001</v>
      </c>
      <c r="G22" s="290">
        <f>AVERAGE($F$11:F22)</f>
        <v>17.629282727766668</v>
      </c>
      <c r="H22" s="293">
        <f>SUM($E$11:E22)/G22</f>
        <v>-0.24433376112435912</v>
      </c>
    </row>
    <row r="23" spans="1:10" x14ac:dyDescent="0.3">
      <c r="A23" s="278">
        <f ca="1">'0.ArdiData&amp;FixedData'!B15</f>
        <v>2551</v>
      </c>
      <c r="B23" s="262">
        <v>13</v>
      </c>
      <c r="C23" s="280">
        <v>50</v>
      </c>
      <c r="D23" s="282">
        <f t="shared" si="0"/>
        <v>58.707771313559988</v>
      </c>
      <c r="E23" s="286">
        <f t="shared" si="1"/>
        <v>-8.7077713135599879</v>
      </c>
      <c r="F23" s="288">
        <f t="shared" si="2"/>
        <v>8.7077713135599879</v>
      </c>
      <c r="G23" s="290">
        <f>AVERAGE($F$11:F23)</f>
        <v>16.943012618981541</v>
      </c>
      <c r="H23" s="293">
        <f>SUM($E$11:E23)/G23</f>
        <v>-0.76817509146978813</v>
      </c>
    </row>
    <row r="24" spans="1:10" x14ac:dyDescent="0.3">
      <c r="A24" s="278">
        <f ca="1">'0.ArdiData&amp;FixedData'!B16</f>
        <v>4633</v>
      </c>
      <c r="B24" s="262">
        <v>14</v>
      </c>
      <c r="C24" s="280">
        <v>57</v>
      </c>
      <c r="D24" s="282">
        <f t="shared" si="0"/>
        <v>56.095439919491987</v>
      </c>
      <c r="E24" s="286">
        <f t="shared" si="1"/>
        <v>0.90456008050801273</v>
      </c>
      <c r="F24" s="288">
        <f t="shared" si="2"/>
        <v>0.90456008050801273</v>
      </c>
      <c r="G24" s="290">
        <f>AVERAGE($F$11:F24)</f>
        <v>15.797408866233431</v>
      </c>
      <c r="H24" s="293">
        <f>SUM($E$11:E24)/G24</f>
        <v>-0.76662193720503746</v>
      </c>
    </row>
    <row r="25" spans="1:10" x14ac:dyDescent="0.3">
      <c r="A25" s="278">
        <f ca="1">'0.ArdiData&amp;FixedData'!B17</f>
        <v>4122</v>
      </c>
      <c r="B25" s="262">
        <v>15</v>
      </c>
      <c r="C25" s="280">
        <v>72</v>
      </c>
      <c r="D25" s="282">
        <f t="shared" si="0"/>
        <v>56.366807943644389</v>
      </c>
      <c r="E25" s="286">
        <f t="shared" si="1"/>
        <v>15.633192056355611</v>
      </c>
      <c r="F25" s="288">
        <f t="shared" si="2"/>
        <v>15.633192056355611</v>
      </c>
      <c r="G25" s="290">
        <f>AVERAGE($F$11:F25)</f>
        <v>15.786461078908243</v>
      </c>
      <c r="H25" s="293">
        <f>SUM($E$11:E25)/G25</f>
        <v>0.22313752594050779</v>
      </c>
    </row>
    <row r="26" spans="1:10" x14ac:dyDescent="0.3">
      <c r="A26" s="278">
        <f ca="1">'0.ArdiData&amp;FixedData'!B18</f>
        <v>8600</v>
      </c>
      <c r="B26" s="262">
        <v>16</v>
      </c>
      <c r="C26" s="280">
        <v>56</v>
      </c>
      <c r="D26" s="282">
        <f t="shared" si="0"/>
        <v>61.056765560551071</v>
      </c>
      <c r="E26" s="286">
        <f t="shared" si="1"/>
        <v>-5.0567655605510708</v>
      </c>
      <c r="F26" s="288">
        <f t="shared" si="2"/>
        <v>5.0567655605510708</v>
      </c>
      <c r="G26" s="290">
        <f>AVERAGE($F$11:F26)</f>
        <v>15.115855109010919</v>
      </c>
      <c r="H26" s="293">
        <f>SUM($E$11:E26)/G26</f>
        <v>-0.10149698319963289</v>
      </c>
    </row>
    <row r="27" spans="1:10" x14ac:dyDescent="0.3">
      <c r="A27" s="278">
        <f ca="1">'0.ArdiData&amp;FixedData'!B19</f>
        <v>4875</v>
      </c>
      <c r="B27" s="262">
        <v>17</v>
      </c>
      <c r="C27" s="280">
        <v>27</v>
      </c>
      <c r="D27" s="282">
        <f t="shared" si="0"/>
        <v>59.53973589238575</v>
      </c>
      <c r="E27" s="286">
        <f t="shared" si="1"/>
        <v>-32.53973589238575</v>
      </c>
      <c r="F27" s="288">
        <f t="shared" si="2"/>
        <v>32.53973589238575</v>
      </c>
      <c r="G27" s="290">
        <f>AVERAGE($F$11:F27)</f>
        <v>16.14078927273885</v>
      </c>
      <c r="H27" s="293">
        <f>SUM($E$11:E27)/G27</f>
        <v>-2.1110460590661857</v>
      </c>
    </row>
    <row r="28" spans="1:10" x14ac:dyDescent="0.3">
      <c r="A28" s="278">
        <f ca="1">'0.ArdiData&amp;FixedData'!B20</f>
        <v>9645</v>
      </c>
      <c r="B28" s="262">
        <v>18</v>
      </c>
      <c r="C28" s="280">
        <v>33</v>
      </c>
      <c r="D28" s="282">
        <f t="shared" si="0"/>
        <v>49.77781512467002</v>
      </c>
      <c r="E28" s="286">
        <f t="shared" si="1"/>
        <v>-16.77781512467002</v>
      </c>
      <c r="F28" s="288">
        <f t="shared" si="2"/>
        <v>16.77781512467002</v>
      </c>
      <c r="G28" s="290">
        <f>AVERAGE($F$11:F28)</f>
        <v>16.17617959784614</v>
      </c>
      <c r="H28" s="293">
        <f>SUM($E$11:E28)/G28</f>
        <v>-3.1436201855643375</v>
      </c>
    </row>
    <row r="29" spans="1:10" x14ac:dyDescent="0.3">
      <c r="A29" s="278">
        <f ca="1">'0.ArdiData&amp;FixedData'!B21</f>
        <v>3856</v>
      </c>
      <c r="B29" s="262">
        <v>19</v>
      </c>
      <c r="C29" s="280">
        <v>73</v>
      </c>
      <c r="D29" s="282">
        <f t="shared" si="0"/>
        <v>44.744470587269014</v>
      </c>
      <c r="E29" s="286">
        <f t="shared" si="1"/>
        <v>28.255529412730986</v>
      </c>
      <c r="F29" s="288">
        <f t="shared" si="2"/>
        <v>28.255529412730986</v>
      </c>
      <c r="G29" s="290">
        <f>AVERAGE($F$11:F29)</f>
        <v>16.811934851261132</v>
      </c>
      <c r="H29" s="293">
        <f>SUM($E$11:E29)/G29</f>
        <v>-1.3440591755967406</v>
      </c>
    </row>
    <row r="30" spans="1:10" x14ac:dyDescent="0.3">
      <c r="A30" s="278">
        <f ca="1">'0.ArdiData&amp;FixedData'!B22</f>
        <v>2695</v>
      </c>
      <c r="B30" s="262">
        <v>20</v>
      </c>
      <c r="C30" s="280">
        <v>55</v>
      </c>
      <c r="D30" s="282">
        <f t="shared" si="0"/>
        <v>53.221129411088306</v>
      </c>
      <c r="E30" s="286">
        <f t="shared" si="1"/>
        <v>1.778870588911694</v>
      </c>
      <c r="F30" s="288">
        <f t="shared" si="2"/>
        <v>1.778870588911694</v>
      </c>
      <c r="G30" s="290">
        <f>AVERAGE($F$11:F30)</f>
        <v>16.060281638143657</v>
      </c>
      <c r="H30" s="293">
        <f>SUM($E$11:E30)/G30</f>
        <v>-1.296201721520162</v>
      </c>
    </row>
    <row r="31" spans="1:10" x14ac:dyDescent="0.3">
      <c r="A31" s="278">
        <f ca="1">'0.ArdiData&amp;FixedData'!B23</f>
        <v>7310</v>
      </c>
      <c r="B31" s="262">
        <v>21</v>
      </c>
      <c r="C31" s="280">
        <v>31</v>
      </c>
      <c r="D31" s="282">
        <f t="shared" si="0"/>
        <v>53.754790587761811</v>
      </c>
      <c r="E31" s="286">
        <f t="shared" si="1"/>
        <v>-22.754790587761811</v>
      </c>
      <c r="F31" s="288">
        <f t="shared" si="2"/>
        <v>22.754790587761811</v>
      </c>
      <c r="G31" s="290">
        <f>AVERAGE($F$11:F31)</f>
        <v>16.379067778601666</v>
      </c>
      <c r="H31" s="293">
        <f>SUM($E$11:E31)/G31</f>
        <v>-2.6602341405624346</v>
      </c>
    </row>
    <row r="32" spans="1:10" x14ac:dyDescent="0.3">
      <c r="A32" s="278">
        <f ca="1">'0.ArdiData&amp;FixedData'!B24</f>
        <v>6859</v>
      </c>
      <c r="B32" s="262">
        <v>22</v>
      </c>
      <c r="C32" s="280">
        <v>60</v>
      </c>
      <c r="D32" s="282">
        <f t="shared" si="0"/>
        <v>46.928353411433264</v>
      </c>
      <c r="E32" s="286">
        <f t="shared" si="1"/>
        <v>13.071646588566736</v>
      </c>
      <c r="F32" s="288">
        <f t="shared" si="2"/>
        <v>13.071646588566736</v>
      </c>
      <c r="G32" s="290">
        <f>AVERAGE($F$11:F32)</f>
        <v>16.228730451781896</v>
      </c>
      <c r="H32" s="293">
        <f>SUM($E$11:E32)/G32</f>
        <v>-1.8794143384953819</v>
      </c>
    </row>
    <row r="33" spans="1:8" x14ac:dyDescent="0.3">
      <c r="A33" s="278">
        <f ca="1">'0.ArdiData&amp;FixedData'!B25</f>
        <v>11837</v>
      </c>
      <c r="B33" s="262">
        <v>23</v>
      </c>
      <c r="C33" s="280">
        <v>26</v>
      </c>
      <c r="D33" s="282">
        <f t="shared" si="0"/>
        <v>50.849847388003283</v>
      </c>
      <c r="E33" s="286">
        <f t="shared" si="1"/>
        <v>-24.849847388003283</v>
      </c>
      <c r="F33" s="288">
        <f t="shared" si="2"/>
        <v>24.849847388003283</v>
      </c>
      <c r="G33" s="290">
        <f>AVERAGE($F$11:F33)</f>
        <v>16.603561622921958</v>
      </c>
      <c r="H33" s="293">
        <f>SUM($E$11:E33)/G33</f>
        <v>-3.3336435489988592</v>
      </c>
    </row>
    <row r="34" spans="1:8" x14ac:dyDescent="0.3">
      <c r="A34" s="278">
        <f ca="1">'0.ArdiData&amp;FixedData'!B26</f>
        <v>12513</v>
      </c>
      <c r="B34" s="262">
        <v>24</v>
      </c>
      <c r="C34" s="280">
        <v>25</v>
      </c>
      <c r="D34" s="282">
        <f t="shared" si="0"/>
        <v>43.394893171602291</v>
      </c>
      <c r="E34" s="286">
        <f t="shared" si="1"/>
        <v>-18.394893171602291</v>
      </c>
      <c r="F34" s="288">
        <f t="shared" si="2"/>
        <v>18.394893171602291</v>
      </c>
      <c r="G34" s="290">
        <f>AVERAGE($F$11:F34)</f>
        <v>16.678200437450304</v>
      </c>
      <c r="H34" s="293">
        <f>SUM($E$11:E34)/G34</f>
        <v>-4.4216550546226072</v>
      </c>
    </row>
    <row r="35" spans="1:8" x14ac:dyDescent="0.3">
      <c r="A35" s="278">
        <f ca="1">'0.ArdiData&amp;FixedData'!B27</f>
        <v>7352</v>
      </c>
      <c r="B35" s="262">
        <v>25</v>
      </c>
      <c r="C35" s="280">
        <v>65</v>
      </c>
      <c r="D35" s="282">
        <f t="shared" si="0"/>
        <v>37.876425220121604</v>
      </c>
      <c r="E35" s="286">
        <f t="shared" si="1"/>
        <v>27.123574779878396</v>
      </c>
      <c r="F35" s="288">
        <f t="shared" si="2"/>
        <v>27.123574779878396</v>
      </c>
      <c r="G35" s="290">
        <f>AVERAGE($F$11:F35)</f>
        <v>17.096015411147427</v>
      </c>
      <c r="H35" s="293">
        <f>SUM($E$11:E35)/G35</f>
        <v>-2.7270491611737278</v>
      </c>
    </row>
    <row r="36" spans="1:8" x14ac:dyDescent="0.3">
      <c r="A36" s="278">
        <f ca="1">'0.ArdiData&amp;FixedData'!B28</f>
        <v>12595</v>
      </c>
      <c r="B36" s="262">
        <v>26</v>
      </c>
      <c r="C36" s="280">
        <v>68</v>
      </c>
      <c r="D36" s="282">
        <f t="shared" si="0"/>
        <v>46.013497654085121</v>
      </c>
      <c r="E36" s="286">
        <f t="shared" si="1"/>
        <v>21.986502345914879</v>
      </c>
      <c r="F36" s="288">
        <f t="shared" si="2"/>
        <v>21.986502345914879</v>
      </c>
      <c r="G36" s="290">
        <f>AVERAGE($F$11:F36)</f>
        <v>17.284111062484637</v>
      </c>
      <c r="H36" s="293">
        <f>SUM($E$11:E36)/G36</f>
        <v>-1.4253074428536139</v>
      </c>
    </row>
    <row r="37" spans="1:8" x14ac:dyDescent="0.3">
      <c r="A37" s="278">
        <f ca="1">'0.ArdiData&amp;FixedData'!B29</f>
        <v>10868</v>
      </c>
      <c r="B37" s="262">
        <v>27</v>
      </c>
      <c r="C37" s="280">
        <v>100</v>
      </c>
      <c r="D37" s="282">
        <f t="shared" si="0"/>
        <v>52.609448357859584</v>
      </c>
      <c r="E37" s="286">
        <f t="shared" si="1"/>
        <v>47.390551642140416</v>
      </c>
      <c r="F37" s="288">
        <f t="shared" si="2"/>
        <v>47.390551642140416</v>
      </c>
      <c r="G37" s="290">
        <f>AVERAGE($F$11:F37)</f>
        <v>18.399164417286702</v>
      </c>
      <c r="H37" s="293">
        <f>SUM($E$11:E37)/G37</f>
        <v>1.2367615716446911</v>
      </c>
    </row>
    <row r="38" spans="1:8" x14ac:dyDescent="0.3">
      <c r="A38" s="278">
        <f ca="1">'0.ArdiData&amp;FixedData'!B30</f>
        <v>13152</v>
      </c>
      <c r="B38" s="262">
        <v>28</v>
      </c>
      <c r="C38" s="280">
        <v>66</v>
      </c>
      <c r="D38" s="282">
        <f t="shared" si="0"/>
        <v>66.826613850501701</v>
      </c>
      <c r="E38" s="286">
        <f t="shared" si="1"/>
        <v>-0.82661385050170111</v>
      </c>
      <c r="F38" s="288">
        <f t="shared" si="2"/>
        <v>0.82661385050170111</v>
      </c>
      <c r="G38" s="290">
        <f>AVERAGE($F$11:F38)</f>
        <v>17.771573325615808</v>
      </c>
      <c r="H38" s="293">
        <f>SUM($E$11:E38)/G38</f>
        <v>1.2339237077880394</v>
      </c>
    </row>
    <row r="39" spans="1:8" x14ac:dyDescent="0.3">
      <c r="A39" s="278">
        <f ca="1">'0.ArdiData&amp;FixedData'!B31</f>
        <v>7909</v>
      </c>
      <c r="B39" s="262">
        <v>29</v>
      </c>
      <c r="C39" s="280">
        <v>50</v>
      </c>
      <c r="D39" s="282">
        <f t="shared" si="0"/>
        <v>66.578629695351182</v>
      </c>
      <c r="E39" s="286">
        <f t="shared" si="1"/>
        <v>-16.578629695351182</v>
      </c>
      <c r="F39" s="288">
        <f t="shared" si="2"/>
        <v>16.578629695351182</v>
      </c>
      <c r="G39" s="290">
        <f>AVERAGE($F$11:F39)</f>
        <v>17.730437338365306</v>
      </c>
      <c r="H39" s="293">
        <f>SUM($E$11:E39)/G39</f>
        <v>0.30174867397337207</v>
      </c>
    </row>
    <row r="40" spans="1:8" x14ac:dyDescent="0.3">
      <c r="A40" s="278">
        <f ca="1">'0.ArdiData&amp;FixedData'!B32</f>
        <v>9155</v>
      </c>
      <c r="B40" s="262">
        <v>30</v>
      </c>
      <c r="C40" s="280">
        <v>57</v>
      </c>
      <c r="D40" s="282">
        <f t="shared" si="0"/>
        <v>61.605040786745825</v>
      </c>
      <c r="E40" s="286">
        <f t="shared" si="1"/>
        <v>-4.6050407867458247</v>
      </c>
      <c r="F40" s="288">
        <f t="shared" si="2"/>
        <v>4.6050407867458247</v>
      </c>
      <c r="G40" s="290">
        <f>AVERAGE($F$11:F40)</f>
        <v>17.29292411997799</v>
      </c>
      <c r="H40" s="293">
        <f>SUM($E$11:E40)/G40</f>
        <v>4.3086707829422831E-2</v>
      </c>
    </row>
    <row r="41" spans="1:8" x14ac:dyDescent="0.3">
      <c r="A41" s="278">
        <f ca="1">'0.ArdiData&amp;FixedData'!B33</f>
        <v>3755</v>
      </c>
      <c r="B41" s="262">
        <v>31</v>
      </c>
      <c r="C41" s="280">
        <v>86</v>
      </c>
      <c r="D41" s="282">
        <f t="shared" si="0"/>
        <v>60.223528550722079</v>
      </c>
      <c r="E41" s="286">
        <f t="shared" si="1"/>
        <v>25.776471449277921</v>
      </c>
      <c r="F41" s="288">
        <f t="shared" si="2"/>
        <v>25.776471449277921</v>
      </c>
      <c r="G41" s="290">
        <f>AVERAGE($F$11:F41)</f>
        <v>17.566586937052179</v>
      </c>
      <c r="H41" s="293">
        <f>SUM($E$11:E41)/G41</f>
        <v>1.5097734530554365</v>
      </c>
    </row>
    <row r="42" spans="1:8" x14ac:dyDescent="0.3">
      <c r="A42" s="278">
        <f ca="1">'0.ArdiData&amp;FixedData'!B34</f>
        <v>6310</v>
      </c>
      <c r="B42" s="262">
        <v>32</v>
      </c>
      <c r="C42" s="280">
        <v>54</v>
      </c>
      <c r="D42" s="282">
        <f t="shared" si="0"/>
        <v>67.95646998550545</v>
      </c>
      <c r="E42" s="286">
        <f t="shared" si="1"/>
        <v>-13.95646998550545</v>
      </c>
      <c r="F42" s="288">
        <f t="shared" si="2"/>
        <v>13.95646998550545</v>
      </c>
      <c r="G42" s="290">
        <f>AVERAGE($F$11:F42)</f>
        <v>17.453770782316344</v>
      </c>
      <c r="H42" s="293">
        <f>SUM($E$11:E42)/G42</f>
        <v>0.71990727903777296</v>
      </c>
    </row>
    <row r="43" spans="1:8" x14ac:dyDescent="0.3">
      <c r="A43" s="278">
        <f ca="1">'0.ArdiData&amp;FixedData'!B35</f>
        <v>7047</v>
      </c>
      <c r="B43" s="262">
        <v>33</v>
      </c>
      <c r="C43" s="280">
        <v>77</v>
      </c>
      <c r="D43" s="282">
        <f t="shared" si="0"/>
        <v>63.769528989853811</v>
      </c>
      <c r="E43" s="286">
        <f t="shared" si="1"/>
        <v>13.230471010146189</v>
      </c>
      <c r="F43" s="288">
        <f t="shared" si="2"/>
        <v>13.230471010146189</v>
      </c>
      <c r="G43" s="290">
        <f>AVERAGE($F$11:F43)</f>
        <v>17.32579200134149</v>
      </c>
      <c r="H43" s="293">
        <f>SUM($E$11:E43)/G43</f>
        <v>1.4888535912814402</v>
      </c>
    </row>
    <row r="44" spans="1:8" x14ac:dyDescent="0.3">
      <c r="A44" s="278">
        <f ca="1">'0.ArdiData&amp;FixedData'!B36</f>
        <v>3953</v>
      </c>
      <c r="B44" s="262">
        <v>34</v>
      </c>
      <c r="C44" s="280">
        <v>28</v>
      </c>
      <c r="D44" s="282">
        <f t="shared" si="0"/>
        <v>67.738670292897666</v>
      </c>
      <c r="E44" s="286">
        <f t="shared" si="1"/>
        <v>-39.738670292897666</v>
      </c>
      <c r="F44" s="288">
        <f t="shared" si="2"/>
        <v>39.738670292897666</v>
      </c>
      <c r="G44" s="290">
        <f>AVERAGE($F$11:F44)</f>
        <v>17.984994304034316</v>
      </c>
      <c r="H44" s="293">
        <f>SUM($E$11:E44)/G44</f>
        <v>-0.77526311180301455</v>
      </c>
    </row>
    <row r="45" spans="1:8" x14ac:dyDescent="0.3">
      <c r="A45" s="278">
        <f ca="1">'0.ArdiData&amp;FixedData'!B37</f>
        <v>4167</v>
      </c>
      <c r="B45" s="262">
        <v>35</v>
      </c>
      <c r="C45" s="280">
        <v>46</v>
      </c>
      <c r="D45" s="282">
        <f t="shared" si="0"/>
        <v>55.817069205028361</v>
      </c>
      <c r="E45" s="286">
        <f t="shared" si="1"/>
        <v>-9.8170692050283606</v>
      </c>
      <c r="F45" s="288">
        <f t="shared" si="2"/>
        <v>9.8170692050283606</v>
      </c>
      <c r="G45" s="290">
        <f>AVERAGE($F$11:F45)</f>
        <v>17.751625015491289</v>
      </c>
      <c r="H45" s="293">
        <f>SUM($E$11:E45)/G45</f>
        <v>-1.3384786933139212</v>
      </c>
    </row>
    <row r="46" spans="1:8" x14ac:dyDescent="0.3">
      <c r="A46" s="278">
        <f ca="1">'0.ArdiData&amp;FixedData'!B38</f>
        <v>7907</v>
      </c>
      <c r="B46" s="262">
        <v>36</v>
      </c>
      <c r="C46" s="280">
        <v>34</v>
      </c>
      <c r="D46" s="282">
        <f t="shared" si="0"/>
        <v>52.871948443519848</v>
      </c>
      <c r="E46" s="286">
        <f t="shared" si="1"/>
        <v>-18.871948443519848</v>
      </c>
      <c r="F46" s="288">
        <f t="shared" si="2"/>
        <v>18.871948443519848</v>
      </c>
      <c r="G46" s="290">
        <f>AVERAGE($F$11:F46)</f>
        <v>17.782745110714306</v>
      </c>
      <c r="H46" s="293">
        <f>SUM($E$11:E46)/G46</f>
        <v>-2.3973869069723666</v>
      </c>
    </row>
    <row r="47" spans="1:8" x14ac:dyDescent="0.3">
      <c r="A47" s="278">
        <f ca="1">'0.ArdiData&amp;FixedData'!B39</f>
        <v>4090</v>
      </c>
      <c r="B47" s="262">
        <v>37</v>
      </c>
      <c r="C47" s="280">
        <v>86</v>
      </c>
      <c r="D47" s="282">
        <f t="shared" si="0"/>
        <v>47.210363910463897</v>
      </c>
      <c r="E47" s="286">
        <f t="shared" si="1"/>
        <v>38.789636089536103</v>
      </c>
      <c r="F47" s="288">
        <f t="shared" si="2"/>
        <v>38.789636089536103</v>
      </c>
      <c r="G47" s="290">
        <f>AVERAGE($F$11:F47)</f>
        <v>18.350498920952731</v>
      </c>
      <c r="H47" s="293">
        <f>SUM($E$11:E47)/G47</f>
        <v>-0.20939399116445087</v>
      </c>
    </row>
    <row r="48" spans="1:8" x14ac:dyDescent="0.3">
      <c r="A48" s="278">
        <f ca="1">'0.ArdiData&amp;FixedData'!B40</f>
        <v>9483</v>
      </c>
      <c r="B48" s="262">
        <v>38</v>
      </c>
      <c r="C48" s="280">
        <v>64</v>
      </c>
      <c r="D48" s="282">
        <f t="shared" si="0"/>
        <v>58.847254737324732</v>
      </c>
      <c r="E48" s="286">
        <f t="shared" si="1"/>
        <v>5.1527452626752677</v>
      </c>
      <c r="F48" s="288">
        <f t="shared" si="2"/>
        <v>5.1527452626752677</v>
      </c>
      <c r="G48" s="290">
        <f>AVERAGE($F$11:F48)</f>
        <v>18.003189614155957</v>
      </c>
      <c r="H48" s="293">
        <f>SUM($E$11:E48)/G48</f>
        <v>7.2779384200217734E-2</v>
      </c>
    </row>
    <row r="49" spans="1:8" x14ac:dyDescent="0.3">
      <c r="A49" s="278">
        <f ca="1">'0.ArdiData&amp;FixedData'!B41</f>
        <v>4155</v>
      </c>
      <c r="B49" s="262">
        <v>39</v>
      </c>
      <c r="C49" s="280">
        <v>69</v>
      </c>
      <c r="D49" s="282">
        <f t="shared" si="0"/>
        <v>60.393078316127315</v>
      </c>
      <c r="E49" s="286">
        <f t="shared" si="1"/>
        <v>8.6069216838726845</v>
      </c>
      <c r="F49" s="288">
        <f t="shared" si="2"/>
        <v>8.6069216838726845</v>
      </c>
      <c r="G49" s="290">
        <f>AVERAGE($F$11:F49)</f>
        <v>17.762259667225614</v>
      </c>
      <c r="H49" s="293">
        <f>SUM($E$11:E49)/G49</f>
        <v>0.55832889077337367</v>
      </c>
    </row>
    <row r="50" spans="1:8" x14ac:dyDescent="0.3">
      <c r="A50" s="278">
        <f ca="1">'0.ArdiData&amp;FixedData'!B42</f>
        <v>8087</v>
      </c>
      <c r="B50" s="262">
        <v>40</v>
      </c>
      <c r="C50" s="280">
        <v>33</v>
      </c>
      <c r="D50" s="282">
        <f t="shared" si="0"/>
        <v>62.975154821289124</v>
      </c>
      <c r="E50" s="286">
        <f t="shared" si="1"/>
        <v>-29.975154821289124</v>
      </c>
      <c r="F50" s="288">
        <f t="shared" si="2"/>
        <v>29.975154821289124</v>
      </c>
      <c r="G50" s="290">
        <f>AVERAGE($F$11:F50)</f>
        <v>18.067582046077202</v>
      </c>
      <c r="H50" s="293">
        <f>SUM($E$11:E50)/G50</f>
        <v>-1.110163608639229</v>
      </c>
    </row>
    <row r="51" spans="1:8" x14ac:dyDescent="0.3">
      <c r="A51" s="278">
        <f ca="1">'0.ArdiData&amp;FixedData'!B43</f>
        <v>5790</v>
      </c>
      <c r="B51" s="262">
        <v>41</v>
      </c>
      <c r="C51" s="280">
        <v>41</v>
      </c>
      <c r="D51" s="282">
        <f t="shared" si="0"/>
        <v>53.982608374902384</v>
      </c>
      <c r="E51" s="286">
        <f t="shared" si="1"/>
        <v>-12.982608374902384</v>
      </c>
      <c r="F51" s="288">
        <f t="shared" si="2"/>
        <v>12.982608374902384</v>
      </c>
      <c r="G51" s="290">
        <f>AVERAGE($F$11:F51)</f>
        <v>17.943558297999768</v>
      </c>
      <c r="H51" s="293">
        <f>SUM($E$11:E51)/G51</f>
        <v>-1.8413616691759487</v>
      </c>
    </row>
    <row r="52" spans="1:8" x14ac:dyDescent="0.3">
      <c r="A52" s="278">
        <f ca="1">'0.ArdiData&amp;FixedData'!B44</f>
        <v>7778</v>
      </c>
      <c r="B52" s="262">
        <v>42</v>
      </c>
      <c r="C52" s="280">
        <v>56</v>
      </c>
      <c r="D52" s="282">
        <f t="shared" si="0"/>
        <v>50.087825862431664</v>
      </c>
      <c r="E52" s="286">
        <f t="shared" si="1"/>
        <v>5.9121741375683357</v>
      </c>
      <c r="F52" s="288">
        <f t="shared" si="2"/>
        <v>5.9121741375683357</v>
      </c>
      <c r="G52" s="290">
        <f>AVERAGE($F$11:F52)</f>
        <v>17.657096770370448</v>
      </c>
      <c r="H52" s="293">
        <f>SUM($E$11:E52)/G52</f>
        <v>-1.5364024263895624</v>
      </c>
    </row>
    <row r="53" spans="1:8" ht="15.75" customHeight="1" x14ac:dyDescent="0.3">
      <c r="A53" s="278">
        <f ca="1">'0.ArdiData&amp;FixedData'!B45</f>
        <v>5782</v>
      </c>
      <c r="B53" s="262">
        <v>43</v>
      </c>
      <c r="C53" s="280">
        <v>28</v>
      </c>
      <c r="D53" s="282">
        <f t="shared" si="0"/>
        <v>51.861478103702169</v>
      </c>
      <c r="E53" s="286">
        <f t="shared" si="1"/>
        <v>-23.861478103702169</v>
      </c>
      <c r="F53" s="288">
        <f t="shared" si="2"/>
        <v>23.861478103702169</v>
      </c>
      <c r="G53" s="290">
        <f>AVERAGE($F$11:F53)</f>
        <v>17.801384708354906</v>
      </c>
      <c r="H53" s="293">
        <f>SUM($E$11:E53)/G53</f>
        <v>-2.8643774211993196</v>
      </c>
    </row>
    <row r="54" spans="1:8" x14ac:dyDescent="0.3">
      <c r="A54" s="278">
        <f ca="1">'0.ArdiData&amp;FixedData'!B46</f>
        <v>9670</v>
      </c>
      <c r="B54" s="262">
        <v>44</v>
      </c>
      <c r="C54" s="280">
        <v>19</v>
      </c>
      <c r="D54" s="282">
        <f t="shared" si="0"/>
        <v>44.703034672591514</v>
      </c>
      <c r="E54" s="286">
        <f t="shared" si="1"/>
        <v>-25.703034672591514</v>
      </c>
      <c r="F54" s="288">
        <f t="shared" si="2"/>
        <v>25.703034672591514</v>
      </c>
      <c r="G54" s="290">
        <f>AVERAGE($F$11:F54)</f>
        <v>17.980967662087554</v>
      </c>
      <c r="H54" s="293">
        <f>SUM($E$11:E54)/G54</f>
        <v>-4.2652275749870432</v>
      </c>
    </row>
    <row r="55" spans="1:8" x14ac:dyDescent="0.3">
      <c r="A55" s="278">
        <f ca="1">'0.ArdiData&amp;FixedData'!B47</f>
        <v>10625</v>
      </c>
      <c r="B55" s="262">
        <v>45</v>
      </c>
      <c r="C55" s="280">
        <v>16</v>
      </c>
      <c r="D55" s="282">
        <f t="shared" si="0"/>
        <v>36.99212427081406</v>
      </c>
      <c r="E55" s="286">
        <f t="shared" si="1"/>
        <v>-20.99212427081406</v>
      </c>
      <c r="F55" s="288">
        <f t="shared" si="2"/>
        <v>20.99212427081406</v>
      </c>
      <c r="G55" s="290">
        <f>AVERAGE($F$11:F55)</f>
        <v>18.04788225339259</v>
      </c>
      <c r="H55" s="293">
        <f>SUM($E$11:E55)/G55</f>
        <v>-5.4125487963961882</v>
      </c>
    </row>
    <row r="56" spans="1:8" x14ac:dyDescent="0.3">
      <c r="A56" s="278">
        <f ca="1">'0.ArdiData&amp;FixedData'!B48</f>
        <v>6778</v>
      </c>
      <c r="B56" s="262">
        <v>46</v>
      </c>
      <c r="C56" s="280">
        <v>53</v>
      </c>
      <c r="D56" s="282">
        <f t="shared" si="0"/>
        <v>30.694486989569842</v>
      </c>
      <c r="E56" s="286">
        <f t="shared" si="1"/>
        <v>22.305513010430158</v>
      </c>
      <c r="F56" s="288">
        <f t="shared" si="2"/>
        <v>22.305513010430158</v>
      </c>
      <c r="G56" s="290">
        <f>AVERAGE($F$11:F56)</f>
        <v>18.140439443762972</v>
      </c>
      <c r="H56" s="293">
        <f>SUM($E$11:E56)/G56</f>
        <v>-4.1553309990837599</v>
      </c>
    </row>
    <row r="57" spans="1:8" x14ac:dyDescent="0.3">
      <c r="A57" s="278">
        <f ca="1">'0.ArdiData&amp;FixedData'!B49</f>
        <v>2013</v>
      </c>
      <c r="B57" s="262">
        <v>47</v>
      </c>
      <c r="C57" s="280">
        <v>63</v>
      </c>
      <c r="D57" s="282">
        <f t="shared" si="0"/>
        <v>37.38614089269889</v>
      </c>
      <c r="E57" s="286">
        <f t="shared" si="1"/>
        <v>25.61385910730111</v>
      </c>
      <c r="F57" s="288">
        <f t="shared" si="2"/>
        <v>25.61385910730111</v>
      </c>
      <c r="G57" s="290">
        <f>AVERAGE($F$11:F57)</f>
        <v>18.299448372774421</v>
      </c>
      <c r="H57" s="293">
        <f>SUM($E$11:E57)/G57</f>
        <v>-2.7195175634042261</v>
      </c>
    </row>
    <row r="58" spans="1:8" x14ac:dyDescent="0.3">
      <c r="A58" s="278">
        <f ca="1">'0.ArdiData&amp;FixedData'!B50</f>
        <v>6158</v>
      </c>
      <c r="B58" s="262">
        <v>48</v>
      </c>
      <c r="C58" s="280">
        <v>84</v>
      </c>
      <c r="D58" s="282">
        <f t="shared" si="0"/>
        <v>45.070298624889219</v>
      </c>
      <c r="E58" s="286">
        <f t="shared" si="1"/>
        <v>38.929701375110781</v>
      </c>
      <c r="F58" s="288">
        <f t="shared" si="2"/>
        <v>38.929701375110781</v>
      </c>
      <c r="G58" s="290">
        <f>AVERAGE($F$11:F58)</f>
        <v>18.729245310323094</v>
      </c>
      <c r="H58" s="293">
        <f>SUM($E$11:E58)/G58</f>
        <v>-0.57855880980349095</v>
      </c>
    </row>
    <row r="59" spans="1:8" x14ac:dyDescent="0.3">
      <c r="A59" s="278">
        <f ca="1">'0.ArdiData&amp;FixedData'!B51</f>
        <v>5840</v>
      </c>
      <c r="B59" s="262">
        <v>49</v>
      </c>
      <c r="C59" s="280">
        <v>83</v>
      </c>
      <c r="D59" s="282">
        <f t="shared" si="0"/>
        <v>56.749209037422446</v>
      </c>
      <c r="E59" s="286">
        <f t="shared" si="1"/>
        <v>26.250790962577554</v>
      </c>
      <c r="F59" s="288">
        <f t="shared" si="2"/>
        <v>26.250790962577554</v>
      </c>
      <c r="G59" s="290">
        <f>AVERAGE($F$11:F59)</f>
        <v>18.882746242001755</v>
      </c>
      <c r="H59" s="293">
        <f>SUM($E$11:E59)/G59</f>
        <v>0.81634423773759768</v>
      </c>
    </row>
    <row r="60" spans="1:8" ht="17.25" thickBot="1" x14ac:dyDescent="0.35">
      <c r="A60" s="279">
        <f ca="1">'0.ArdiData&amp;FixedData'!B52</f>
        <v>5455</v>
      </c>
      <c r="B60" s="262">
        <v>50</v>
      </c>
      <c r="C60" s="281">
        <v>78</v>
      </c>
      <c r="D60" s="283">
        <f t="shared" si="0"/>
        <v>64.624446326195709</v>
      </c>
      <c r="E60" s="287">
        <f t="shared" si="1"/>
        <v>13.375553673804291</v>
      </c>
      <c r="F60" s="289">
        <f t="shared" si="2"/>
        <v>13.375553673804291</v>
      </c>
      <c r="G60" s="279">
        <f>AVERAGE($F$11:F60)</f>
        <v>18.772602390637807</v>
      </c>
      <c r="H60" s="294">
        <f>SUM($E$11:E60)/G60</f>
        <v>1.5336379134883247</v>
      </c>
    </row>
    <row r="61" spans="1:8" ht="17.25" thickBot="1" x14ac:dyDescent="0.35">
      <c r="B61" s="262"/>
      <c r="C61" s="171" t="s">
        <v>165</v>
      </c>
      <c r="D61" s="284">
        <f t="shared" si="0"/>
        <v>68.637112428336991</v>
      </c>
    </row>
    <row r="62" spans="1:8" x14ac:dyDescent="0.3">
      <c r="C62" s="171" t="s">
        <v>50</v>
      </c>
      <c r="D62" s="263">
        <f>1.25*G60</f>
        <v>23.465752988297261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63"/>
  <sheetViews>
    <sheetView zoomScale="80" zoomScaleNormal="80" workbookViewId="0">
      <selection activeCell="L54" sqref="L54"/>
    </sheetView>
  </sheetViews>
  <sheetFormatPr defaultRowHeight="16.5" x14ac:dyDescent="0.3"/>
  <cols>
    <col min="1" max="1" width="9.140625" style="171"/>
    <col min="2" max="2" width="4.85546875" style="171" customWidth="1"/>
    <col min="3" max="3" width="9.7109375" style="171" bestFit="1" customWidth="1"/>
    <col min="4" max="4" width="15.7109375" style="171" customWidth="1"/>
    <col min="5" max="5" width="11.42578125" style="173" customWidth="1"/>
    <col min="6" max="6" width="10.7109375" style="173" customWidth="1"/>
    <col min="7" max="7" width="18.42578125" style="173" bestFit="1" customWidth="1"/>
    <col min="8" max="8" width="15.42578125" style="171" bestFit="1" customWidth="1"/>
    <col min="9" max="16384" width="9.140625" style="171"/>
  </cols>
  <sheetData>
    <row r="1" spans="1:24" x14ac:dyDescent="0.3">
      <c r="A1" s="265" t="s">
        <v>155</v>
      </c>
      <c r="B1" s="265"/>
      <c r="C1" s="265"/>
      <c r="D1" s="265"/>
      <c r="E1" s="265"/>
      <c r="F1" s="265"/>
      <c r="G1" s="265"/>
      <c r="H1" s="265"/>
      <c r="I1" s="265"/>
      <c r="J1" s="265"/>
      <c r="K1" s="171">
        <v>0</v>
      </c>
      <c r="L1" s="171">
        <v>4</v>
      </c>
      <c r="M1" s="171">
        <v>0</v>
      </c>
      <c r="N1" s="171">
        <v>-4</v>
      </c>
    </row>
    <row r="2" spans="1:24" x14ac:dyDescent="0.3">
      <c r="A2" s="265" t="s">
        <v>159</v>
      </c>
      <c r="B2" s="265"/>
      <c r="C2" s="265"/>
      <c r="D2" s="265"/>
      <c r="E2" s="265"/>
      <c r="F2" s="265"/>
      <c r="G2" s="265"/>
      <c r="H2" s="265"/>
      <c r="I2" s="265"/>
      <c r="J2" s="265"/>
      <c r="K2" s="171">
        <v>50</v>
      </c>
      <c r="L2" s="171">
        <v>4</v>
      </c>
      <c r="M2" s="171">
        <v>0</v>
      </c>
      <c r="N2" s="171">
        <v>-4</v>
      </c>
    </row>
    <row r="3" spans="1:24" ht="17.25" thickBot="1" x14ac:dyDescent="0.35">
      <c r="A3" s="265" t="s">
        <v>160</v>
      </c>
      <c r="B3" s="265"/>
      <c r="C3" s="265"/>
      <c r="D3" s="265"/>
      <c r="E3" s="171"/>
      <c r="F3"/>
      <c r="G3">
        <v>0.58071710164888257</v>
      </c>
      <c r="I3" s="265"/>
      <c r="J3" s="265"/>
      <c r="K3"/>
    </row>
    <row r="4" spans="1:24" ht="17.25" thickBot="1" x14ac:dyDescent="0.35">
      <c r="A4" s="265" t="s">
        <v>161</v>
      </c>
      <c r="B4"/>
      <c r="C4"/>
      <c r="D4"/>
      <c r="E4"/>
      <c r="F4"/>
      <c r="G4" s="171"/>
      <c r="H4" s="269">
        <f>G61</f>
        <v>18.537074057652251</v>
      </c>
      <c r="I4" s="265"/>
      <c r="N4"/>
      <c r="O4"/>
      <c r="P4"/>
      <c r="Q4"/>
      <c r="R4"/>
      <c r="S4"/>
      <c r="T4"/>
      <c r="U4"/>
      <c r="V4"/>
      <c r="W4" s="265"/>
      <c r="X4"/>
    </row>
    <row r="5" spans="1:24" ht="17.25" thickBot="1" x14ac:dyDescent="0.35">
      <c r="A5" s="266" t="s">
        <v>162</v>
      </c>
      <c r="B5" s="266"/>
      <c r="C5" s="266"/>
      <c r="D5" s="266"/>
      <c r="E5" s="88"/>
      <c r="F5" s="267"/>
      <c r="G5" s="266"/>
      <c r="H5" s="270">
        <f>D62</f>
        <v>77.994436327442259</v>
      </c>
      <c r="I5"/>
    </row>
    <row r="6" spans="1:24" ht="17.25" thickBot="1" x14ac:dyDescent="0.35">
      <c r="A6" s="266" t="s">
        <v>163</v>
      </c>
      <c r="B6"/>
      <c r="C6"/>
      <c r="D6"/>
      <c r="E6"/>
      <c r="F6"/>
      <c r="G6"/>
      <c r="H6"/>
      <c r="I6" s="269">
        <f>1.25*H4</f>
        <v>23.171342572065313</v>
      </c>
      <c r="J6"/>
    </row>
    <row r="7" spans="1:24" x14ac:dyDescent="0.3">
      <c r="A7" s="266" t="s">
        <v>152</v>
      </c>
      <c r="B7"/>
      <c r="C7" s="266" t="s">
        <v>153</v>
      </c>
      <c r="D7"/>
      <c r="E7" s="266" t="s">
        <v>154</v>
      </c>
      <c r="F7" s="171"/>
      <c r="G7"/>
      <c r="J7" s="265"/>
    </row>
    <row r="8" spans="1:24" x14ac:dyDescent="0.3">
      <c r="A8" s="266" t="s">
        <v>158</v>
      </c>
      <c r="B8"/>
      <c r="C8" t="s">
        <v>116</v>
      </c>
      <c r="D8"/>
      <c r="E8" t="s">
        <v>154</v>
      </c>
      <c r="F8"/>
      <c r="G8"/>
      <c r="H8"/>
      <c r="I8"/>
      <c r="J8"/>
    </row>
    <row r="9" spans="1:24" x14ac:dyDescent="0.3">
      <c r="E9" s="171"/>
      <c r="F9" s="171"/>
      <c r="G9" s="171"/>
      <c r="H9"/>
      <c r="I9" s="266"/>
      <c r="J9"/>
    </row>
    <row r="10" spans="1:24" ht="17.25" thickBot="1" x14ac:dyDescent="0.35"/>
    <row r="11" spans="1:24" ht="17.25" thickBot="1" x14ac:dyDescent="0.35">
      <c r="A11" s="171" t="s">
        <v>111</v>
      </c>
      <c r="B11" s="228" t="s">
        <v>69</v>
      </c>
      <c r="C11" s="257" t="s">
        <v>12</v>
      </c>
      <c r="D11" s="185" t="s">
        <v>146</v>
      </c>
      <c r="E11" s="258" t="s">
        <v>147</v>
      </c>
      <c r="F11" s="258" t="s">
        <v>23</v>
      </c>
      <c r="G11" s="258" t="s">
        <v>148</v>
      </c>
      <c r="H11" s="273" t="s">
        <v>149</v>
      </c>
    </row>
    <row r="12" spans="1:24" x14ac:dyDescent="0.3">
      <c r="A12" s="171">
        <f ca="1">'0.ArdiData&amp;FixedData'!B3</f>
        <v>15107</v>
      </c>
      <c r="B12" s="259">
        <v>1</v>
      </c>
      <c r="C12" s="260">
        <v>60</v>
      </c>
      <c r="D12" s="271">
        <f>C12</f>
        <v>60</v>
      </c>
      <c r="E12" s="261">
        <f>C12-D12</f>
        <v>0</v>
      </c>
      <c r="F12" s="272">
        <f>ABS(E12)</f>
        <v>0</v>
      </c>
      <c r="G12" s="264">
        <f>AVERAGE($F$12:F12)</f>
        <v>0</v>
      </c>
      <c r="H12" s="274" t="e">
        <f>SUM($E$12:E12)/G12</f>
        <v>#DIV/0!</v>
      </c>
    </row>
    <row r="13" spans="1:24" x14ac:dyDescent="0.3">
      <c r="A13" s="171">
        <f ca="1">'0.ArdiData&amp;FixedData'!B4</f>
        <v>10035</v>
      </c>
      <c r="B13" s="262">
        <v>2</v>
      </c>
      <c r="C13" s="260">
        <v>38</v>
      </c>
      <c r="D13" s="271">
        <f t="shared" ref="D13:D44" si="0">(1-$G$3)*D12+$G$3*C12</f>
        <v>60</v>
      </c>
      <c r="E13" s="261">
        <f>C13-D13</f>
        <v>-22</v>
      </c>
      <c r="F13" s="272">
        <f>ABS(E13)</f>
        <v>22</v>
      </c>
      <c r="G13" s="264">
        <f>AVERAGE($F$12:F13)</f>
        <v>11</v>
      </c>
      <c r="H13" s="275">
        <f>SUM($E$12:E13)/G13</f>
        <v>-2</v>
      </c>
    </row>
    <row r="14" spans="1:24" x14ac:dyDescent="0.3">
      <c r="A14" s="171">
        <f ca="1">'0.ArdiData&amp;FixedData'!B5</f>
        <v>8653</v>
      </c>
      <c r="B14" s="262">
        <v>3</v>
      </c>
      <c r="C14" s="260">
        <v>29</v>
      </c>
      <c r="D14" s="271">
        <f t="shared" si="0"/>
        <v>47.224223763724581</v>
      </c>
      <c r="E14" s="261">
        <f t="shared" ref="E14:E61" si="1">C14-D14</f>
        <v>-18.224223763724581</v>
      </c>
      <c r="F14" s="272">
        <f t="shared" ref="F14:F61" si="2">ABS(E14)</f>
        <v>18.224223763724581</v>
      </c>
      <c r="G14" s="264">
        <f>AVERAGE($F$12:F14)</f>
        <v>13.408074587908194</v>
      </c>
      <c r="H14" s="275">
        <f>SUM($E$12:E14)/G14</f>
        <v>-3</v>
      </c>
    </row>
    <row r="15" spans="1:24" x14ac:dyDescent="0.3">
      <c r="A15" s="171">
        <f ca="1">'0.ArdiData&amp;FixedData'!B6</f>
        <v>2388</v>
      </c>
      <c r="B15" s="262">
        <v>4</v>
      </c>
      <c r="C15" s="260">
        <v>21</v>
      </c>
      <c r="D15" s="271">
        <f t="shared" si="0"/>
        <v>36.641105359853753</v>
      </c>
      <c r="E15" s="261">
        <f t="shared" si="1"/>
        <v>-15.641105359853753</v>
      </c>
      <c r="F15" s="272">
        <f t="shared" si="2"/>
        <v>15.641105359853753</v>
      </c>
      <c r="G15" s="264">
        <f>AVERAGE($F$12:F15)</f>
        <v>13.966332280894584</v>
      </c>
      <c r="H15" s="275">
        <f>SUM($E$12:E15)/G15</f>
        <v>-4</v>
      </c>
      <c r="K15" s="171" t="s">
        <v>17</v>
      </c>
    </row>
    <row r="16" spans="1:24" x14ac:dyDescent="0.3">
      <c r="A16" s="171">
        <f ca="1">'0.ArdiData&amp;FixedData'!B7</f>
        <v>6918</v>
      </c>
      <c r="B16" s="262">
        <v>5</v>
      </c>
      <c r="C16" s="260">
        <v>26</v>
      </c>
      <c r="D16" s="271">
        <f t="shared" si="0"/>
        <v>27.558047988694682</v>
      </c>
      <c r="E16" s="261">
        <f t="shared" si="1"/>
        <v>-1.5580479886946819</v>
      </c>
      <c r="F16" s="272">
        <f t="shared" si="2"/>
        <v>1.5580479886946819</v>
      </c>
      <c r="G16" s="264">
        <f>AVERAGE($F$12:F16)</f>
        <v>11.484675422454604</v>
      </c>
      <c r="H16" s="275">
        <f>SUM($E$12:E16)/G16</f>
        <v>-5</v>
      </c>
      <c r="J16" s="171" t="s">
        <v>164</v>
      </c>
      <c r="K16" s="276">
        <f>H4</f>
        <v>18.537074057652251</v>
      </c>
    </row>
    <row r="17" spans="1:12" x14ac:dyDescent="0.3">
      <c r="A17" s="171">
        <f ca="1">'0.ArdiData&amp;FixedData'!B8</f>
        <v>10512</v>
      </c>
      <c r="B17" s="262">
        <v>6</v>
      </c>
      <c r="C17" s="260">
        <v>43</v>
      </c>
      <c r="D17" s="271">
        <f t="shared" si="0"/>
        <v>26.653262876470038</v>
      </c>
      <c r="E17" s="261">
        <f t="shared" si="1"/>
        <v>16.346737123529962</v>
      </c>
      <c r="F17" s="272">
        <f t="shared" si="2"/>
        <v>16.346737123529962</v>
      </c>
      <c r="G17" s="264">
        <f>AVERAGE($F$12:F17)</f>
        <v>12.295019039300497</v>
      </c>
      <c r="H17" s="275">
        <f>SUM($E$12:E17)/G17</f>
        <v>-3.3409171516890988</v>
      </c>
      <c r="J17" s="171">
        <v>0.1</v>
      </c>
      <c r="K17" s="171">
        <f t="dataTable" ref="K17:K26" dt2D="0" dtr="0" r1="G3"/>
        <v>18.861703655418633</v>
      </c>
    </row>
    <row r="18" spans="1:12" x14ac:dyDescent="0.3">
      <c r="A18" s="171">
        <f ca="1">'0.ArdiData&amp;FixedData'!B9</f>
        <v>2856</v>
      </c>
      <c r="B18" s="262">
        <v>7</v>
      </c>
      <c r="C18" s="260">
        <v>39</v>
      </c>
      <c r="D18" s="271">
        <f t="shared" si="0"/>
        <v>36.146092680262548</v>
      </c>
      <c r="E18" s="261">
        <f t="shared" si="1"/>
        <v>2.853907319737452</v>
      </c>
      <c r="F18" s="272">
        <f t="shared" si="2"/>
        <v>2.853907319737452</v>
      </c>
      <c r="G18" s="264">
        <f>AVERAGE($F$12:F18)</f>
        <v>10.946288793648632</v>
      </c>
      <c r="H18" s="275">
        <f>SUM($E$12:E18)/G18</f>
        <v>-3.4918439837969184</v>
      </c>
      <c r="J18" s="171">
        <v>0.2</v>
      </c>
      <c r="K18" s="171">
        <v>18.766871442934381</v>
      </c>
    </row>
    <row r="19" spans="1:12" x14ac:dyDescent="0.3">
      <c r="A19" s="171">
        <f ca="1">'0.ArdiData&amp;FixedData'!B10</f>
        <v>7500</v>
      </c>
      <c r="B19" s="262">
        <v>8</v>
      </c>
      <c r="C19" s="260">
        <v>38</v>
      </c>
      <c r="D19" s="271">
        <f t="shared" si="0"/>
        <v>37.803405467355013</v>
      </c>
      <c r="E19" s="261">
        <f t="shared" si="1"/>
        <v>0.19659453264498694</v>
      </c>
      <c r="F19" s="272">
        <f t="shared" si="2"/>
        <v>0.19659453264498694</v>
      </c>
      <c r="G19" s="264">
        <f>AVERAGE($F$12:F19)</f>
        <v>9.6025770110231754</v>
      </c>
      <c r="H19" s="275">
        <f>SUM($E$12:E19)/G19</f>
        <v>-3.9599930406919848</v>
      </c>
      <c r="J19" s="171">
        <v>0.3</v>
      </c>
      <c r="K19" s="171">
        <v>18.772602390637807</v>
      </c>
    </row>
    <row r="20" spans="1:12" x14ac:dyDescent="0.3">
      <c r="A20" s="171">
        <f ca="1">'0.ArdiData&amp;FixedData'!B11</f>
        <v>13430</v>
      </c>
      <c r="B20" s="262">
        <v>9</v>
      </c>
      <c r="C20" s="260">
        <v>45</v>
      </c>
      <c r="D20" s="271">
        <f t="shared" si="0"/>
        <v>37.917571274552628</v>
      </c>
      <c r="E20" s="261">
        <f t="shared" si="1"/>
        <v>7.0824287254473717</v>
      </c>
      <c r="F20" s="272">
        <f t="shared" si="2"/>
        <v>7.0824287254473717</v>
      </c>
      <c r="G20" s="264">
        <f>AVERAGE($F$12:F20)</f>
        <v>9.3225605348480869</v>
      </c>
      <c r="H20" s="275">
        <f>SUM($E$12:E20)/G20</f>
        <v>-3.3192285848125604</v>
      </c>
      <c r="J20" s="171">
        <v>0.4</v>
      </c>
      <c r="K20" s="171">
        <v>18.819851167347043</v>
      </c>
    </row>
    <row r="21" spans="1:12" x14ac:dyDescent="0.3">
      <c r="A21" s="171">
        <f ca="1">'0.ArdiData&amp;FixedData'!B12</f>
        <v>3141</v>
      </c>
      <c r="B21" s="262">
        <v>10</v>
      </c>
      <c r="C21" s="260">
        <v>73</v>
      </c>
      <c r="D21" s="271">
        <f t="shared" si="0"/>
        <v>42.030458756629216</v>
      </c>
      <c r="E21" s="261">
        <f t="shared" si="1"/>
        <v>30.969541243370784</v>
      </c>
      <c r="F21" s="272">
        <f t="shared" si="2"/>
        <v>30.969541243370784</v>
      </c>
      <c r="G21" s="264">
        <f>AVERAGE($F$12:F21)</f>
        <v>11.487258605700356</v>
      </c>
      <c r="H21" s="275">
        <f>SUM($E$12:E21)/G21</f>
        <v>2.2487377836799701E-3</v>
      </c>
      <c r="J21" s="171">
        <v>0.5</v>
      </c>
      <c r="K21" s="171">
        <v>18.647428051464125</v>
      </c>
    </row>
    <row r="22" spans="1:12" x14ac:dyDescent="0.3">
      <c r="A22" s="171">
        <f ca="1">'0.ArdiData&amp;FixedData'!B13</f>
        <v>8956</v>
      </c>
      <c r="B22" s="262">
        <v>11</v>
      </c>
      <c r="C22" s="260">
        <v>26</v>
      </c>
      <c r="D22" s="271">
        <f t="shared" si="0"/>
        <v>60.01500098687503</v>
      </c>
      <c r="E22" s="261">
        <f t="shared" si="1"/>
        <v>-34.01500098687503</v>
      </c>
      <c r="F22" s="272">
        <f t="shared" si="2"/>
        <v>34.01500098687503</v>
      </c>
      <c r="G22" s="264">
        <f>AVERAGE($F$12:F22)</f>
        <v>13.535235185807146</v>
      </c>
      <c r="H22" s="275">
        <f>SUM($E$12:E22)/G22</f>
        <v>-2.5111620661056593</v>
      </c>
      <c r="J22" s="171">
        <v>0.6</v>
      </c>
      <c r="K22" s="171">
        <v>18.565016628844077</v>
      </c>
    </row>
    <row r="23" spans="1:12" x14ac:dyDescent="0.3">
      <c r="A23" s="171">
        <f ca="1">'0.ArdiData&amp;FixedData'!B14</f>
        <v>9327</v>
      </c>
      <c r="B23" s="262">
        <v>12</v>
      </c>
      <c r="C23" s="260">
        <v>96</v>
      </c>
      <c r="D23" s="271">
        <f t="shared" si="0"/>
        <v>40.26190820119308</v>
      </c>
      <c r="E23" s="261">
        <f t="shared" si="1"/>
        <v>55.73809179880692</v>
      </c>
      <c r="F23" s="272">
        <f t="shared" si="2"/>
        <v>55.73809179880692</v>
      </c>
      <c r="G23" s="264">
        <f>AVERAGE($F$12:F23)</f>
        <v>17.052139903557126</v>
      </c>
      <c r="H23" s="275">
        <f>SUM($E$12:E23)/G23</f>
        <v>1.2754365591295989</v>
      </c>
      <c r="J23" s="171">
        <v>0.7</v>
      </c>
      <c r="K23" s="171">
        <v>18.7634067734298</v>
      </c>
    </row>
    <row r="24" spans="1:12" x14ac:dyDescent="0.3">
      <c r="A24" s="171">
        <f ca="1">'0.ArdiData&amp;FixedData'!B15</f>
        <v>2551</v>
      </c>
      <c r="B24" s="262">
        <v>13</v>
      </c>
      <c r="C24" s="260">
        <v>50</v>
      </c>
      <c r="D24" s="271">
        <f t="shared" si="0"/>
        <v>72.629971322035587</v>
      </c>
      <c r="E24" s="261">
        <f t="shared" si="1"/>
        <v>-22.629971322035587</v>
      </c>
      <c r="F24" s="272">
        <f t="shared" si="2"/>
        <v>22.629971322035587</v>
      </c>
      <c r="G24" s="264">
        <f>AVERAGE($F$12:F24)</f>
        <v>17.481203858824699</v>
      </c>
      <c r="H24" s="275">
        <f>SUM($E$12:E24)/G24</f>
        <v>-5.0399771363652E-2</v>
      </c>
      <c r="J24" s="171">
        <v>0.8</v>
      </c>
      <c r="K24" s="171">
        <v>19.121968615470585</v>
      </c>
    </row>
    <row r="25" spans="1:12" x14ac:dyDescent="0.3">
      <c r="A25" s="171">
        <f ca="1">'0.ArdiData&amp;FixedData'!B16</f>
        <v>4633</v>
      </c>
      <c r="B25" s="262">
        <v>14</v>
      </c>
      <c r="C25" s="260">
        <v>57</v>
      </c>
      <c r="D25" s="271">
        <f t="shared" si="0"/>
        <v>59.488359965505751</v>
      </c>
      <c r="E25" s="261">
        <f t="shared" si="1"/>
        <v>-2.4883599655057509</v>
      </c>
      <c r="F25" s="272">
        <f t="shared" si="2"/>
        <v>2.4883599655057509</v>
      </c>
      <c r="G25" s="264">
        <f>AVERAGE($F$12:F25)</f>
        <v>16.410286437873346</v>
      </c>
      <c r="H25" s="275">
        <f>SUM($E$12:E25)/G25</f>
        <v>-0.20532296349048723</v>
      </c>
      <c r="J25" s="171">
        <v>0.9</v>
      </c>
      <c r="K25" s="171">
        <v>19.826101861448908</v>
      </c>
    </row>
    <row r="26" spans="1:12" x14ac:dyDescent="0.3">
      <c r="A26" s="171">
        <f ca="1">'0.ArdiData&amp;FixedData'!B17</f>
        <v>4122</v>
      </c>
      <c r="B26" s="262">
        <v>15</v>
      </c>
      <c r="C26" s="260">
        <v>72</v>
      </c>
      <c r="D26" s="271">
        <f t="shared" si="0"/>
        <v>58.043326778478139</v>
      </c>
      <c r="E26" s="261">
        <f t="shared" si="1"/>
        <v>13.956673221521861</v>
      </c>
      <c r="F26" s="272">
        <f t="shared" si="2"/>
        <v>13.956673221521861</v>
      </c>
      <c r="G26" s="264">
        <f>AVERAGE($F$12:F26)</f>
        <v>16.246712223449915</v>
      </c>
      <c r="H26" s="275">
        <f>SUM($E$12:E26)/G26</f>
        <v>0.65165582012886769</v>
      </c>
      <c r="J26" s="171">
        <v>1</v>
      </c>
      <c r="K26" s="171">
        <v>20.6</v>
      </c>
    </row>
    <row r="27" spans="1:12" x14ac:dyDescent="0.3">
      <c r="A27" s="171">
        <f ca="1">'0.ArdiData&amp;FixedData'!B18</f>
        <v>8600</v>
      </c>
      <c r="B27" s="262">
        <v>16</v>
      </c>
      <c r="C27" s="260">
        <v>56</v>
      </c>
      <c r="D27" s="271">
        <f t="shared" si="0"/>
        <v>66.148205600340887</v>
      </c>
      <c r="E27" s="261">
        <f t="shared" si="1"/>
        <v>-10.148205600340887</v>
      </c>
      <c r="F27" s="272">
        <f t="shared" si="2"/>
        <v>10.148205600340887</v>
      </c>
      <c r="G27" s="264">
        <f>AVERAGE($F$12:F27)</f>
        <v>15.865555559505601</v>
      </c>
      <c r="H27" s="275">
        <f>SUM($E$12:E27)/G27</f>
        <v>2.7673722258405972E-2</v>
      </c>
      <c r="L27" s="171">
        <f>MIN(K17:K26)</f>
        <v>18.565016628844077</v>
      </c>
    </row>
    <row r="28" spans="1:12" x14ac:dyDescent="0.3">
      <c r="A28" s="171">
        <f ca="1">'0.ArdiData&amp;FixedData'!B19</f>
        <v>4875</v>
      </c>
      <c r="B28" s="262">
        <v>17</v>
      </c>
      <c r="C28" s="260">
        <v>27</v>
      </c>
      <c r="D28" s="271">
        <f t="shared" si="0"/>
        <v>60.254969057173966</v>
      </c>
      <c r="E28" s="261">
        <f t="shared" si="1"/>
        <v>-33.254969057173966</v>
      </c>
      <c r="F28" s="272">
        <f t="shared" si="2"/>
        <v>33.254969057173966</v>
      </c>
      <c r="G28" s="264">
        <f>AVERAGE($F$12:F28)</f>
        <v>16.888462235839036</v>
      </c>
      <c r="H28" s="275">
        <f>SUM($E$12:E28)/G28</f>
        <v>-1.9430963945021706</v>
      </c>
    </row>
    <row r="29" spans="1:12" x14ac:dyDescent="0.3">
      <c r="A29" s="171">
        <f ca="1">'0.ArdiData&amp;FixedData'!B20</f>
        <v>9645</v>
      </c>
      <c r="B29" s="262">
        <v>18</v>
      </c>
      <c r="C29" s="260">
        <v>33</v>
      </c>
      <c r="D29" s="271">
        <f t="shared" si="0"/>
        <v>40.943239810868626</v>
      </c>
      <c r="E29" s="261">
        <f t="shared" si="1"/>
        <v>-7.9432398108686257</v>
      </c>
      <c r="F29" s="272">
        <f t="shared" si="2"/>
        <v>7.9432398108686257</v>
      </c>
      <c r="G29" s="264">
        <f>AVERAGE($F$12:F29)</f>
        <v>16.391505434451791</v>
      </c>
      <c r="H29" s="275">
        <f>SUM($E$12:E29)/G29</f>
        <v>-2.4866019813131768</v>
      </c>
    </row>
    <row r="30" spans="1:12" x14ac:dyDescent="0.3">
      <c r="A30" s="171">
        <f ca="1">'0.ArdiData&amp;FixedData'!B21</f>
        <v>3856</v>
      </c>
      <c r="B30" s="262">
        <v>19</v>
      </c>
      <c r="C30" s="260">
        <v>73</v>
      </c>
      <c r="D30" s="271">
        <f t="shared" si="0"/>
        <v>36.33046461019898</v>
      </c>
      <c r="E30" s="261">
        <f t="shared" si="1"/>
        <v>36.66953538980102</v>
      </c>
      <c r="F30" s="272">
        <f t="shared" si="2"/>
        <v>36.66953538980102</v>
      </c>
      <c r="G30" s="264">
        <f>AVERAGE($F$12:F30)</f>
        <v>17.458770168943857</v>
      </c>
      <c r="H30" s="275">
        <f>SUM($E$12:E30)/G30</f>
        <v>-0.23424413407349989</v>
      </c>
    </row>
    <row r="31" spans="1:12" x14ac:dyDescent="0.3">
      <c r="A31" s="171">
        <f ca="1">'0.ArdiData&amp;FixedData'!B22</f>
        <v>2695</v>
      </c>
      <c r="B31" s="262">
        <v>20</v>
      </c>
      <c r="C31" s="260">
        <v>55</v>
      </c>
      <c r="D31" s="271">
        <f t="shared" si="0"/>
        <v>57.62509092057536</v>
      </c>
      <c r="E31" s="261">
        <f t="shared" si="1"/>
        <v>-2.6250909205753601</v>
      </c>
      <c r="F31" s="272">
        <f t="shared" si="2"/>
        <v>2.6250909205753601</v>
      </c>
      <c r="G31" s="264">
        <f>AVERAGE($F$12:F31)</f>
        <v>16.71708620652543</v>
      </c>
      <c r="H31" s="275">
        <f>SUM($E$12:E31)/G31</f>
        <v>-0.40166721268487654</v>
      </c>
    </row>
    <row r="32" spans="1:12" x14ac:dyDescent="0.3">
      <c r="A32" s="171">
        <f ca="1">'0.ArdiData&amp;FixedData'!B23</f>
        <v>7310</v>
      </c>
      <c r="B32" s="262">
        <v>21</v>
      </c>
      <c r="C32" s="260">
        <v>31</v>
      </c>
      <c r="D32" s="271">
        <f t="shared" si="0"/>
        <v>56.10065572961404</v>
      </c>
      <c r="E32" s="261">
        <f t="shared" si="1"/>
        <v>-25.10065572961404</v>
      </c>
      <c r="F32" s="272">
        <f t="shared" si="2"/>
        <v>25.10065572961404</v>
      </c>
      <c r="G32" s="264">
        <f>AVERAGE($F$12:F32)</f>
        <v>17.116303802862983</v>
      </c>
      <c r="H32" s="275">
        <f>SUM($E$12:E32)/G32</f>
        <v>-1.8587752073599129</v>
      </c>
    </row>
    <row r="33" spans="1:8" x14ac:dyDescent="0.3">
      <c r="A33" s="171">
        <f ca="1">'0.ArdiData&amp;FixedData'!B24</f>
        <v>6859</v>
      </c>
      <c r="B33" s="262">
        <v>22</v>
      </c>
      <c r="C33" s="260">
        <v>60</v>
      </c>
      <c r="D33" s="271">
        <f t="shared" si="0"/>
        <v>41.524275684826158</v>
      </c>
      <c r="E33" s="261">
        <f t="shared" si="1"/>
        <v>18.475724315173842</v>
      </c>
      <c r="F33" s="272">
        <f t="shared" si="2"/>
        <v>18.475724315173842</v>
      </c>
      <c r="G33" s="264">
        <f>AVERAGE($F$12:F33)</f>
        <v>17.178095644331663</v>
      </c>
      <c r="H33" s="275">
        <f>SUM($E$12:E33)/G33</f>
        <v>-0.77654922358228962</v>
      </c>
    </row>
    <row r="34" spans="1:8" x14ac:dyDescent="0.3">
      <c r="A34" s="171">
        <f ca="1">'0.ArdiData&amp;FixedData'!B25</f>
        <v>11837</v>
      </c>
      <c r="B34" s="262">
        <v>23</v>
      </c>
      <c r="C34" s="260">
        <v>26</v>
      </c>
      <c r="D34" s="271">
        <f t="shared" si="0"/>
        <v>52.253444759997691</v>
      </c>
      <c r="E34" s="261">
        <f t="shared" si="1"/>
        <v>-26.253444759997691</v>
      </c>
      <c r="F34" s="272">
        <f t="shared" si="2"/>
        <v>26.253444759997691</v>
      </c>
      <c r="G34" s="264">
        <f>AVERAGE($F$12:F34)</f>
        <v>17.572676040664966</v>
      </c>
      <c r="H34" s="275">
        <f>SUM($E$12:E34)/G34</f>
        <v>-2.2531048488917294</v>
      </c>
    </row>
    <row r="35" spans="1:8" x14ac:dyDescent="0.3">
      <c r="A35" s="171">
        <f ca="1">'0.ArdiData&amp;FixedData'!B26</f>
        <v>12513</v>
      </c>
      <c r="B35" s="262">
        <v>24</v>
      </c>
      <c r="C35" s="260">
        <v>25</v>
      </c>
      <c r="D35" s="271">
        <f t="shared" si="0"/>
        <v>37.007620410672786</v>
      </c>
      <c r="E35" s="261">
        <f t="shared" si="1"/>
        <v>-12.007620410672786</v>
      </c>
      <c r="F35" s="272">
        <f t="shared" si="2"/>
        <v>12.007620410672786</v>
      </c>
      <c r="G35" s="264">
        <f>AVERAGE($F$12:F35)</f>
        <v>17.340798722748627</v>
      </c>
      <c r="H35" s="275">
        <f>SUM($E$12:E35)/G35</f>
        <v>-2.9756819643034009</v>
      </c>
    </row>
    <row r="36" spans="1:8" x14ac:dyDescent="0.3">
      <c r="A36" s="171">
        <f ca="1">'0.ArdiData&amp;FixedData'!B27</f>
        <v>7352</v>
      </c>
      <c r="B36" s="262">
        <v>25</v>
      </c>
      <c r="C36" s="260">
        <v>65</v>
      </c>
      <c r="D36" s="271">
        <f t="shared" si="0"/>
        <v>30.03458988808692</v>
      </c>
      <c r="E36" s="261">
        <f t="shared" si="1"/>
        <v>34.96541011191308</v>
      </c>
      <c r="F36" s="272">
        <f t="shared" si="2"/>
        <v>34.96541011191308</v>
      </c>
      <c r="G36" s="264">
        <f>AVERAGE($F$12:F36)</f>
        <v>18.045783178315205</v>
      </c>
      <c r="H36" s="275">
        <f>SUM($E$12:E36)/G36</f>
        <v>-0.92183817846018079</v>
      </c>
    </row>
    <row r="37" spans="1:8" x14ac:dyDescent="0.3">
      <c r="A37" s="171">
        <f ca="1">'0.ArdiData&amp;FixedData'!B28</f>
        <v>12595</v>
      </c>
      <c r="B37" s="262">
        <v>26</v>
      </c>
      <c r="C37" s="260">
        <v>68</v>
      </c>
      <c r="D37" s="271">
        <f t="shared" si="0"/>
        <v>50.339601506241614</v>
      </c>
      <c r="E37" s="261">
        <f t="shared" si="1"/>
        <v>17.660398493758386</v>
      </c>
      <c r="F37" s="272">
        <f t="shared" si="2"/>
        <v>17.660398493758386</v>
      </c>
      <c r="G37" s="264">
        <f>AVERAGE($F$12:F37)</f>
        <v>18.030960690447635</v>
      </c>
      <c r="H37" s="275">
        <f>SUM($E$12:E37)/G37</f>
        <v>5.6852578039061567E-2</v>
      </c>
    </row>
    <row r="38" spans="1:8" x14ac:dyDescent="0.3">
      <c r="A38" s="171">
        <f ca="1">'0.ArdiData&amp;FixedData'!B29</f>
        <v>10868</v>
      </c>
      <c r="B38" s="262">
        <v>27</v>
      </c>
      <c r="C38" s="260">
        <v>100</v>
      </c>
      <c r="D38" s="271">
        <f t="shared" si="0"/>
        <v>60.595296933501274</v>
      </c>
      <c r="E38" s="261">
        <f t="shared" si="1"/>
        <v>39.404703066498726</v>
      </c>
      <c r="F38" s="272">
        <f t="shared" si="2"/>
        <v>39.404703066498726</v>
      </c>
      <c r="G38" s="264">
        <f>AVERAGE($F$12:F38)</f>
        <v>18.822580778449524</v>
      </c>
      <c r="H38" s="275">
        <f>SUM($E$12:E38)/G38</f>
        <v>2.1479418865111644</v>
      </c>
    </row>
    <row r="39" spans="1:8" x14ac:dyDescent="0.3">
      <c r="A39" s="171">
        <f ca="1">'0.ArdiData&amp;FixedData'!B30</f>
        <v>13152</v>
      </c>
      <c r="B39" s="262">
        <v>28</v>
      </c>
      <c r="C39" s="260">
        <v>66</v>
      </c>
      <c r="D39" s="271">
        <f t="shared" si="0"/>
        <v>83.478281889613243</v>
      </c>
      <c r="E39" s="261">
        <f t="shared" si="1"/>
        <v>-17.478281889613243</v>
      </c>
      <c r="F39" s="272">
        <f t="shared" si="2"/>
        <v>17.478281889613243</v>
      </c>
      <c r="G39" s="264">
        <f>AVERAGE($F$12:F39)</f>
        <v>18.77457010384823</v>
      </c>
      <c r="H39" s="275">
        <f>SUM($E$12:E39)/G39</f>
        <v>1.2224795374650963</v>
      </c>
    </row>
    <row r="40" spans="1:8" x14ac:dyDescent="0.3">
      <c r="A40" s="171">
        <f ca="1">'0.ArdiData&amp;FixedData'!B31</f>
        <v>7909</v>
      </c>
      <c r="B40" s="262">
        <v>29</v>
      </c>
      <c r="C40" s="260">
        <v>50</v>
      </c>
      <c r="D40" s="271">
        <f t="shared" si="0"/>
        <v>73.328344688874893</v>
      </c>
      <c r="E40" s="261">
        <f t="shared" si="1"/>
        <v>-23.328344688874893</v>
      </c>
      <c r="F40" s="272">
        <f t="shared" si="2"/>
        <v>23.328344688874893</v>
      </c>
      <c r="G40" s="264">
        <f>AVERAGE($F$12:F40)</f>
        <v>18.931596813676741</v>
      </c>
      <c r="H40" s="275">
        <f>SUM($E$12:E40)/G40</f>
        <v>-1.9904127260108345E-2</v>
      </c>
    </row>
    <row r="41" spans="1:8" x14ac:dyDescent="0.3">
      <c r="A41" s="171">
        <f ca="1">'0.ArdiData&amp;FixedData'!B32</f>
        <v>9155</v>
      </c>
      <c r="B41" s="262">
        <v>30</v>
      </c>
      <c r="C41" s="260">
        <v>57</v>
      </c>
      <c r="D41" s="271">
        <f t="shared" si="0"/>
        <v>59.781175974885358</v>
      </c>
      <c r="E41" s="261">
        <f t="shared" si="1"/>
        <v>-2.7811759748853575</v>
      </c>
      <c r="F41" s="272">
        <f t="shared" si="2"/>
        <v>2.7811759748853575</v>
      </c>
      <c r="G41" s="264">
        <f>AVERAGE($F$12:F41)</f>
        <v>18.393249452383696</v>
      </c>
      <c r="H41" s="275">
        <f>SUM($E$12:E41)/G41</f>
        <v>-0.17169303853988546</v>
      </c>
    </row>
    <row r="42" spans="1:8" x14ac:dyDescent="0.3">
      <c r="A42" s="171">
        <f ca="1">'0.ArdiData&amp;FixedData'!B33</f>
        <v>3755</v>
      </c>
      <c r="B42" s="262">
        <v>31</v>
      </c>
      <c r="C42" s="260">
        <v>86</v>
      </c>
      <c r="D42" s="271">
        <f t="shared" si="0"/>
        <v>58.166099523574431</v>
      </c>
      <c r="E42" s="261">
        <f t="shared" si="1"/>
        <v>27.833900476425569</v>
      </c>
      <c r="F42" s="272">
        <f t="shared" si="2"/>
        <v>27.833900476425569</v>
      </c>
      <c r="G42" s="264">
        <f>AVERAGE($F$12:F42)</f>
        <v>18.697786582191497</v>
      </c>
      <c r="H42" s="275">
        <f>SUM($E$12:E42)/G42</f>
        <v>1.3197234592904181</v>
      </c>
    </row>
    <row r="43" spans="1:8" x14ac:dyDescent="0.3">
      <c r="A43" s="171">
        <f ca="1">'0.ArdiData&amp;FixedData'!B34</f>
        <v>6310</v>
      </c>
      <c r="B43" s="262">
        <v>32</v>
      </c>
      <c r="C43" s="260">
        <v>54</v>
      </c>
      <c r="D43" s="271">
        <f t="shared" si="0"/>
        <v>74.329721535827744</v>
      </c>
      <c r="E43" s="261">
        <f t="shared" si="1"/>
        <v>-20.329721535827744</v>
      </c>
      <c r="F43" s="272">
        <f t="shared" si="2"/>
        <v>20.329721535827744</v>
      </c>
      <c r="G43" s="264">
        <f>AVERAGE($F$12:F43)</f>
        <v>18.74878454949263</v>
      </c>
      <c r="H43" s="275">
        <f>SUM($E$12:E43)/G43</f>
        <v>0.23181161648228543</v>
      </c>
    </row>
    <row r="44" spans="1:8" x14ac:dyDescent="0.3">
      <c r="A44" s="171">
        <f ca="1">'0.ArdiData&amp;FixedData'!B35</f>
        <v>7047</v>
      </c>
      <c r="B44" s="262">
        <v>33</v>
      </c>
      <c r="C44" s="260">
        <v>77</v>
      </c>
      <c r="D44" s="271">
        <f t="shared" si="0"/>
        <v>62.523904568212984</v>
      </c>
      <c r="E44" s="261">
        <f t="shared" si="1"/>
        <v>14.476095431787016</v>
      </c>
      <c r="F44" s="272">
        <f t="shared" si="2"/>
        <v>14.476095431787016</v>
      </c>
      <c r="G44" s="264">
        <f>AVERAGE($F$12:F44)</f>
        <v>18.619309121683369</v>
      </c>
      <c r="H44" s="275">
        <f>SUM($E$12:E44)/G44</f>
        <v>1.0109011758853748</v>
      </c>
    </row>
    <row r="45" spans="1:8" x14ac:dyDescent="0.3">
      <c r="A45" s="171">
        <f ca="1">'0.ArdiData&amp;FixedData'!B36</f>
        <v>3953</v>
      </c>
      <c r="B45" s="262">
        <v>34</v>
      </c>
      <c r="C45" s="260">
        <v>28</v>
      </c>
      <c r="D45" s="271">
        <f t="shared" ref="D45:D62" si="3">(1-$G$3)*D44+$G$3*C44</f>
        <v>70.930420750552969</v>
      </c>
      <c r="E45" s="261">
        <f t="shared" si="1"/>
        <v>-42.930420750552969</v>
      </c>
      <c r="F45" s="272">
        <f t="shared" si="2"/>
        <v>42.930420750552969</v>
      </c>
      <c r="G45" s="264">
        <f>AVERAGE($F$12:F45)</f>
        <v>19.33434181665012</v>
      </c>
      <c r="H45" s="275">
        <f>SUM($E$12:E45)/G45</f>
        <v>-1.2469076782592519</v>
      </c>
    </row>
    <row r="46" spans="1:8" x14ac:dyDescent="0.3">
      <c r="A46" s="171">
        <f ca="1">'0.ArdiData&amp;FixedData'!B37</f>
        <v>4167</v>
      </c>
      <c r="B46" s="262">
        <v>35</v>
      </c>
      <c r="C46" s="260">
        <v>46</v>
      </c>
      <c r="D46" s="271">
        <f t="shared" si="3"/>
        <v>45.9999912397248</v>
      </c>
      <c r="E46" s="261">
        <f t="shared" si="1"/>
        <v>8.7602752003590467E-6</v>
      </c>
      <c r="F46" s="272">
        <f t="shared" si="2"/>
        <v>8.7602752003590467E-6</v>
      </c>
      <c r="G46" s="264">
        <f>AVERAGE($F$12:F46)</f>
        <v>18.781932300753695</v>
      </c>
      <c r="H46" s="275">
        <f>SUM($E$12:E46)/G46</f>
        <v>-1.2835809499764483</v>
      </c>
    </row>
    <row r="47" spans="1:8" x14ac:dyDescent="0.3">
      <c r="A47" s="171">
        <f ca="1">'0.ArdiData&amp;FixedData'!B38</f>
        <v>7907</v>
      </c>
      <c r="B47" s="262">
        <v>36</v>
      </c>
      <c r="C47" s="260">
        <v>34</v>
      </c>
      <c r="D47" s="271">
        <f t="shared" si="3"/>
        <v>45.999996326966425</v>
      </c>
      <c r="E47" s="261">
        <f t="shared" si="1"/>
        <v>-11.999996326966425</v>
      </c>
      <c r="F47" s="272">
        <f t="shared" si="2"/>
        <v>11.999996326966425</v>
      </c>
      <c r="G47" s="264">
        <f>AVERAGE($F$12:F47)</f>
        <v>18.593545190370715</v>
      </c>
      <c r="H47" s="275">
        <f>SUM($E$12:E47)/G47</f>
        <v>-1.9419710691138656</v>
      </c>
    </row>
    <row r="48" spans="1:8" x14ac:dyDescent="0.3">
      <c r="A48" s="171">
        <f ca="1">'0.ArdiData&amp;FixedData'!B39</f>
        <v>4090</v>
      </c>
      <c r="B48" s="262">
        <v>37</v>
      </c>
      <c r="C48" s="260">
        <v>86</v>
      </c>
      <c r="D48" s="271">
        <f t="shared" si="3"/>
        <v>39.031393240173244</v>
      </c>
      <c r="E48" s="261">
        <f t="shared" si="1"/>
        <v>46.968606759826756</v>
      </c>
      <c r="F48" s="272">
        <f t="shared" si="2"/>
        <v>46.968606759826756</v>
      </c>
      <c r="G48" s="264">
        <f>AVERAGE($F$12:F48)</f>
        <v>19.360438746301963</v>
      </c>
      <c r="H48" s="275">
        <f>SUM($E$12:E48)/G48</f>
        <v>0.56096249006443732</v>
      </c>
    </row>
    <row r="49" spans="1:8" x14ac:dyDescent="0.3">
      <c r="A49" s="171">
        <f ca="1">'0.ArdiData&amp;FixedData'!B40</f>
        <v>9483</v>
      </c>
      <c r="B49" s="262">
        <v>38</v>
      </c>
      <c r="C49" s="260">
        <v>64</v>
      </c>
      <c r="D49" s="271">
        <f t="shared" si="3"/>
        <v>66.306866426225952</v>
      </c>
      <c r="E49" s="261">
        <f t="shared" si="1"/>
        <v>-2.3068664262259517</v>
      </c>
      <c r="F49" s="272">
        <f t="shared" si="2"/>
        <v>2.3068664262259517</v>
      </c>
      <c r="G49" s="264">
        <f>AVERAGE($F$12:F49)</f>
        <v>18.911660527352591</v>
      </c>
      <c r="H49" s="275">
        <f>SUM($E$12:E49)/G49</f>
        <v>0.45229309659340711</v>
      </c>
    </row>
    <row r="50" spans="1:8" x14ac:dyDescent="0.3">
      <c r="A50" s="171">
        <f ca="1">'0.ArdiData&amp;FixedData'!B41</f>
        <v>4155</v>
      </c>
      <c r="B50" s="262">
        <v>39</v>
      </c>
      <c r="C50" s="260">
        <v>69</v>
      </c>
      <c r="D50" s="271">
        <f t="shared" si="3"/>
        <v>64.967229641296896</v>
      </c>
      <c r="E50" s="261">
        <f t="shared" si="1"/>
        <v>4.0327703587031039</v>
      </c>
      <c r="F50" s="272">
        <f t="shared" si="2"/>
        <v>4.0327703587031039</v>
      </c>
      <c r="G50" s="264">
        <f>AVERAGE($F$12:F50)</f>
        <v>18.530150523028247</v>
      </c>
      <c r="H50" s="275">
        <f>SUM($E$12:E50)/G50</f>
        <v>0.67923807983648332</v>
      </c>
    </row>
    <row r="51" spans="1:8" x14ac:dyDescent="0.3">
      <c r="A51" s="171">
        <f ca="1">'0.ArdiData&amp;FixedData'!B42</f>
        <v>8087</v>
      </c>
      <c r="B51" s="262">
        <v>40</v>
      </c>
      <c r="C51" s="260">
        <v>33</v>
      </c>
      <c r="D51" s="271">
        <f t="shared" si="3"/>
        <v>67.309128355618483</v>
      </c>
      <c r="E51" s="261">
        <f t="shared" si="1"/>
        <v>-34.309128355618483</v>
      </c>
      <c r="F51" s="272">
        <f t="shared" si="2"/>
        <v>34.309128355618483</v>
      </c>
      <c r="G51" s="264">
        <f>AVERAGE($F$12:F51)</f>
        <v>18.924624968843002</v>
      </c>
      <c r="H51" s="275">
        <f>SUM($E$12:E51)/G51</f>
        <v>-1.1478560093549814</v>
      </c>
    </row>
    <row r="52" spans="1:8" x14ac:dyDescent="0.3">
      <c r="A52" s="171">
        <f ca="1">'0.ArdiData&amp;FixedData'!B43</f>
        <v>5790</v>
      </c>
      <c r="B52" s="262">
        <v>41</v>
      </c>
      <c r="C52" s="260">
        <v>41</v>
      </c>
      <c r="D52" s="271">
        <f t="shared" si="3"/>
        <v>47.385230776844224</v>
      </c>
      <c r="E52" s="261">
        <f t="shared" si="1"/>
        <v>-6.3852307768442245</v>
      </c>
      <c r="F52" s="272">
        <f t="shared" si="2"/>
        <v>6.3852307768442245</v>
      </c>
      <c r="G52" s="264">
        <f>AVERAGE($F$12:F52)</f>
        <v>18.618786086111324</v>
      </c>
      <c r="H52" s="275">
        <f>SUM($E$12:E52)/G52</f>
        <v>-1.509656705980801</v>
      </c>
    </row>
    <row r="53" spans="1:8" x14ac:dyDescent="0.3">
      <c r="A53" s="171">
        <f ca="1">'0.ArdiData&amp;FixedData'!B44</f>
        <v>7778</v>
      </c>
      <c r="B53" s="262">
        <v>42</v>
      </c>
      <c r="C53" s="260">
        <v>56</v>
      </c>
      <c r="D53" s="271">
        <f t="shared" si="3"/>
        <v>43.677218066756005</v>
      </c>
      <c r="E53" s="261">
        <f t="shared" si="1"/>
        <v>12.322781933243995</v>
      </c>
      <c r="F53" s="272">
        <f t="shared" si="2"/>
        <v>12.322781933243995</v>
      </c>
      <c r="G53" s="264">
        <f>AVERAGE($F$12:F53)</f>
        <v>18.468881225328769</v>
      </c>
      <c r="H53" s="275">
        <f>SUM($E$12:E53)/G53</f>
        <v>-0.85469136686134073</v>
      </c>
    </row>
    <row r="54" spans="1:8" ht="15.75" customHeight="1" x14ac:dyDescent="0.3">
      <c r="A54" s="171">
        <f ca="1">'0.ArdiData&amp;FixedData'!B45</f>
        <v>5782</v>
      </c>
      <c r="B54" s="262">
        <v>43</v>
      </c>
      <c r="C54" s="260">
        <v>28</v>
      </c>
      <c r="D54" s="271">
        <f t="shared" si="3"/>
        <v>50.833268275280673</v>
      </c>
      <c r="E54" s="261">
        <f t="shared" si="1"/>
        <v>-22.833268275280673</v>
      </c>
      <c r="F54" s="272">
        <f t="shared" si="2"/>
        <v>22.833268275280673</v>
      </c>
      <c r="G54" s="264">
        <f>AVERAGE($F$12:F54)</f>
        <v>18.570378598583464</v>
      </c>
      <c r="H54" s="275">
        <f>SUM($E$12:E54)/G54</f>
        <v>-2.0795731982062264</v>
      </c>
    </row>
    <row r="55" spans="1:8" x14ac:dyDescent="0.3">
      <c r="A55" s="171">
        <f ca="1">'0.ArdiData&amp;FixedData'!B46</f>
        <v>9670</v>
      </c>
      <c r="B55" s="262">
        <v>44</v>
      </c>
      <c r="C55" s="260">
        <v>19</v>
      </c>
      <c r="D55" s="271">
        <f t="shared" si="3"/>
        <v>37.5735989012883</v>
      </c>
      <c r="E55" s="261">
        <f t="shared" si="1"/>
        <v>-18.5735989012883</v>
      </c>
      <c r="F55" s="272">
        <f t="shared" si="2"/>
        <v>18.5735989012883</v>
      </c>
      <c r="G55" s="264">
        <f>AVERAGE($F$12:F55)</f>
        <v>18.5704517872813</v>
      </c>
      <c r="H55" s="275">
        <f>SUM($E$12:E55)/G55</f>
        <v>-3.0797344712213834</v>
      </c>
    </row>
    <row r="56" spans="1:8" x14ac:dyDescent="0.3">
      <c r="A56" s="171">
        <f ca="1">'0.ArdiData&amp;FixedData'!B47</f>
        <v>10625</v>
      </c>
      <c r="B56" s="262">
        <v>45</v>
      </c>
      <c r="C56" s="260">
        <v>16</v>
      </c>
      <c r="D56" s="271">
        <f t="shared" si="3"/>
        <v>26.787592380143288</v>
      </c>
      <c r="E56" s="261">
        <f t="shared" si="1"/>
        <v>-10.787592380143288</v>
      </c>
      <c r="F56" s="272">
        <f t="shared" si="2"/>
        <v>10.787592380143288</v>
      </c>
      <c r="G56" s="264">
        <f>AVERAGE($F$12:F56)</f>
        <v>18.397499356011568</v>
      </c>
      <c r="H56" s="275">
        <f>SUM($E$12:E56)/G56</f>
        <v>-3.6950485269822946</v>
      </c>
    </row>
    <row r="57" spans="1:8" x14ac:dyDescent="0.3">
      <c r="A57" s="171">
        <f ca="1">'0.ArdiData&amp;FixedData'!B48</f>
        <v>6778</v>
      </c>
      <c r="B57" s="262">
        <v>46</v>
      </c>
      <c r="C57" s="260">
        <v>53</v>
      </c>
      <c r="D57" s="271">
        <f t="shared" si="3"/>
        <v>20.523052999376908</v>
      </c>
      <c r="E57" s="261">
        <f t="shared" si="1"/>
        <v>32.476947000623092</v>
      </c>
      <c r="F57" s="272">
        <f t="shared" si="2"/>
        <v>32.476947000623092</v>
      </c>
      <c r="G57" s="264">
        <f>AVERAGE($F$12:F57)</f>
        <v>18.703574304807471</v>
      </c>
      <c r="H57" s="275">
        <f>SUM($E$12:E57)/G57</f>
        <v>-1.8981776058621977</v>
      </c>
    </row>
    <row r="58" spans="1:8" x14ac:dyDescent="0.3">
      <c r="A58" s="171">
        <f ca="1">'0.ArdiData&amp;FixedData'!B49</f>
        <v>2013</v>
      </c>
      <c r="B58" s="262">
        <v>47</v>
      </c>
      <c r="C58" s="260">
        <v>63</v>
      </c>
      <c r="D58" s="271">
        <f t="shared" si="3"/>
        <v>39.382971531983117</v>
      </c>
      <c r="E58" s="261">
        <f t="shared" si="1"/>
        <v>23.617028468016883</v>
      </c>
      <c r="F58" s="272">
        <f t="shared" si="2"/>
        <v>23.617028468016883</v>
      </c>
      <c r="G58" s="264">
        <f>AVERAGE($F$12:F58)</f>
        <v>18.808115882748098</v>
      </c>
      <c r="H58" s="275">
        <f>SUM($E$12:E58)/G58</f>
        <v>-0.63194407675095843</v>
      </c>
    </row>
    <row r="59" spans="1:8" x14ac:dyDescent="0.3">
      <c r="A59" s="171">
        <f ca="1">'0.ArdiData&amp;FixedData'!B50</f>
        <v>6158</v>
      </c>
      <c r="B59" s="262">
        <v>48</v>
      </c>
      <c r="C59" s="260">
        <v>84</v>
      </c>
      <c r="D59" s="271">
        <f t="shared" si="3"/>
        <v>53.097783853489034</v>
      </c>
      <c r="E59" s="261">
        <f t="shared" si="1"/>
        <v>30.902216146510966</v>
      </c>
      <c r="F59" s="272">
        <f t="shared" si="2"/>
        <v>30.902216146510966</v>
      </c>
      <c r="G59" s="264">
        <f>AVERAGE($F$12:F59)</f>
        <v>19.060076304909824</v>
      </c>
      <c r="H59" s="275">
        <f>SUM($E$12:E59)/G59</f>
        <v>0.99771577066898065</v>
      </c>
    </row>
    <row r="60" spans="1:8" x14ac:dyDescent="0.3">
      <c r="A60" s="171">
        <f ca="1">'0.ArdiData&amp;FixedData'!B51</f>
        <v>5840</v>
      </c>
      <c r="B60" s="262">
        <v>49</v>
      </c>
      <c r="C60" s="260">
        <v>83</v>
      </c>
      <c r="D60" s="271">
        <f t="shared" si="3"/>
        <v>71.043229248618189</v>
      </c>
      <c r="E60" s="261">
        <f t="shared" si="1"/>
        <v>11.956770751381811</v>
      </c>
      <c r="F60" s="272">
        <f t="shared" si="2"/>
        <v>11.956770751381811</v>
      </c>
      <c r="G60" s="264">
        <f>AVERAGE($F$12:F60)</f>
        <v>18.915110885450066</v>
      </c>
      <c r="H60" s="275">
        <f>SUM($E$12:E60)/G60</f>
        <v>1.6374902403966274</v>
      </c>
    </row>
    <row r="61" spans="1:8" x14ac:dyDescent="0.3">
      <c r="A61" s="171">
        <f ca="1">'0.ArdiData&amp;FixedData'!B52</f>
        <v>5455</v>
      </c>
      <c r="B61" s="262">
        <v>50</v>
      </c>
      <c r="C61" s="260">
        <v>78</v>
      </c>
      <c r="D61" s="271">
        <f t="shared" si="3"/>
        <v>77.986730504440771</v>
      </c>
      <c r="E61" s="261">
        <f t="shared" si="1"/>
        <v>1.3269495559228517E-2</v>
      </c>
      <c r="F61" s="272">
        <f t="shared" si="2"/>
        <v>1.3269495559228517E-2</v>
      </c>
      <c r="G61" s="268">
        <f>AVERAGE($F$12:F61)</f>
        <v>18.537074057652251</v>
      </c>
      <c r="H61" s="275">
        <f>SUM($E$12:E61)/G61</f>
        <v>1.6716003221507449</v>
      </c>
    </row>
    <row r="62" spans="1:8" x14ac:dyDescent="0.3">
      <c r="B62" s="262"/>
      <c r="C62" s="171" t="s">
        <v>165</v>
      </c>
      <c r="D62" s="271">
        <f t="shared" si="3"/>
        <v>77.994436327442259</v>
      </c>
    </row>
    <row r="63" spans="1:8" x14ac:dyDescent="0.3">
      <c r="C63" s="171" t="s">
        <v>50</v>
      </c>
      <c r="D63" s="263">
        <f>1.25*G61</f>
        <v>23.171342572065313</v>
      </c>
    </row>
  </sheetData>
  <conditionalFormatting sqref="J17:K26">
    <cfRule type="expression" dxfId="12" priority="3">
      <formula>$K17=$L$27</formula>
    </cfRule>
  </conditionalFormatting>
  <conditionalFormatting sqref="J17:K26">
    <cfRule type="expression" dxfId="11" priority="1">
      <formula>$K17=$L$27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3"/>
  <sheetViews>
    <sheetView zoomScale="96" zoomScaleNormal="96" workbookViewId="0">
      <selection activeCell="O19" sqref="O19"/>
    </sheetView>
  </sheetViews>
  <sheetFormatPr defaultRowHeight="15" x14ac:dyDescent="0.25"/>
  <cols>
    <col min="2" max="3" width="4.85546875" customWidth="1"/>
    <col min="4" max="4" width="10" bestFit="1" customWidth="1"/>
    <col min="5" max="6" width="7.85546875" bestFit="1" customWidth="1"/>
    <col min="7" max="9" width="7.85546875" style="88" customWidth="1"/>
    <col min="10" max="10" width="27.140625" bestFit="1" customWidth="1"/>
    <col min="11" max="11" width="18.140625" bestFit="1" customWidth="1"/>
    <col min="12" max="12" width="11.7109375" bestFit="1" customWidth="1"/>
    <col min="13" max="13" width="14.5703125" bestFit="1" customWidth="1"/>
    <col min="14" max="14" width="12" bestFit="1" customWidth="1"/>
    <col min="15" max="15" width="8.85546875" bestFit="1" customWidth="1"/>
    <col min="16" max="16" width="13.42578125" bestFit="1" customWidth="1"/>
    <col min="17" max="17" width="11" bestFit="1" customWidth="1"/>
  </cols>
  <sheetData>
    <row r="1" spans="1:17" ht="15.75" thickBot="1" x14ac:dyDescent="0.3">
      <c r="G1" s="129" t="s">
        <v>104</v>
      </c>
      <c r="H1" s="129" t="s">
        <v>105</v>
      </c>
      <c r="I1" s="129" t="s">
        <v>106</v>
      </c>
      <c r="J1" s="129" t="s">
        <v>107</v>
      </c>
    </row>
    <row r="2" spans="1:17" ht="15.75" thickBot="1" x14ac:dyDescent="0.3">
      <c r="A2" s="87" t="s">
        <v>100</v>
      </c>
      <c r="B2" s="115" t="s">
        <v>69</v>
      </c>
      <c r="C2" s="117" t="s">
        <v>12</v>
      </c>
      <c r="D2" s="117" t="s">
        <v>71</v>
      </c>
      <c r="E2" s="116" t="s">
        <v>72</v>
      </c>
      <c r="F2" s="117" t="s">
        <v>103</v>
      </c>
      <c r="G2" s="1">
        <f>AVERAGE(C3:C52)</f>
        <v>29.88</v>
      </c>
      <c r="H2" s="126">
        <f>SUM(E3:E52)</f>
        <v>15075.296710684273</v>
      </c>
      <c r="I2" s="126">
        <f>SUM(F3:F52)</f>
        <v>16831.280000000006</v>
      </c>
      <c r="J2">
        <f>1-H2/I2</f>
        <v>0.10432856498826781</v>
      </c>
      <c r="K2" t="s">
        <v>73</v>
      </c>
      <c r="Q2" t="s">
        <v>88</v>
      </c>
    </row>
    <row r="3" spans="1:17" ht="15.75" thickBot="1" x14ac:dyDescent="0.3">
      <c r="A3" s="118">
        <f ca="1">'0.ArdiData'!C3</f>
        <v>1730</v>
      </c>
      <c r="B3" s="119">
        <v>1</v>
      </c>
      <c r="C3" s="295">
        <v>26</v>
      </c>
      <c r="D3" s="297">
        <f>$L$20+$L$21*B3</f>
        <v>19.818823529411763</v>
      </c>
      <c r="E3" s="120">
        <f>(C3-D3)^2</f>
        <v>38.206942560553664</v>
      </c>
      <c r="F3" s="298">
        <f>(C3-$G$2)^2</f>
        <v>15.054399999999992</v>
      </c>
      <c r="G3"/>
      <c r="H3"/>
      <c r="I3"/>
    </row>
    <row r="4" spans="1:17" x14ac:dyDescent="0.25">
      <c r="A4" s="118">
        <f ca="1">'0.ArdiData'!C4</f>
        <v>1841</v>
      </c>
      <c r="B4" s="119">
        <v>2</v>
      </c>
      <c r="C4" s="295">
        <v>22</v>
      </c>
      <c r="D4" s="297">
        <f t="shared" ref="D4:D52" si="0">$L$20+$L$21*B4</f>
        <v>20.229483793517407</v>
      </c>
      <c r="E4" s="120">
        <f t="shared" ref="E4:E34" si="1">(C4-D4)^2</f>
        <v>3.1347276374175133</v>
      </c>
      <c r="F4" s="298">
        <f t="shared" ref="F4:F34" si="2">(C4-$G$2)^2</f>
        <v>62.094399999999986</v>
      </c>
      <c r="G4" s="127"/>
      <c r="H4" s="127"/>
      <c r="I4" s="127"/>
      <c r="K4" s="104" t="s">
        <v>74</v>
      </c>
      <c r="L4" s="104"/>
    </row>
    <row r="5" spans="1:17" x14ac:dyDescent="0.25">
      <c r="A5" s="118">
        <f ca="1">'0.ArdiData'!C5</f>
        <v>2550</v>
      </c>
      <c r="B5" s="119">
        <v>3</v>
      </c>
      <c r="C5" s="295">
        <v>11</v>
      </c>
      <c r="D5" s="297">
        <f t="shared" si="0"/>
        <v>20.640144057623047</v>
      </c>
      <c r="E5" s="120">
        <f t="shared" si="1"/>
        <v>92.932377451724946</v>
      </c>
      <c r="F5" s="298">
        <f t="shared" si="2"/>
        <v>356.45439999999996</v>
      </c>
      <c r="G5" s="127"/>
      <c r="H5" s="127"/>
      <c r="I5" s="127"/>
      <c r="J5" s="105" t="s">
        <v>75</v>
      </c>
      <c r="K5" s="106" t="s">
        <v>76</v>
      </c>
      <c r="L5" s="107">
        <v>0.32299932660652342</v>
      </c>
      <c r="M5" s="108">
        <f>CORREL(B3:B52,C3:C52)</f>
        <v>0.32299932660652309</v>
      </c>
    </row>
    <row r="6" spans="1:17" x14ac:dyDescent="0.25">
      <c r="A6" s="118">
        <f ca="1">'0.ArdiData'!C6</f>
        <v>2648</v>
      </c>
      <c r="B6" s="119">
        <v>4</v>
      </c>
      <c r="C6" s="295">
        <v>3</v>
      </c>
      <c r="D6" s="297">
        <f t="shared" si="0"/>
        <v>21.050804321728691</v>
      </c>
      <c r="E6" s="120">
        <f t="shared" si="1"/>
        <v>325.83153666133921</v>
      </c>
      <c r="F6" s="298">
        <f t="shared" si="2"/>
        <v>722.53439999999989</v>
      </c>
      <c r="G6" s="127"/>
      <c r="H6" s="127"/>
      <c r="I6" s="127"/>
      <c r="J6" s="105" t="s">
        <v>77</v>
      </c>
      <c r="K6" s="106" t="s">
        <v>78</v>
      </c>
      <c r="L6" s="107">
        <v>0.10432856498826758</v>
      </c>
      <c r="M6" s="108">
        <f>M5^2</f>
        <v>0.10432856498826737</v>
      </c>
      <c r="N6" s="303">
        <f>1-H2/I2</f>
        <v>0.10432856498826781</v>
      </c>
    </row>
    <row r="7" spans="1:17" x14ac:dyDescent="0.25">
      <c r="A7" s="118">
        <f ca="1">'0.ArdiData'!C7</f>
        <v>2931</v>
      </c>
      <c r="B7" s="119">
        <v>5</v>
      </c>
      <c r="C7" s="295">
        <v>28</v>
      </c>
      <c r="D7" s="297">
        <f t="shared" si="0"/>
        <v>21.461464585834332</v>
      </c>
      <c r="E7" s="120">
        <f t="shared" si="1"/>
        <v>42.752445362298609</v>
      </c>
      <c r="F7" s="298">
        <f t="shared" si="2"/>
        <v>3.5343999999999962</v>
      </c>
      <c r="G7" s="127"/>
      <c r="H7" s="127"/>
      <c r="I7" s="127"/>
      <c r="K7" s="109" t="s">
        <v>79</v>
      </c>
      <c r="L7" s="110">
        <v>8.566874342552315E-2</v>
      </c>
    </row>
    <row r="8" spans="1:17" x14ac:dyDescent="0.25">
      <c r="A8" s="118">
        <f ca="1">'0.ArdiData'!C8</f>
        <v>3222</v>
      </c>
      <c r="B8" s="119">
        <v>6</v>
      </c>
      <c r="C8" s="295">
        <v>13</v>
      </c>
      <c r="D8" s="297">
        <f t="shared" si="0"/>
        <v>21.872124849939976</v>
      </c>
      <c r="E8" s="120">
        <f t="shared" si="1"/>
        <v>78.714599352922434</v>
      </c>
      <c r="F8" s="298">
        <f t="shared" si="2"/>
        <v>284.93439999999998</v>
      </c>
      <c r="G8" s="127"/>
      <c r="H8" s="127"/>
      <c r="I8" s="127"/>
      <c r="K8" s="106" t="s">
        <v>80</v>
      </c>
      <c r="L8" s="107">
        <v>17.721983000572738</v>
      </c>
      <c r="M8" s="108">
        <f>SQRT(SUM(E3:E52)/(COUNT(E3:E52)-2))</f>
        <v>17.721983000572738</v>
      </c>
    </row>
    <row r="9" spans="1:17" ht="15.75" thickBot="1" x14ac:dyDescent="0.3">
      <c r="A9" s="118">
        <f ca="1">'0.ArdiData'!C9</f>
        <v>3359</v>
      </c>
      <c r="B9" s="119">
        <v>7</v>
      </c>
      <c r="C9" s="295">
        <v>8</v>
      </c>
      <c r="D9" s="297">
        <f t="shared" si="0"/>
        <v>22.282785114045616</v>
      </c>
      <c r="E9" s="120">
        <f t="shared" si="1"/>
        <v>203.99795061400303</v>
      </c>
      <c r="F9" s="298">
        <f t="shared" si="2"/>
        <v>478.73439999999994</v>
      </c>
      <c r="G9" s="127"/>
      <c r="H9" s="127"/>
      <c r="I9" s="127"/>
      <c r="K9" s="111" t="s">
        <v>81</v>
      </c>
      <c r="L9" s="111">
        <v>50</v>
      </c>
      <c r="M9" s="108">
        <f>COUNT(C3:C52)</f>
        <v>50</v>
      </c>
    </row>
    <row r="10" spans="1:17" x14ac:dyDescent="0.25">
      <c r="A10" s="118">
        <f ca="1">'0.ArdiData'!C10</f>
        <v>3236</v>
      </c>
      <c r="B10" s="119">
        <v>8</v>
      </c>
      <c r="C10" s="295">
        <v>7</v>
      </c>
      <c r="D10" s="297">
        <f t="shared" si="0"/>
        <v>22.69344537815126</v>
      </c>
      <c r="E10" s="120">
        <f t="shared" si="1"/>
        <v>246.28422783701714</v>
      </c>
      <c r="F10" s="298">
        <f t="shared" si="2"/>
        <v>523.49439999999993</v>
      </c>
      <c r="G10" s="127"/>
      <c r="H10" s="127"/>
      <c r="I10" s="127"/>
    </row>
    <row r="11" spans="1:17" ht="15.75" thickBot="1" x14ac:dyDescent="0.3">
      <c r="A11" s="118">
        <f ca="1">'0.ArdiData'!C11</f>
        <v>4308</v>
      </c>
      <c r="B11" s="119">
        <v>9</v>
      </c>
      <c r="C11" s="295">
        <v>32</v>
      </c>
      <c r="D11" s="297">
        <f t="shared" si="0"/>
        <v>23.104105642256901</v>
      </c>
      <c r="E11" s="120">
        <f t="shared" si="1"/>
        <v>79.136936424125508</v>
      </c>
      <c r="F11" s="298">
        <f t="shared" si="2"/>
        <v>4.4944000000000042</v>
      </c>
      <c r="G11" s="127"/>
      <c r="H11" s="127"/>
      <c r="I11" s="127"/>
      <c r="K11" t="s">
        <v>82</v>
      </c>
    </row>
    <row r="12" spans="1:17" x14ac:dyDescent="0.25">
      <c r="A12" s="118">
        <f ca="1">'0.ArdiData'!C12</f>
        <v>3473</v>
      </c>
      <c r="B12" s="119">
        <v>10</v>
      </c>
      <c r="C12" s="295">
        <v>41</v>
      </c>
      <c r="D12" s="297">
        <f t="shared" si="0"/>
        <v>23.514765906362545</v>
      </c>
      <c r="E12" s="120">
        <f t="shared" si="1"/>
        <v>305.73341130930163</v>
      </c>
      <c r="F12" s="298">
        <f t="shared" si="2"/>
        <v>123.65440000000002</v>
      </c>
      <c r="G12" s="127"/>
      <c r="H12" s="127"/>
      <c r="I12" s="127"/>
      <c r="K12" s="112"/>
      <c r="L12" s="112" t="s">
        <v>83</v>
      </c>
      <c r="M12" s="112" t="s">
        <v>84</v>
      </c>
      <c r="N12" s="112" t="s">
        <v>85</v>
      </c>
      <c r="O12" s="112" t="s">
        <v>86</v>
      </c>
      <c r="P12" s="112" t="s">
        <v>87</v>
      </c>
    </row>
    <row r="13" spans="1:17" x14ac:dyDescent="0.25">
      <c r="A13" s="118">
        <f ca="1">'0.ArdiData'!C13</f>
        <v>4071</v>
      </c>
      <c r="B13" s="119">
        <v>11</v>
      </c>
      <c r="C13" s="295">
        <v>9</v>
      </c>
      <c r="D13" s="297">
        <f t="shared" si="0"/>
        <v>23.925426170468185</v>
      </c>
      <c r="E13" s="120">
        <f t="shared" si="1"/>
        <v>222.76834637009659</v>
      </c>
      <c r="F13" s="298">
        <f t="shared" si="2"/>
        <v>435.97439999999995</v>
      </c>
      <c r="G13" s="127"/>
      <c r="H13" s="127"/>
      <c r="I13" s="127"/>
      <c r="K13" s="109" t="s">
        <v>88</v>
      </c>
      <c r="L13" s="151">
        <v>1</v>
      </c>
      <c r="M13" s="300">
        <v>1755.9832893157291</v>
      </c>
      <c r="N13" s="300">
        <v>1755.9832893157291</v>
      </c>
      <c r="O13" s="300">
        <v>5.5910805276169686</v>
      </c>
      <c r="P13" s="300">
        <v>2.2144150363479678E-2</v>
      </c>
    </row>
    <row r="14" spans="1:17" x14ac:dyDescent="0.25">
      <c r="A14" s="118">
        <f ca="1">'0.ArdiData'!C14</f>
        <v>4225</v>
      </c>
      <c r="B14" s="119">
        <v>12</v>
      </c>
      <c r="C14" s="295">
        <v>14</v>
      </c>
      <c r="D14" s="297">
        <f t="shared" si="0"/>
        <v>24.336086434573829</v>
      </c>
      <c r="E14" s="120">
        <f t="shared" si="1"/>
        <v>106.83468278298113</v>
      </c>
      <c r="F14" s="298">
        <f t="shared" si="2"/>
        <v>252.17439999999996</v>
      </c>
      <c r="G14" s="127"/>
      <c r="H14" s="127"/>
      <c r="I14" s="127"/>
      <c r="K14" s="109" t="s">
        <v>89</v>
      </c>
      <c r="L14" s="151">
        <v>48</v>
      </c>
      <c r="M14" s="300">
        <v>15075.296710684277</v>
      </c>
      <c r="N14" s="300">
        <v>314.06868147258911</v>
      </c>
      <c r="O14" s="300"/>
      <c r="P14" s="300"/>
    </row>
    <row r="15" spans="1:17" ht="15.75" thickBot="1" x14ac:dyDescent="0.3">
      <c r="A15" s="118">
        <f ca="1">'0.ArdiData'!C15</f>
        <v>4436</v>
      </c>
      <c r="B15" s="119">
        <v>13</v>
      </c>
      <c r="C15" s="295">
        <v>35</v>
      </c>
      <c r="D15" s="297">
        <f t="shared" si="0"/>
        <v>24.74674669867947</v>
      </c>
      <c r="E15" s="120">
        <f t="shared" si="1"/>
        <v>105.12920326104035</v>
      </c>
      <c r="F15" s="298">
        <f t="shared" si="2"/>
        <v>26.214400000000012</v>
      </c>
      <c r="G15" s="127"/>
      <c r="H15" s="127"/>
      <c r="I15" s="127"/>
      <c r="K15" s="113" t="s">
        <v>90</v>
      </c>
      <c r="L15" s="301">
        <v>49</v>
      </c>
      <c r="M15" s="302">
        <v>16831.280000000006</v>
      </c>
      <c r="N15" s="302"/>
      <c r="O15" s="302"/>
      <c r="P15" s="302"/>
    </row>
    <row r="16" spans="1:17" ht="15.75" thickBot="1" x14ac:dyDescent="0.3">
      <c r="A16" s="118">
        <f ca="1">'0.ArdiData'!C16</f>
        <v>5351</v>
      </c>
      <c r="B16" s="119">
        <v>14</v>
      </c>
      <c r="C16" s="295">
        <v>39</v>
      </c>
      <c r="D16" s="297">
        <f t="shared" si="0"/>
        <v>25.15740696278511</v>
      </c>
      <c r="E16" s="120">
        <f t="shared" si="1"/>
        <v>191.61738199395015</v>
      </c>
      <c r="F16" s="298">
        <f t="shared" si="2"/>
        <v>83.17440000000002</v>
      </c>
      <c r="G16" s="127"/>
      <c r="H16" s="127"/>
      <c r="I16" s="127"/>
    </row>
    <row r="17" spans="1:17" x14ac:dyDescent="0.25">
      <c r="A17" s="118">
        <f ca="1">'0.ArdiData'!C17</f>
        <v>5673</v>
      </c>
      <c r="B17" s="119">
        <v>15</v>
      </c>
      <c r="C17" s="295">
        <v>28</v>
      </c>
      <c r="D17" s="297">
        <f t="shared" si="0"/>
        <v>25.568067226890754</v>
      </c>
      <c r="E17" s="120">
        <f t="shared" si="1"/>
        <v>5.9142970129228258</v>
      </c>
      <c r="F17" s="298">
        <f t="shared" si="2"/>
        <v>3.5343999999999962</v>
      </c>
      <c r="G17" s="127"/>
      <c r="H17" s="127"/>
      <c r="I17" s="127"/>
      <c r="K17" s="112"/>
      <c r="L17" s="112" t="s">
        <v>91</v>
      </c>
      <c r="M17" s="112" t="s">
        <v>80</v>
      </c>
      <c r="N17" s="112" t="s">
        <v>92</v>
      </c>
      <c r="O17" s="112" t="s">
        <v>93</v>
      </c>
      <c r="P17" s="112" t="s">
        <v>94</v>
      </c>
      <c r="Q17" s="112" t="s">
        <v>95</v>
      </c>
    </row>
    <row r="18" spans="1:17" x14ac:dyDescent="0.25">
      <c r="A18" s="118">
        <f ca="1">'0.ArdiData'!C18</f>
        <v>4402</v>
      </c>
      <c r="B18" s="119">
        <v>16</v>
      </c>
      <c r="C18" s="295">
        <v>19</v>
      </c>
      <c r="D18" s="297">
        <f t="shared" si="0"/>
        <v>25.978727490996398</v>
      </c>
      <c r="E18" s="120">
        <f t="shared" si="1"/>
        <v>48.702637393588887</v>
      </c>
      <c r="F18" s="298">
        <f t="shared" si="2"/>
        <v>118.37439999999998</v>
      </c>
      <c r="G18" s="127"/>
      <c r="H18" s="127"/>
      <c r="I18" s="127"/>
      <c r="J18" s="105" t="s">
        <v>96</v>
      </c>
      <c r="K18" s="106" t="s">
        <v>97</v>
      </c>
      <c r="L18" s="110">
        <v>19.408163265306122</v>
      </c>
      <c r="M18" s="300">
        <v>5.0886778547249945</v>
      </c>
      <c r="N18" s="300">
        <v>3.8139893739363053</v>
      </c>
      <c r="O18" s="300">
        <v>3.9045739200275012E-4</v>
      </c>
      <c r="P18" s="300">
        <v>9.1766907002433395</v>
      </c>
      <c r="Q18" s="300">
        <v>29.639635830368903</v>
      </c>
    </row>
    <row r="19" spans="1:17" ht="15.75" thickBot="1" x14ac:dyDescent="0.3">
      <c r="A19" s="118">
        <f ca="1">'0.ArdiData'!C19</f>
        <v>5545</v>
      </c>
      <c r="B19" s="119">
        <v>17</v>
      </c>
      <c r="C19" s="295">
        <v>68</v>
      </c>
      <c r="D19" s="297">
        <f t="shared" si="0"/>
        <v>26.389387755102039</v>
      </c>
      <c r="E19" s="120">
        <f t="shared" si="1"/>
        <v>1731.4430513952525</v>
      </c>
      <c r="F19" s="298">
        <f t="shared" si="2"/>
        <v>1453.1344000000004</v>
      </c>
      <c r="G19" s="127"/>
      <c r="H19" s="127"/>
      <c r="I19" s="127"/>
      <c r="J19" s="105" t="s">
        <v>98</v>
      </c>
      <c r="K19" s="111" t="s">
        <v>99</v>
      </c>
      <c r="L19" s="114">
        <v>0.41066026410564221</v>
      </c>
      <c r="M19" s="302">
        <v>0.17367400060101817</v>
      </c>
      <c r="N19" s="302">
        <v>2.3645465797097249</v>
      </c>
      <c r="O19" s="304">
        <v>2.2144150363479765E-2</v>
      </c>
      <c r="P19" s="304">
        <v>6.146528200158341E-2</v>
      </c>
      <c r="Q19" s="304">
        <v>0.75985524620970102</v>
      </c>
    </row>
    <row r="20" spans="1:17" x14ac:dyDescent="0.25">
      <c r="A20" s="118">
        <f ca="1">'0.ArdiData'!C20</f>
        <v>5307</v>
      </c>
      <c r="B20" s="119">
        <v>18</v>
      </c>
      <c r="C20" s="295">
        <v>16</v>
      </c>
      <c r="D20" s="297">
        <f t="shared" si="0"/>
        <v>26.800048019207679</v>
      </c>
      <c r="E20" s="120">
        <f t="shared" si="1"/>
        <v>116.64103721719172</v>
      </c>
      <c r="F20" s="298">
        <f t="shared" si="2"/>
        <v>192.65439999999998</v>
      </c>
      <c r="G20" s="127"/>
      <c r="H20" s="127"/>
      <c r="I20" s="127"/>
      <c r="K20" s="108" t="s">
        <v>97</v>
      </c>
      <c r="L20" s="108">
        <f>INTERCEPT(C3:C52,B3:B52)</f>
        <v>19.408163265306122</v>
      </c>
    </row>
    <row r="21" spans="1:17" x14ac:dyDescent="0.25">
      <c r="A21" s="118">
        <f ca="1">'0.ArdiData'!C21</f>
        <v>5786</v>
      </c>
      <c r="B21" s="119">
        <v>19</v>
      </c>
      <c r="C21" s="295">
        <v>27</v>
      </c>
      <c r="D21" s="297">
        <f t="shared" si="0"/>
        <v>27.210708283313323</v>
      </c>
      <c r="E21" s="120">
        <f t="shared" si="1"/>
        <v>4.4397980656847746E-2</v>
      </c>
      <c r="F21" s="298">
        <f t="shared" si="2"/>
        <v>8.2943999999999942</v>
      </c>
      <c r="G21" s="127"/>
      <c r="H21" s="127"/>
      <c r="I21" s="127"/>
      <c r="K21" s="108" t="s">
        <v>99</v>
      </c>
      <c r="L21" s="108">
        <f>SLOPE(C3:C52,B3:B52)</f>
        <v>0.41066026410564216</v>
      </c>
    </row>
    <row r="22" spans="1:17" x14ac:dyDescent="0.25">
      <c r="A22" s="118">
        <f ca="1">'0.ArdiData'!C22</f>
        <v>5970</v>
      </c>
      <c r="B22" s="119">
        <v>20</v>
      </c>
      <c r="C22" s="295">
        <v>10</v>
      </c>
      <c r="D22" s="297">
        <f t="shared" si="0"/>
        <v>27.621368547418967</v>
      </c>
      <c r="E22" s="120">
        <f t="shared" si="1"/>
        <v>310.51262948396646</v>
      </c>
      <c r="F22" s="298">
        <f t="shared" si="2"/>
        <v>395.21439999999996</v>
      </c>
      <c r="G22" s="127"/>
      <c r="H22" s="127"/>
      <c r="I22" s="127"/>
      <c r="M22" s="125">
        <f>H2</f>
        <v>15075.296710684273</v>
      </c>
    </row>
    <row r="23" spans="1:17" x14ac:dyDescent="0.25">
      <c r="A23" s="118">
        <f ca="1">'0.ArdiData'!C23</f>
        <v>7221</v>
      </c>
      <c r="B23" s="119">
        <v>21</v>
      </c>
      <c r="C23" s="295">
        <v>27</v>
      </c>
      <c r="D23" s="297">
        <f t="shared" si="0"/>
        <v>28.032028811524608</v>
      </c>
      <c r="E23" s="120">
        <f t="shared" si="1"/>
        <v>1.0650834678168946</v>
      </c>
      <c r="F23" s="298">
        <f t="shared" si="2"/>
        <v>8.2943999999999942</v>
      </c>
      <c r="G23" s="127"/>
      <c r="H23" s="127"/>
      <c r="I23" s="127"/>
    </row>
    <row r="24" spans="1:17" x14ac:dyDescent="0.25">
      <c r="A24" s="118">
        <f ca="1">'0.ArdiData'!C24</f>
        <v>6829</v>
      </c>
      <c r="B24" s="119">
        <v>22</v>
      </c>
      <c r="C24" s="295">
        <v>38</v>
      </c>
      <c r="D24" s="297">
        <f t="shared" si="0"/>
        <v>28.442689075630248</v>
      </c>
      <c r="E24" s="120">
        <f t="shared" si="1"/>
        <v>91.342192105077402</v>
      </c>
      <c r="F24" s="298">
        <f t="shared" si="2"/>
        <v>65.934400000000011</v>
      </c>
      <c r="G24" s="127"/>
      <c r="H24" s="127"/>
      <c r="I24" s="127"/>
    </row>
    <row r="25" spans="1:17" x14ac:dyDescent="0.25">
      <c r="A25" s="118">
        <f ca="1">'0.ArdiData'!C25</f>
        <v>6851</v>
      </c>
      <c r="B25" s="119">
        <v>23</v>
      </c>
      <c r="C25" s="295">
        <v>38</v>
      </c>
      <c r="D25" s="297">
        <f t="shared" si="0"/>
        <v>28.853349339735892</v>
      </c>
      <c r="E25" s="120">
        <f t="shared" si="1"/>
        <v>83.661218300909837</v>
      </c>
      <c r="F25" s="298">
        <f t="shared" si="2"/>
        <v>65.934400000000011</v>
      </c>
      <c r="G25" s="127"/>
      <c r="H25" s="127"/>
      <c r="I25" s="127"/>
    </row>
    <row r="26" spans="1:17" x14ac:dyDescent="0.25">
      <c r="A26" s="118">
        <f ca="1">'0.ArdiData'!C26</f>
        <v>7267</v>
      </c>
      <c r="B26" s="119">
        <v>24</v>
      </c>
      <c r="C26" s="295">
        <v>32</v>
      </c>
      <c r="D26" s="297">
        <f t="shared" si="0"/>
        <v>29.264009603841533</v>
      </c>
      <c r="E26" s="120">
        <f t="shared" si="1"/>
        <v>7.4856434478713654</v>
      </c>
      <c r="F26" s="298">
        <f t="shared" si="2"/>
        <v>4.4944000000000042</v>
      </c>
      <c r="G26" s="127"/>
      <c r="H26" s="127"/>
      <c r="I26" s="127"/>
    </row>
    <row r="27" spans="1:17" x14ac:dyDescent="0.25">
      <c r="A27" s="118">
        <f ca="1">'0.ArdiData'!C27</f>
        <v>6418</v>
      </c>
      <c r="B27" s="119">
        <v>25</v>
      </c>
      <c r="C27" s="295">
        <v>36</v>
      </c>
      <c r="D27" s="297">
        <f t="shared" si="0"/>
        <v>29.674669867947173</v>
      </c>
      <c r="E27" s="120">
        <f t="shared" si="1"/>
        <v>40.009801279455431</v>
      </c>
      <c r="F27" s="298">
        <f t="shared" si="2"/>
        <v>37.454400000000014</v>
      </c>
      <c r="G27" s="127"/>
      <c r="H27" s="127"/>
      <c r="I27" s="127"/>
    </row>
    <row r="28" spans="1:17" x14ac:dyDescent="0.25">
      <c r="A28" s="118">
        <f ca="1">'0.ArdiData'!C28</f>
        <v>7409</v>
      </c>
      <c r="B28" s="119">
        <v>26</v>
      </c>
      <c r="C28" s="295">
        <v>53</v>
      </c>
      <c r="D28" s="297">
        <f t="shared" si="0"/>
        <v>30.085330132052817</v>
      </c>
      <c r="E28" s="120">
        <f t="shared" si="1"/>
        <v>525.08209515700651</v>
      </c>
      <c r="F28" s="298">
        <f t="shared" si="2"/>
        <v>534.53440000000001</v>
      </c>
      <c r="G28" s="127"/>
      <c r="H28" s="127"/>
      <c r="I28" s="127"/>
    </row>
    <row r="29" spans="1:17" x14ac:dyDescent="0.25">
      <c r="A29" s="118">
        <f ca="1">'0.ArdiData'!C29</f>
        <v>7282</v>
      </c>
      <c r="B29" s="119">
        <v>27</v>
      </c>
      <c r="C29" s="295">
        <v>45</v>
      </c>
      <c r="D29" s="297">
        <f t="shared" si="0"/>
        <v>30.495990396158462</v>
      </c>
      <c r="E29" s="120">
        <f t="shared" si="1"/>
        <v>210.36629458832758</v>
      </c>
      <c r="F29" s="298">
        <f t="shared" si="2"/>
        <v>228.61440000000002</v>
      </c>
      <c r="G29" s="127"/>
      <c r="H29" s="127"/>
      <c r="I29" s="127"/>
    </row>
    <row r="30" spans="1:17" x14ac:dyDescent="0.25">
      <c r="A30" s="118">
        <f ca="1">'0.ArdiData'!C30</f>
        <v>8526</v>
      </c>
      <c r="B30" s="119">
        <v>28</v>
      </c>
      <c r="C30" s="295">
        <v>23</v>
      </c>
      <c r="D30" s="297">
        <f t="shared" si="0"/>
        <v>30.906650660264102</v>
      </c>
      <c r="E30" s="120">
        <f t="shared" si="1"/>
        <v>62.515124663454763</v>
      </c>
      <c r="F30" s="298">
        <f t="shared" si="2"/>
        <v>47.334399999999988</v>
      </c>
      <c r="G30" s="127"/>
      <c r="H30" s="127"/>
      <c r="I30" s="127"/>
    </row>
    <row r="31" spans="1:17" x14ac:dyDescent="0.25">
      <c r="A31" s="118">
        <f ca="1">'0.ArdiData'!C31</f>
        <v>9114</v>
      </c>
      <c r="B31" s="119">
        <v>29</v>
      </c>
      <c r="C31" s="295">
        <v>16</v>
      </c>
      <c r="D31" s="297">
        <f t="shared" si="0"/>
        <v>31.317310924369743</v>
      </c>
      <c r="E31" s="120">
        <f t="shared" si="1"/>
        <v>234.62001395381665</v>
      </c>
      <c r="F31" s="298">
        <f t="shared" si="2"/>
        <v>192.65439999999998</v>
      </c>
      <c r="G31" s="127"/>
      <c r="H31" s="127"/>
      <c r="I31" s="127"/>
    </row>
    <row r="32" spans="1:17" x14ac:dyDescent="0.25">
      <c r="A32" s="118">
        <f ca="1">'0.ArdiData'!C32</f>
        <v>7448</v>
      </c>
      <c r="B32" s="119">
        <v>30</v>
      </c>
      <c r="C32" s="295">
        <v>20</v>
      </c>
      <c r="D32" s="297">
        <f t="shared" si="0"/>
        <v>31.727971188475387</v>
      </c>
      <c r="E32" s="120">
        <f t="shared" si="1"/>
        <v>137.54530819770878</v>
      </c>
      <c r="F32" s="298">
        <f t="shared" si="2"/>
        <v>97.614399999999975</v>
      </c>
      <c r="G32" s="127"/>
      <c r="H32" s="127"/>
      <c r="I32" s="127"/>
    </row>
    <row r="33" spans="1:9" x14ac:dyDescent="0.25">
      <c r="A33" s="118">
        <f ca="1">'0.ArdiData'!C33</f>
        <v>7776</v>
      </c>
      <c r="B33" s="119">
        <v>31</v>
      </c>
      <c r="C33" s="295">
        <v>29</v>
      </c>
      <c r="D33" s="297">
        <f t="shared" si="0"/>
        <v>32.138631452581031</v>
      </c>
      <c r="E33" s="120">
        <f t="shared" si="1"/>
        <v>9.8510073951309103</v>
      </c>
      <c r="F33" s="298">
        <f t="shared" si="2"/>
        <v>0.7743999999999982</v>
      </c>
      <c r="G33" s="127"/>
      <c r="H33" s="127"/>
      <c r="I33" s="127"/>
    </row>
    <row r="34" spans="1:9" x14ac:dyDescent="0.25">
      <c r="A34" s="118">
        <f ca="1">'0.ArdiData'!C34</f>
        <v>7666</v>
      </c>
      <c r="B34" s="119">
        <v>32</v>
      </c>
      <c r="C34" s="295">
        <v>78</v>
      </c>
      <c r="D34" s="297">
        <f t="shared" si="0"/>
        <v>32.549291716686668</v>
      </c>
      <c r="E34" s="120">
        <f t="shared" si="1"/>
        <v>2065.7668834548472</v>
      </c>
      <c r="F34" s="298">
        <f t="shared" si="2"/>
        <v>2315.5344000000005</v>
      </c>
      <c r="G34" s="127"/>
      <c r="H34" s="127"/>
      <c r="I34" s="127"/>
    </row>
    <row r="35" spans="1:9" x14ac:dyDescent="0.25">
      <c r="A35" s="118">
        <f ca="1">'0.ArdiData'!C35</f>
        <v>8172</v>
      </c>
      <c r="B35" s="119">
        <v>33</v>
      </c>
      <c r="C35" s="295">
        <v>3</v>
      </c>
      <c r="D35" s="297">
        <f t="shared" si="0"/>
        <v>32.959951980792312</v>
      </c>
      <c r="E35" s="120">
        <f t="shared" ref="E35:E52" si="3">(C35-D35)^2</f>
        <v>897.59872269138111</v>
      </c>
      <c r="F35" s="298">
        <f t="shared" ref="F35:F52" si="4">(C35-$G$2)^2</f>
        <v>722.53439999999989</v>
      </c>
      <c r="G35" s="127"/>
      <c r="H35" s="127"/>
      <c r="I35" s="127"/>
    </row>
    <row r="36" spans="1:9" x14ac:dyDescent="0.25">
      <c r="A36" s="118">
        <f ca="1">'0.ArdiData'!C36</f>
        <v>8499</v>
      </c>
      <c r="B36" s="119">
        <v>34</v>
      </c>
      <c r="C36" s="295">
        <v>31</v>
      </c>
      <c r="D36" s="297">
        <f t="shared" si="0"/>
        <v>33.370612244897956</v>
      </c>
      <c r="E36" s="120">
        <f t="shared" si="3"/>
        <v>5.619802415660125</v>
      </c>
      <c r="F36" s="298">
        <f t="shared" si="4"/>
        <v>1.2544000000000022</v>
      </c>
      <c r="G36" s="127"/>
      <c r="H36" s="127"/>
      <c r="I36" s="127"/>
    </row>
    <row r="37" spans="1:9" x14ac:dyDescent="0.25">
      <c r="A37" s="118">
        <f ca="1">'0.ArdiData'!C37</f>
        <v>9681</v>
      </c>
      <c r="B37" s="119">
        <v>35</v>
      </c>
      <c r="C37" s="295">
        <v>12</v>
      </c>
      <c r="D37" s="297">
        <f t="shared" si="0"/>
        <v>33.7812725090036</v>
      </c>
      <c r="E37" s="120">
        <f t="shared" si="3"/>
        <v>474.42383211147597</v>
      </c>
      <c r="F37" s="298">
        <f t="shared" si="4"/>
        <v>319.69439999999997</v>
      </c>
      <c r="G37" s="127"/>
      <c r="H37" s="127"/>
      <c r="I37" s="127"/>
    </row>
    <row r="38" spans="1:9" x14ac:dyDescent="0.25">
      <c r="A38" s="118">
        <f ca="1">'0.ArdiData'!C38</f>
        <v>10025</v>
      </c>
      <c r="B38" s="119">
        <v>36</v>
      </c>
      <c r="C38" s="295">
        <v>55</v>
      </c>
      <c r="D38" s="297">
        <f t="shared" si="0"/>
        <v>34.191932773109244</v>
      </c>
      <c r="E38" s="120">
        <f t="shared" si="3"/>
        <v>432.97566171880516</v>
      </c>
      <c r="F38" s="298">
        <f t="shared" si="4"/>
        <v>631.01440000000002</v>
      </c>
      <c r="G38" s="127"/>
      <c r="H38" s="127"/>
      <c r="I38" s="127"/>
    </row>
    <row r="39" spans="1:9" x14ac:dyDescent="0.25">
      <c r="A39" s="118">
        <f ca="1">'0.ArdiData'!C39</f>
        <v>9869</v>
      </c>
      <c r="B39" s="119">
        <v>37</v>
      </c>
      <c r="C39" s="295">
        <v>20</v>
      </c>
      <c r="D39" s="297">
        <f t="shared" si="0"/>
        <v>34.602593037214881</v>
      </c>
      <c r="E39" s="120">
        <f t="shared" si="3"/>
        <v>213.2357234105165</v>
      </c>
      <c r="F39" s="298">
        <f t="shared" si="4"/>
        <v>97.614399999999975</v>
      </c>
      <c r="G39" s="127"/>
      <c r="H39" s="127"/>
      <c r="I39" s="127"/>
    </row>
    <row r="40" spans="1:9" x14ac:dyDescent="0.25">
      <c r="A40" s="118">
        <f ca="1">'0.ArdiData'!C40</f>
        <v>9894</v>
      </c>
      <c r="B40" s="119">
        <v>38</v>
      </c>
      <c r="C40" s="295">
        <v>6</v>
      </c>
      <c r="D40" s="297">
        <f t="shared" si="0"/>
        <v>35.013253301320525</v>
      </c>
      <c r="E40" s="120">
        <f t="shared" si="3"/>
        <v>841.76886712658631</v>
      </c>
      <c r="F40" s="298">
        <f t="shared" si="4"/>
        <v>570.25439999999992</v>
      </c>
      <c r="G40" s="127"/>
      <c r="H40" s="127"/>
      <c r="I40" s="127"/>
    </row>
    <row r="41" spans="1:9" x14ac:dyDescent="0.25">
      <c r="A41" s="118">
        <f ca="1">'0.ArdiData'!C41</f>
        <v>9953</v>
      </c>
      <c r="B41" s="119">
        <v>39</v>
      </c>
      <c r="C41" s="295">
        <v>59</v>
      </c>
      <c r="D41" s="297">
        <f t="shared" si="0"/>
        <v>35.423913565426162</v>
      </c>
      <c r="E41" s="120">
        <f t="shared" si="3"/>
        <v>555.83185157049661</v>
      </c>
      <c r="F41" s="298">
        <f t="shared" si="4"/>
        <v>847.97440000000006</v>
      </c>
      <c r="G41" s="127"/>
      <c r="H41" s="127"/>
      <c r="I41" s="127"/>
    </row>
    <row r="42" spans="1:9" x14ac:dyDescent="0.25">
      <c r="A42" s="118">
        <f ca="1">'0.ArdiData'!C42</f>
        <v>10452</v>
      </c>
      <c r="B42" s="119">
        <v>40</v>
      </c>
      <c r="C42" s="295">
        <v>51</v>
      </c>
      <c r="D42" s="297">
        <f t="shared" si="0"/>
        <v>35.834573829531806</v>
      </c>
      <c r="E42" s="120">
        <f t="shared" si="3"/>
        <v>229.99015093192159</v>
      </c>
      <c r="F42" s="298">
        <f t="shared" si="4"/>
        <v>446.05440000000004</v>
      </c>
      <c r="G42" s="127"/>
      <c r="H42" s="127"/>
      <c r="I42" s="127"/>
    </row>
    <row r="43" spans="1:9" x14ac:dyDescent="0.25">
      <c r="A43" s="118">
        <f ca="1">'0.ArdiData'!C43</f>
        <v>10089</v>
      </c>
      <c r="B43" s="119">
        <v>41</v>
      </c>
      <c r="C43" s="295">
        <v>2</v>
      </c>
      <c r="D43" s="297">
        <f t="shared" si="0"/>
        <v>36.24523409363745</v>
      </c>
      <c r="E43" s="120">
        <f t="shared" si="3"/>
        <v>1172.7360581280288</v>
      </c>
      <c r="F43" s="298">
        <f t="shared" si="4"/>
        <v>777.2944</v>
      </c>
      <c r="G43" s="127"/>
      <c r="H43" s="127"/>
      <c r="I43" s="127"/>
    </row>
    <row r="44" spans="1:9" x14ac:dyDescent="0.25">
      <c r="A44" s="118">
        <f ca="1">'0.ArdiData'!C44</f>
        <v>11505</v>
      </c>
      <c r="B44" s="119">
        <v>42</v>
      </c>
      <c r="C44" s="295">
        <v>67</v>
      </c>
      <c r="D44" s="297">
        <f t="shared" si="0"/>
        <v>36.655894357743094</v>
      </c>
      <c r="E44" s="120">
        <f t="shared" si="3"/>
        <v>920.76474722844739</v>
      </c>
      <c r="F44" s="298">
        <f t="shared" si="4"/>
        <v>1377.8944000000004</v>
      </c>
      <c r="G44" s="127"/>
      <c r="H44" s="127"/>
      <c r="I44" s="127"/>
    </row>
    <row r="45" spans="1:9" x14ac:dyDescent="0.25">
      <c r="A45" s="118">
        <f ca="1">'0.ArdiData'!C45</f>
        <v>11048</v>
      </c>
      <c r="B45" s="119">
        <v>43</v>
      </c>
      <c r="C45" s="295">
        <v>65</v>
      </c>
      <c r="D45" s="297">
        <f t="shared" si="0"/>
        <v>37.066554621848738</v>
      </c>
      <c r="E45" s="120">
        <f t="shared" si="3"/>
        <v>780.27737069416014</v>
      </c>
      <c r="F45" s="298">
        <f t="shared" si="4"/>
        <v>1233.4144000000003</v>
      </c>
      <c r="G45" s="127"/>
      <c r="H45" s="127"/>
      <c r="I45" s="127"/>
    </row>
    <row r="46" spans="1:9" x14ac:dyDescent="0.25">
      <c r="A46" s="118">
        <f ca="1">'0.ArdiData'!C46</f>
        <v>11086</v>
      </c>
      <c r="B46" s="119">
        <v>44</v>
      </c>
      <c r="C46" s="295">
        <v>43</v>
      </c>
      <c r="D46" s="297">
        <f t="shared" si="0"/>
        <v>37.477214885954382</v>
      </c>
      <c r="E46" s="120">
        <f t="shared" si="3"/>
        <v>30.501155415923872</v>
      </c>
      <c r="F46" s="298">
        <f t="shared" si="4"/>
        <v>172.13440000000003</v>
      </c>
      <c r="G46" s="127"/>
      <c r="H46" s="127"/>
      <c r="I46" s="127"/>
    </row>
    <row r="47" spans="1:9" x14ac:dyDescent="0.25">
      <c r="A47" s="118">
        <f ca="1">'0.ArdiData'!C47</f>
        <v>11592</v>
      </c>
      <c r="B47" s="119">
        <v>45</v>
      </c>
      <c r="C47" s="295">
        <v>27</v>
      </c>
      <c r="D47" s="297">
        <f t="shared" si="0"/>
        <v>37.887875150060019</v>
      </c>
      <c r="E47" s="120">
        <f t="shared" si="3"/>
        <v>118.54582528329448</v>
      </c>
      <c r="F47" s="298">
        <f t="shared" si="4"/>
        <v>8.2943999999999942</v>
      </c>
      <c r="G47" s="127"/>
      <c r="H47" s="127"/>
      <c r="I47" s="127"/>
    </row>
    <row r="48" spans="1:9" x14ac:dyDescent="0.25">
      <c r="A48" s="118">
        <f ca="1">'0.ArdiData'!C48</f>
        <v>11992</v>
      </c>
      <c r="B48" s="119">
        <v>46</v>
      </c>
      <c r="C48" s="295">
        <v>31</v>
      </c>
      <c r="D48" s="297">
        <f t="shared" si="0"/>
        <v>38.298535414165663</v>
      </c>
      <c r="E48" s="120">
        <f t="shared" si="3"/>
        <v>53.268619191830346</v>
      </c>
      <c r="F48" s="298">
        <f t="shared" si="4"/>
        <v>1.2544000000000022</v>
      </c>
      <c r="G48" s="127"/>
      <c r="H48" s="127"/>
      <c r="I48" s="127"/>
    </row>
    <row r="49" spans="1:10" x14ac:dyDescent="0.25">
      <c r="A49" s="118">
        <f ca="1">'0.ArdiData'!C49</f>
        <v>10588</v>
      </c>
      <c r="B49" s="119">
        <v>47</v>
      </c>
      <c r="C49" s="295">
        <v>43</v>
      </c>
      <c r="D49" s="297">
        <f t="shared" si="0"/>
        <v>38.7091956782713</v>
      </c>
      <c r="E49" s="120">
        <f t="shared" si="3"/>
        <v>18.41100172736569</v>
      </c>
      <c r="F49" s="298">
        <f t="shared" si="4"/>
        <v>172.13440000000003</v>
      </c>
      <c r="G49" s="127"/>
      <c r="H49" s="127"/>
      <c r="I49" s="127"/>
    </row>
    <row r="50" spans="1:10" x14ac:dyDescent="0.25">
      <c r="A50" s="118">
        <f ca="1">'0.ArdiData'!C50</f>
        <v>10988</v>
      </c>
      <c r="B50" s="119">
        <v>48</v>
      </c>
      <c r="C50" s="295">
        <v>15</v>
      </c>
      <c r="D50" s="297">
        <f t="shared" si="0"/>
        <v>39.119855942376944</v>
      </c>
      <c r="E50" s="120">
        <f t="shared" si="3"/>
        <v>581.76745068101638</v>
      </c>
      <c r="F50" s="298">
        <f t="shared" si="4"/>
        <v>221.41439999999997</v>
      </c>
      <c r="G50" s="127"/>
      <c r="H50" s="127"/>
      <c r="I50" s="127"/>
    </row>
    <row r="51" spans="1:10" x14ac:dyDescent="0.25">
      <c r="A51" s="118">
        <f ca="1">'0.ArdiData'!C51</f>
        <v>12263</v>
      </c>
      <c r="B51" s="119">
        <v>49</v>
      </c>
      <c r="C51" s="295">
        <v>37</v>
      </c>
      <c r="D51" s="297">
        <f t="shared" si="0"/>
        <v>39.530516206482588</v>
      </c>
      <c r="E51" s="120">
        <f t="shared" si="3"/>
        <v>6.4035122712710271</v>
      </c>
      <c r="F51" s="298">
        <f t="shared" si="4"/>
        <v>50.694400000000016</v>
      </c>
      <c r="G51" s="127"/>
      <c r="H51" s="127"/>
      <c r="I51" s="127"/>
    </row>
    <row r="52" spans="1:10" ht="15.75" thickBot="1" x14ac:dyDescent="0.3">
      <c r="A52" s="121">
        <f ca="1">'0.ArdiData'!C52</f>
        <v>12243</v>
      </c>
      <c r="B52" s="122">
        <v>50</v>
      </c>
      <c r="C52" s="296">
        <v>36</v>
      </c>
      <c r="D52" s="297">
        <f t="shared" si="0"/>
        <v>39.941176470588232</v>
      </c>
      <c r="E52" s="123">
        <f t="shared" si="3"/>
        <v>15.532871972318313</v>
      </c>
      <c r="F52" s="299">
        <f t="shared" si="4"/>
        <v>37.454400000000014</v>
      </c>
      <c r="G52" s="127"/>
      <c r="H52" s="127"/>
      <c r="I52" s="127"/>
    </row>
    <row r="53" spans="1:10" ht="15.75" customHeight="1" x14ac:dyDescent="0.25">
      <c r="B53" s="90">
        <v>51</v>
      </c>
      <c r="G53" s="128"/>
      <c r="H53" s="128"/>
      <c r="I53" s="128"/>
      <c r="J53" s="126">
        <f>1-H2/I2</f>
        <v>0.10432856498826781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76"/>
  <sheetViews>
    <sheetView workbookViewId="0">
      <selection activeCell="I12" sqref="I12"/>
    </sheetView>
  </sheetViews>
  <sheetFormatPr defaultRowHeight="12.75" x14ac:dyDescent="0.2"/>
  <cols>
    <col min="1" max="1" width="4" style="25" customWidth="1"/>
    <col min="2" max="2" width="8.140625" style="25" bestFit="1" customWidth="1"/>
    <col min="3" max="5" width="9.140625" style="25"/>
    <col min="6" max="6" width="5.42578125" style="25" customWidth="1"/>
    <col min="7" max="9" width="9.140625" style="25"/>
    <col min="10" max="10" width="10.28515625" style="25" customWidth="1"/>
    <col min="11" max="16384" width="9.140625" style="25"/>
  </cols>
  <sheetData>
    <row r="1" spans="1:10" x14ac:dyDescent="0.2">
      <c r="A1" s="24" t="str">
        <f>[1]ArdiData!A2</f>
        <v>Per.</v>
      </c>
      <c r="B1" s="41" t="str">
        <f>[1]ArdiData!D2</f>
        <v>Trend&amp;S</v>
      </c>
      <c r="H1" s="25">
        <v>1</v>
      </c>
      <c r="I1" s="153">
        <f ca="1">AVERAGEIF($F$4:$F$76,"="&amp;H1,$E$4:$E$76)</f>
        <v>0.87821347551795381</v>
      </c>
      <c r="J1" s="25">
        <f ca="1">I1/$I$6</f>
        <v>0.87722224501828061</v>
      </c>
    </row>
    <row r="2" spans="1:10" x14ac:dyDescent="0.2">
      <c r="A2" s="24">
        <f>[1]ArdiData!A3</f>
        <v>1</v>
      </c>
      <c r="B2" s="41">
        <f ca="1">'0.ArdiData&amp;FixedData'!D3</f>
        <v>2013</v>
      </c>
      <c r="D2" s="153"/>
      <c r="E2" s="153"/>
      <c r="F2" s="153"/>
      <c r="H2" s="25">
        <v>2</v>
      </c>
      <c r="I2" s="153">
        <f ca="1">AVERAGEIF($F$4:$F$76,"="&amp;H2,$E$4:$E$76)</f>
        <v>0.90623639557752433</v>
      </c>
      <c r="J2" s="25">
        <f ca="1">I2/$I$6</f>
        <v>0.9052135358967609</v>
      </c>
    </row>
    <row r="3" spans="1:10" x14ac:dyDescent="0.2">
      <c r="A3" s="24">
        <f>[1]ArdiData!A4</f>
        <v>2</v>
      </c>
      <c r="B3" s="41">
        <f ca="1">'0.ArdiData&amp;FixedData'!D4</f>
        <v>2388</v>
      </c>
      <c r="D3" s="153"/>
      <c r="E3" s="153"/>
      <c r="F3" s="153"/>
      <c r="H3" s="25">
        <v>3</v>
      </c>
      <c r="I3" s="153">
        <f ca="1">AVERAGEIF($F$4:$F$76,"="&amp;H3,$E$4:$E$76)</f>
        <v>1.0026267266410542</v>
      </c>
      <c r="J3" s="25">
        <f ca="1">I3/$I$6</f>
        <v>1.0014950721869387</v>
      </c>
    </row>
    <row r="4" spans="1:10" x14ac:dyDescent="0.2">
      <c r="A4" s="24">
        <f>[1]ArdiData!A5</f>
        <v>3</v>
      </c>
      <c r="B4" s="41">
        <f ca="1">'0.ArdiData&amp;FixedData'!D5</f>
        <v>2551</v>
      </c>
      <c r="C4" s="144">
        <f t="shared" ref="C4" ca="1" si="0">AVERAGE(B2:B6)</f>
        <v>2675.6</v>
      </c>
      <c r="D4" s="153">
        <f t="shared" ref="D4:D35" ca="1" si="1">TREND($C$4:$C$76,$A$4:$A$76,A4)</f>
        <v>2490.1778847340502</v>
      </c>
      <c r="E4" s="153">
        <f t="shared" ref="E4:E35" ca="1" si="2">B4/D4</f>
        <v>1.024424807415895</v>
      </c>
      <c r="F4" s="152">
        <f t="shared" ref="F4:F35" si="3">IF(MOD(A4,5)&lt;&gt;0,MOD(A4,5),5)</f>
        <v>3</v>
      </c>
      <c r="G4" s="25">
        <f t="shared" ref="G4:G35" ca="1" si="4">VLOOKUP(F4,$H$1:$J$5,3)*D4</f>
        <v>2493.9008804300456</v>
      </c>
      <c r="H4" s="25">
        <v>4</v>
      </c>
      <c r="I4" s="153">
        <f ca="1">AVERAGEIF($F$4:$F$76,"="&amp;H4,$E$4:$E$76)</f>
        <v>1.0529028905600373</v>
      </c>
      <c r="J4" s="25">
        <f ca="1">I4/$I$6</f>
        <v>1.051714489917811</v>
      </c>
    </row>
    <row r="5" spans="1:10" x14ac:dyDescent="0.2">
      <c r="A5" s="24">
        <f>[1]ArdiData!A6</f>
        <v>4</v>
      </c>
      <c r="B5" s="41">
        <f ca="1">'0.ArdiData&amp;FixedData'!D6</f>
        <v>2695</v>
      </c>
      <c r="C5" s="144">
        <f t="shared" ref="C5:C36" ca="1" si="5">AVERAGE(B3:B7)</f>
        <v>2779.2</v>
      </c>
      <c r="D5" s="153">
        <f t="shared" ca="1" si="1"/>
        <v>2627.841956682711</v>
      </c>
      <c r="E5" s="153">
        <f t="shared" ca="1" si="2"/>
        <v>1.0255563479175387</v>
      </c>
      <c r="F5" s="152">
        <f t="shared" si="3"/>
        <v>4</v>
      </c>
      <c r="G5" s="25">
        <f t="shared" ca="1" si="4"/>
        <v>2763.7394630571798</v>
      </c>
      <c r="H5" s="25">
        <v>5</v>
      </c>
      <c r="I5" s="153">
        <f ca="1">AVERAGEIF($F$4:$F$76,"="&amp;H5,$E$4:$E$76)</f>
        <v>1.1656703370772312</v>
      </c>
      <c r="J5" s="25">
        <f ca="1">I5/$I$6</f>
        <v>1.1643546569802095</v>
      </c>
    </row>
    <row r="6" spans="1:10" x14ac:dyDescent="0.2">
      <c r="A6" s="24">
        <f>[1]ArdiData!A7</f>
        <v>5</v>
      </c>
      <c r="B6" s="41">
        <f ca="1">'0.ArdiData&amp;FixedData'!D7</f>
        <v>3731</v>
      </c>
      <c r="C6" s="144">
        <f t="shared" ca="1" si="5"/>
        <v>2872.8</v>
      </c>
      <c r="D6" s="153">
        <f t="shared" ca="1" si="1"/>
        <v>2765.5060286313719</v>
      </c>
      <c r="E6" s="153">
        <f t="shared" ca="1" si="2"/>
        <v>1.3491201832043895</v>
      </c>
      <c r="F6" s="152">
        <f t="shared" si="3"/>
        <v>5</v>
      </c>
      <c r="G6" s="25">
        <f t="shared" ca="1" si="4"/>
        <v>3220.0298233437825</v>
      </c>
      <c r="I6" s="154">
        <f ca="1">AVERAGE(I1:I5)</f>
        <v>1.00112996507476</v>
      </c>
      <c r="J6" s="154">
        <f ca="1">AVERAGE(J1:J5)</f>
        <v>1</v>
      </c>
    </row>
    <row r="7" spans="1:10" x14ac:dyDescent="0.2">
      <c r="A7" s="24">
        <f>[1]ArdiData!A8</f>
        <v>6</v>
      </c>
      <c r="B7" s="41">
        <f ca="1">'0.ArdiData&amp;FixedData'!D8</f>
        <v>2531</v>
      </c>
      <c r="C7" s="144">
        <f t="shared" ca="1" si="5"/>
        <v>2986.4</v>
      </c>
      <c r="D7" s="153">
        <f t="shared" ca="1" si="1"/>
        <v>2903.1701005800328</v>
      </c>
      <c r="E7" s="153">
        <f t="shared" ca="1" si="2"/>
        <v>0.87180561672715084</v>
      </c>
      <c r="F7" s="152">
        <f t="shared" si="3"/>
        <v>1</v>
      </c>
      <c r="G7" s="25">
        <f t="shared" ca="1" si="4"/>
        <v>2546.7253933007637</v>
      </c>
    </row>
    <row r="8" spans="1:10" x14ac:dyDescent="0.2">
      <c r="A8" s="24">
        <f>[1]ArdiData!A9</f>
        <v>7</v>
      </c>
      <c r="B8" s="41">
        <f ca="1">'0.ArdiData&amp;FixedData'!D9</f>
        <v>2856</v>
      </c>
      <c r="C8" s="144">
        <f t="shared" ca="1" si="5"/>
        <v>3265.4</v>
      </c>
      <c r="D8" s="153">
        <f t="shared" ca="1" si="1"/>
        <v>3040.8341725286937</v>
      </c>
      <c r="E8" s="153">
        <f t="shared" ca="1" si="2"/>
        <v>0.939215964422358</v>
      </c>
      <c r="F8" s="152">
        <f t="shared" si="3"/>
        <v>2</v>
      </c>
      <c r="G8" s="25">
        <f t="shared" ca="1" si="4"/>
        <v>2752.6042533903997</v>
      </c>
    </row>
    <row r="9" spans="1:10" x14ac:dyDescent="0.2">
      <c r="A9" s="24">
        <f>[1]ArdiData!A10</f>
        <v>8</v>
      </c>
      <c r="B9" s="41">
        <f ca="1">'0.ArdiData&amp;FixedData'!D10</f>
        <v>3119</v>
      </c>
      <c r="C9" s="144">
        <f t="shared" ca="1" si="5"/>
        <v>3309.8</v>
      </c>
      <c r="D9" s="153">
        <f t="shared" ca="1" si="1"/>
        <v>3178.498244477355</v>
      </c>
      <c r="E9" s="153">
        <f t="shared" ca="1" si="2"/>
        <v>0.98128102018595309</v>
      </c>
      <c r="F9" s="152">
        <f t="shared" si="3"/>
        <v>3</v>
      </c>
      <c r="G9" s="25">
        <f t="shared" ca="1" si="4"/>
        <v>3183.2503287989066</v>
      </c>
    </row>
    <row r="10" spans="1:10" x14ac:dyDescent="0.2">
      <c r="A10" s="24">
        <f>[1]ArdiData!A11</f>
        <v>9</v>
      </c>
      <c r="B10" s="41">
        <f ca="1">'0.ArdiData&amp;FixedData'!D11</f>
        <v>4090</v>
      </c>
      <c r="C10" s="144">
        <f t="shared" ca="1" si="5"/>
        <v>3431.8</v>
      </c>
      <c r="D10" s="153">
        <f t="shared" ca="1" si="1"/>
        <v>3316.1623164260154</v>
      </c>
      <c r="E10" s="153">
        <f t="shared" ca="1" si="2"/>
        <v>1.2333533795197293</v>
      </c>
      <c r="F10" s="152">
        <f t="shared" si="3"/>
        <v>4</v>
      </c>
      <c r="G10" s="25">
        <f t="shared" ca="1" si="4"/>
        <v>3487.6559591046534</v>
      </c>
    </row>
    <row r="11" spans="1:10" x14ac:dyDescent="0.2">
      <c r="A11" s="24">
        <f>[1]ArdiData!A12</f>
        <v>10</v>
      </c>
      <c r="B11" s="41">
        <f ca="1">'0.ArdiData&amp;FixedData'!D12</f>
        <v>3953</v>
      </c>
      <c r="C11" s="144">
        <f t="shared" ca="1" si="5"/>
        <v>3536.4</v>
      </c>
      <c r="D11" s="153">
        <f t="shared" ca="1" si="1"/>
        <v>3453.8263883746768</v>
      </c>
      <c r="E11" s="153">
        <f t="shared" ca="1" si="2"/>
        <v>1.1445277079663021</v>
      </c>
      <c r="F11" s="152">
        <f t="shared" si="3"/>
        <v>5</v>
      </c>
      <c r="G11" s="25">
        <f t="shared" ca="1" si="4"/>
        <v>4021.4788397051925</v>
      </c>
    </row>
    <row r="12" spans="1:10" x14ac:dyDescent="0.2">
      <c r="A12" s="24">
        <f>[1]ArdiData!A13</f>
        <v>11</v>
      </c>
      <c r="B12" s="41">
        <f ca="1">'0.ArdiData&amp;FixedData'!D13</f>
        <v>3141</v>
      </c>
      <c r="C12" s="144">
        <f t="shared" ca="1" si="5"/>
        <v>3683.8</v>
      </c>
      <c r="D12" s="153">
        <f t="shared" ca="1" si="1"/>
        <v>3591.4904603233376</v>
      </c>
      <c r="E12" s="153">
        <f t="shared" ca="1" si="2"/>
        <v>0.87456726801864304</v>
      </c>
      <c r="F12" s="152">
        <f t="shared" si="3"/>
        <v>1</v>
      </c>
      <c r="G12" s="25">
        <f t="shared" ca="1" si="4"/>
        <v>3150.5353245665765</v>
      </c>
    </row>
    <row r="13" spans="1:10" x14ac:dyDescent="0.2">
      <c r="A13" s="24">
        <f>[1]ArdiData!A14</f>
        <v>12</v>
      </c>
      <c r="B13" s="41">
        <f ca="1">'0.ArdiData&amp;FixedData'!D14</f>
        <v>3379</v>
      </c>
      <c r="C13" s="144">
        <f t="shared" ca="1" si="5"/>
        <v>3769</v>
      </c>
      <c r="D13" s="153">
        <f t="shared" ca="1" si="1"/>
        <v>3729.1545322719985</v>
      </c>
      <c r="E13" s="153">
        <f t="shared" ca="1" si="2"/>
        <v>0.90610350704381626</v>
      </c>
      <c r="F13" s="152">
        <f t="shared" si="3"/>
        <v>2</v>
      </c>
      <c r="G13" s="25">
        <f t="shared" ca="1" si="4"/>
        <v>3375.6811600633673</v>
      </c>
    </row>
    <row r="14" spans="1:10" x14ac:dyDescent="0.2">
      <c r="A14" s="24">
        <f>[1]ArdiData!A15</f>
        <v>13</v>
      </c>
      <c r="B14" s="41">
        <f ca="1">'0.ArdiData&amp;FixedData'!D15</f>
        <v>3856</v>
      </c>
      <c r="C14" s="144">
        <f t="shared" ca="1" si="5"/>
        <v>3965.4</v>
      </c>
      <c r="D14" s="153">
        <f t="shared" ca="1" si="1"/>
        <v>3866.8186042206598</v>
      </c>
      <c r="E14" s="153">
        <f t="shared" ca="1" si="2"/>
        <v>0.9972021950528398</v>
      </c>
      <c r="F14" s="152">
        <f t="shared" si="3"/>
        <v>3</v>
      </c>
      <c r="G14" s="25">
        <f t="shared" ca="1" si="4"/>
        <v>3872.5997771677671</v>
      </c>
    </row>
    <row r="15" spans="1:10" x14ac:dyDescent="0.2">
      <c r="A15" s="24">
        <f>[1]ArdiData!A16</f>
        <v>14</v>
      </c>
      <c r="B15" s="41">
        <f ca="1">'0.ArdiData&amp;FixedData'!D16</f>
        <v>4516</v>
      </c>
      <c r="C15" s="144">
        <f t="shared" ca="1" si="5"/>
        <v>4088.2</v>
      </c>
      <c r="D15" s="153">
        <f t="shared" ca="1" si="1"/>
        <v>4004.4826761693203</v>
      </c>
      <c r="E15" s="153">
        <f t="shared" ca="1" si="2"/>
        <v>1.1277361809740669</v>
      </c>
      <c r="F15" s="152">
        <f t="shared" si="3"/>
        <v>4</v>
      </c>
      <c r="G15" s="25">
        <f t="shared" ca="1" si="4"/>
        <v>4211.5724551521271</v>
      </c>
    </row>
    <row r="16" spans="1:10" x14ac:dyDescent="0.2">
      <c r="A16" s="24">
        <f>[1]ArdiData!A17</f>
        <v>15</v>
      </c>
      <c r="B16" s="41">
        <f ca="1">'0.ArdiData&amp;FixedData'!D17</f>
        <v>4935</v>
      </c>
      <c r="C16" s="144">
        <f t="shared" ca="1" si="5"/>
        <v>4236.8</v>
      </c>
      <c r="D16" s="153">
        <f t="shared" ca="1" si="1"/>
        <v>4142.1467481179816</v>
      </c>
      <c r="E16" s="153">
        <f t="shared" ca="1" si="2"/>
        <v>1.1914111933002514</v>
      </c>
      <c r="F16" s="152">
        <f t="shared" si="3"/>
        <v>5</v>
      </c>
      <c r="G16" s="25">
        <f t="shared" ca="1" si="4"/>
        <v>4822.9278560666025</v>
      </c>
    </row>
    <row r="17" spans="1:7" x14ac:dyDescent="0.2">
      <c r="A17" s="24">
        <f>[1]ArdiData!A18</f>
        <v>16</v>
      </c>
      <c r="B17" s="41">
        <f ca="1">'0.ArdiData&amp;FixedData'!D18</f>
        <v>3755</v>
      </c>
      <c r="C17" s="144">
        <f t="shared" ca="1" si="5"/>
        <v>4373.2</v>
      </c>
      <c r="D17" s="153">
        <f t="shared" ca="1" si="1"/>
        <v>4279.8108200666429</v>
      </c>
      <c r="E17" s="153">
        <f t="shared" ca="1" si="2"/>
        <v>0.87737522938958534</v>
      </c>
      <c r="F17" s="152">
        <f t="shared" si="3"/>
        <v>1</v>
      </c>
      <c r="G17" s="25">
        <f t="shared" ca="1" si="4"/>
        <v>3754.3452558323893</v>
      </c>
    </row>
    <row r="18" spans="1:7" x14ac:dyDescent="0.2">
      <c r="A18" s="24">
        <f>[1]ArdiData!A19</f>
        <v>17</v>
      </c>
      <c r="B18" s="41">
        <f ca="1">'0.ArdiData&amp;FixedData'!D19</f>
        <v>4122</v>
      </c>
      <c r="C18" s="144">
        <f t="shared" ca="1" si="5"/>
        <v>4303.3999999999996</v>
      </c>
      <c r="D18" s="153">
        <f t="shared" ca="1" si="1"/>
        <v>4417.4748920153033</v>
      </c>
      <c r="E18" s="153">
        <f t="shared" ca="1" si="2"/>
        <v>0.9331122645316261</v>
      </c>
      <c r="F18" s="152">
        <f t="shared" si="3"/>
        <v>2</v>
      </c>
      <c r="G18" s="25">
        <f t="shared" ca="1" si="4"/>
        <v>3998.758066736335</v>
      </c>
    </row>
    <row r="19" spans="1:7" x14ac:dyDescent="0.2">
      <c r="A19" s="24">
        <f>[1]ArdiData!A20</f>
        <v>18</v>
      </c>
      <c r="B19" s="41">
        <f ca="1">'0.ArdiData&amp;FixedData'!D20</f>
        <v>4538</v>
      </c>
      <c r="C19" s="144">
        <f t="shared" ca="1" si="5"/>
        <v>4472.8</v>
      </c>
      <c r="D19" s="153">
        <f t="shared" ca="1" si="1"/>
        <v>4555.1389639639638</v>
      </c>
      <c r="E19" s="153">
        <f t="shared" ca="1" si="2"/>
        <v>0.99623744432397099</v>
      </c>
      <c r="F19" s="152">
        <f t="shared" si="3"/>
        <v>3</v>
      </c>
      <c r="G19" s="25">
        <f t="shared" ca="1" si="4"/>
        <v>4561.9492255366267</v>
      </c>
    </row>
    <row r="20" spans="1:7" x14ac:dyDescent="0.2">
      <c r="A20" s="24">
        <f>[1]ArdiData!A21</f>
        <v>19</v>
      </c>
      <c r="B20" s="41">
        <f ca="1">'0.ArdiData&amp;FixedData'!D21</f>
        <v>4167</v>
      </c>
      <c r="C20" s="144">
        <f t="shared" ca="1" si="5"/>
        <v>4552.8</v>
      </c>
      <c r="D20" s="153">
        <f t="shared" ca="1" si="1"/>
        <v>4692.803035912626</v>
      </c>
      <c r="E20" s="153">
        <f t="shared" ca="1" si="2"/>
        <v>0.88795544328436293</v>
      </c>
      <c r="F20" s="152">
        <f t="shared" si="3"/>
        <v>4</v>
      </c>
      <c r="G20" s="25">
        <f t="shared" ca="1" si="4"/>
        <v>4935.4889511996025</v>
      </c>
    </row>
    <row r="21" spans="1:7" x14ac:dyDescent="0.2">
      <c r="A21" s="24">
        <f>[1]ArdiData!A22</f>
        <v>20</v>
      </c>
      <c r="B21" s="41">
        <f ca="1">'0.ArdiData&amp;FixedData'!D22</f>
        <v>5782</v>
      </c>
      <c r="C21" s="144">
        <f t="shared" ca="1" si="5"/>
        <v>4655</v>
      </c>
      <c r="D21" s="153">
        <f t="shared" ca="1" si="1"/>
        <v>4830.4671078612864</v>
      </c>
      <c r="E21" s="153">
        <f t="shared" ca="1" si="2"/>
        <v>1.1969856891459114</v>
      </c>
      <c r="F21" s="152">
        <f t="shared" si="3"/>
        <v>5</v>
      </c>
      <c r="G21" s="25">
        <f t="shared" ca="1" si="4"/>
        <v>5624.3768724280126</v>
      </c>
    </row>
    <row r="22" spans="1:7" x14ac:dyDescent="0.2">
      <c r="A22" s="24">
        <f>[1]ArdiData!A23</f>
        <v>21</v>
      </c>
      <c r="B22" s="41">
        <f ca="1">'0.ArdiData&amp;FixedData'!D23</f>
        <v>4155</v>
      </c>
      <c r="C22" s="144">
        <f t="shared" ca="1" si="5"/>
        <v>4905.3999999999996</v>
      </c>
      <c r="D22" s="153">
        <f t="shared" ca="1" si="1"/>
        <v>4968.1311798099468</v>
      </c>
      <c r="E22" s="153">
        <f t="shared" ca="1" si="2"/>
        <v>0.83633057373475939</v>
      </c>
      <c r="F22" s="152">
        <f t="shared" si="3"/>
        <v>1</v>
      </c>
      <c r="G22" s="25">
        <f t="shared" ca="1" si="4"/>
        <v>4358.1551870982012</v>
      </c>
    </row>
    <row r="23" spans="1:7" x14ac:dyDescent="0.2">
      <c r="A23" s="24">
        <f>[1]ArdiData!A24</f>
        <v>22</v>
      </c>
      <c r="B23" s="41">
        <f ca="1">'0.ArdiData&amp;FixedData'!D24</f>
        <v>4633</v>
      </c>
      <c r="C23" s="144">
        <f t="shared" ca="1" si="5"/>
        <v>5142.2</v>
      </c>
      <c r="D23" s="153">
        <f t="shared" ca="1" si="1"/>
        <v>5105.7952517586082</v>
      </c>
      <c r="E23" s="153">
        <f t="shared" ca="1" si="2"/>
        <v>0.90740027195650641</v>
      </c>
      <c r="F23" s="152">
        <f t="shared" si="3"/>
        <v>2</v>
      </c>
      <c r="G23" s="25">
        <f t="shared" ca="1" si="4"/>
        <v>4621.8349734093026</v>
      </c>
    </row>
    <row r="24" spans="1:7" x14ac:dyDescent="0.2">
      <c r="A24" s="24">
        <f>[1]ArdiData!A25</f>
        <v>23</v>
      </c>
      <c r="B24" s="41">
        <f ca="1">'0.ArdiData&amp;FixedData'!D25</f>
        <v>5790</v>
      </c>
      <c r="C24" s="144">
        <f t="shared" ca="1" si="5"/>
        <v>5369.4</v>
      </c>
      <c r="D24" s="153">
        <f t="shared" ca="1" si="1"/>
        <v>5243.4593237072695</v>
      </c>
      <c r="E24" s="153">
        <f t="shared" ca="1" si="2"/>
        <v>1.1042328437300266</v>
      </c>
      <c r="F24" s="152">
        <f t="shared" si="3"/>
        <v>3</v>
      </c>
      <c r="G24" s="25">
        <f t="shared" ca="1" si="4"/>
        <v>5251.2986739054886</v>
      </c>
    </row>
    <row r="25" spans="1:7" x14ac:dyDescent="0.2">
      <c r="A25" s="24">
        <f>[1]ArdiData!A26</f>
        <v>24</v>
      </c>
      <c r="B25" s="41">
        <f ca="1">'0.ArdiData&amp;FixedData'!D26</f>
        <v>5351</v>
      </c>
      <c r="C25" s="144">
        <f t="shared" ca="1" si="5"/>
        <v>5513.4</v>
      </c>
      <c r="D25" s="153">
        <f t="shared" ca="1" si="1"/>
        <v>5381.1233956559299</v>
      </c>
      <c r="E25" s="153">
        <f t="shared" ca="1" si="2"/>
        <v>0.99440202473701911</v>
      </c>
      <c r="F25" s="152">
        <f t="shared" si="3"/>
        <v>4</v>
      </c>
      <c r="G25" s="25">
        <f t="shared" ca="1" si="4"/>
        <v>5659.4054472470752</v>
      </c>
    </row>
    <row r="26" spans="1:7" x14ac:dyDescent="0.2">
      <c r="A26" s="24">
        <f>[1]ArdiData!A27</f>
        <v>25</v>
      </c>
      <c r="B26" s="41">
        <f ca="1">'0.ArdiData&amp;FixedData'!D27</f>
        <v>6918</v>
      </c>
      <c r="C26" s="144">
        <f t="shared" ca="1" si="5"/>
        <v>5677.8</v>
      </c>
      <c r="D26" s="153">
        <f t="shared" ca="1" si="1"/>
        <v>5518.7874676045913</v>
      </c>
      <c r="E26" s="153">
        <f t="shared" ca="1" si="2"/>
        <v>1.2535362234202383</v>
      </c>
      <c r="F26" s="152">
        <f t="shared" si="3"/>
        <v>5</v>
      </c>
      <c r="G26" s="25">
        <f t="shared" ca="1" si="4"/>
        <v>6425.8258887894226</v>
      </c>
    </row>
    <row r="27" spans="1:7" x14ac:dyDescent="0.2">
      <c r="A27" s="24">
        <f>[1]ArdiData!A28</f>
        <v>26</v>
      </c>
      <c r="B27" s="41">
        <f ca="1">'0.ArdiData&amp;FixedData'!D28</f>
        <v>4875</v>
      </c>
      <c r="C27" s="144">
        <f t="shared" ca="1" si="5"/>
        <v>5751.4</v>
      </c>
      <c r="D27" s="153">
        <f t="shared" ca="1" si="1"/>
        <v>5656.4515395532526</v>
      </c>
      <c r="E27" s="153">
        <f t="shared" ca="1" si="2"/>
        <v>0.86184774428121913</v>
      </c>
      <c r="F27" s="152">
        <f t="shared" si="3"/>
        <v>1</v>
      </c>
      <c r="G27" s="25">
        <f t="shared" ca="1" si="4"/>
        <v>4961.9651183640135</v>
      </c>
    </row>
    <row r="28" spans="1:7" x14ac:dyDescent="0.2">
      <c r="A28" s="24">
        <f>[1]ArdiData!A29</f>
        <v>27</v>
      </c>
      <c r="B28" s="41">
        <f ca="1">'0.ArdiData&amp;FixedData'!D29</f>
        <v>5455</v>
      </c>
      <c r="C28" s="144">
        <f t="shared" ca="1" si="5"/>
        <v>5889.4</v>
      </c>
      <c r="D28" s="153">
        <f t="shared" ca="1" si="1"/>
        <v>5794.115611501913</v>
      </c>
      <c r="E28" s="153">
        <f t="shared" ca="1" si="2"/>
        <v>0.94147241197108078</v>
      </c>
      <c r="F28" s="152">
        <f t="shared" si="3"/>
        <v>2</v>
      </c>
      <c r="G28" s="25">
        <f t="shared" ca="1" si="4"/>
        <v>5244.9118800822698</v>
      </c>
    </row>
    <row r="29" spans="1:7" x14ac:dyDescent="0.2">
      <c r="A29" s="24">
        <f>[1]ArdiData!A30</f>
        <v>28</v>
      </c>
      <c r="B29" s="41">
        <f ca="1">'0.ArdiData&amp;FixedData'!D30</f>
        <v>6158</v>
      </c>
      <c r="C29" s="144">
        <f t="shared" ca="1" si="5"/>
        <v>5861.4</v>
      </c>
      <c r="D29" s="153">
        <f t="shared" ca="1" si="1"/>
        <v>5931.7796834505734</v>
      </c>
      <c r="E29" s="153">
        <f t="shared" ca="1" si="2"/>
        <v>1.0381370058602433</v>
      </c>
      <c r="F29" s="152">
        <f t="shared" si="3"/>
        <v>3</v>
      </c>
      <c r="G29" s="25">
        <f t="shared" ca="1" si="4"/>
        <v>5940.6481222743487</v>
      </c>
    </row>
    <row r="30" spans="1:7" x14ac:dyDescent="0.2">
      <c r="A30" s="24">
        <f>[1]ArdiData!A31</f>
        <v>29</v>
      </c>
      <c r="B30" s="41">
        <f ca="1">'0.ArdiData&amp;FixedData'!D31</f>
        <v>6041</v>
      </c>
      <c r="C30" s="144">
        <f t="shared" ca="1" si="5"/>
        <v>6054.4</v>
      </c>
      <c r="D30" s="153">
        <f t="shared" ca="1" si="1"/>
        <v>6069.4437553992348</v>
      </c>
      <c r="E30" s="153">
        <f t="shared" ca="1" si="2"/>
        <v>0.99531361413903341</v>
      </c>
      <c r="F30" s="152">
        <f t="shared" si="3"/>
        <v>4</v>
      </c>
      <c r="G30" s="25">
        <f t="shared" ca="1" si="4"/>
        <v>6383.3219432945498</v>
      </c>
    </row>
    <row r="31" spans="1:7" x14ac:dyDescent="0.2">
      <c r="A31" s="24">
        <f>[1]ArdiData!A32</f>
        <v>30</v>
      </c>
      <c r="B31" s="41">
        <f ca="1">'0.ArdiData&amp;FixedData'!D32</f>
        <v>6778</v>
      </c>
      <c r="C31" s="144">
        <f t="shared" ca="1" si="5"/>
        <v>6113.8</v>
      </c>
      <c r="D31" s="153">
        <f t="shared" ca="1" si="1"/>
        <v>6207.1078273478961</v>
      </c>
      <c r="E31" s="153">
        <f t="shared" ca="1" si="2"/>
        <v>1.0919739415733702</v>
      </c>
      <c r="F31" s="152">
        <f t="shared" si="3"/>
        <v>5</v>
      </c>
      <c r="G31" s="25">
        <f t="shared" ca="1" si="4"/>
        <v>7227.2749051508326</v>
      </c>
    </row>
    <row r="32" spans="1:7" x14ac:dyDescent="0.2">
      <c r="A32" s="24">
        <f>[1]ArdiData!A33</f>
        <v>31</v>
      </c>
      <c r="B32" s="41">
        <f ca="1">'0.ArdiData&amp;FixedData'!D33</f>
        <v>5840</v>
      </c>
      <c r="C32" s="144">
        <f t="shared" ca="1" si="5"/>
        <v>6144.2</v>
      </c>
      <c r="D32" s="153">
        <f t="shared" ca="1" si="1"/>
        <v>6344.7718992965565</v>
      </c>
      <c r="E32" s="153">
        <f t="shared" ca="1" si="2"/>
        <v>0.92044286109757223</v>
      </c>
      <c r="F32" s="152">
        <f t="shared" si="3"/>
        <v>1</v>
      </c>
      <c r="G32" s="25">
        <f t="shared" ca="1" si="4"/>
        <v>5565.7750496298258</v>
      </c>
    </row>
    <row r="33" spans="1:7" x14ac:dyDescent="0.2">
      <c r="A33" s="24">
        <f>[1]ArdiData!A34</f>
        <v>32</v>
      </c>
      <c r="B33" s="41">
        <f ca="1">'0.ArdiData&amp;FixedData'!D34</f>
        <v>5752</v>
      </c>
      <c r="C33" s="144">
        <f t="shared" ca="1" si="5"/>
        <v>6436</v>
      </c>
      <c r="D33" s="153">
        <f t="shared" ca="1" si="1"/>
        <v>6482.4359712452178</v>
      </c>
      <c r="E33" s="153">
        <f t="shared" ca="1" si="2"/>
        <v>0.88732075804754806</v>
      </c>
      <c r="F33" s="152">
        <f t="shared" si="3"/>
        <v>2</v>
      </c>
      <c r="G33" s="25">
        <f t="shared" ca="1" si="4"/>
        <v>5867.988786755237</v>
      </c>
    </row>
    <row r="34" spans="1:7" x14ac:dyDescent="0.2">
      <c r="A34" s="24">
        <f>[1]ArdiData!A35</f>
        <v>33</v>
      </c>
      <c r="B34" s="41">
        <f ca="1">'0.ArdiData&amp;FixedData'!D35</f>
        <v>6310</v>
      </c>
      <c r="C34" s="144">
        <f t="shared" ca="1" si="5"/>
        <v>6637.6</v>
      </c>
      <c r="D34" s="153">
        <f t="shared" ca="1" si="1"/>
        <v>6620.1000431938792</v>
      </c>
      <c r="E34" s="153">
        <f t="shared" ca="1" si="2"/>
        <v>0.9531578010648506</v>
      </c>
      <c r="F34" s="152">
        <f t="shared" si="3"/>
        <v>3</v>
      </c>
      <c r="G34" s="25">
        <f t="shared" ca="1" si="4"/>
        <v>6629.9975706432097</v>
      </c>
    </row>
    <row r="35" spans="1:7" x14ac:dyDescent="0.2">
      <c r="A35" s="24">
        <f>[1]ArdiData!A36</f>
        <v>34</v>
      </c>
      <c r="B35" s="41">
        <f ca="1">'0.ArdiData&amp;FixedData'!D36</f>
        <v>7500</v>
      </c>
      <c r="C35" s="144">
        <f t="shared" ca="1" si="5"/>
        <v>6663.6</v>
      </c>
      <c r="D35" s="153">
        <f t="shared" ca="1" si="1"/>
        <v>6757.7641151425396</v>
      </c>
      <c r="E35" s="153">
        <f t="shared" ca="1" si="2"/>
        <v>1.1098345358332775</v>
      </c>
      <c r="F35" s="152">
        <f t="shared" si="3"/>
        <v>4</v>
      </c>
      <c r="G35" s="25">
        <f t="shared" ca="1" si="4"/>
        <v>7107.2384393420234</v>
      </c>
    </row>
    <row r="36" spans="1:7" x14ac:dyDescent="0.2">
      <c r="A36" s="24">
        <f>[1]ArdiData!A37</f>
        <v>35</v>
      </c>
      <c r="B36" s="41">
        <f ca="1">'0.ArdiData&amp;FixedData'!D37</f>
        <v>7786</v>
      </c>
      <c r="C36" s="144">
        <f t="shared" ca="1" si="5"/>
        <v>6975.2</v>
      </c>
      <c r="D36" s="153">
        <f t="shared" ref="D36:D67" ca="1" si="6">TREND($C$4:$C$76,$A$4:$A$76,A36)</f>
        <v>6895.4281870912009</v>
      </c>
      <c r="E36" s="153">
        <f t="shared" ref="E36:E67" ca="1" si="7">B36/D36</f>
        <v>1.1291539537132764</v>
      </c>
      <c r="F36" s="152">
        <f t="shared" ref="F36:F67" si="8">IF(MOD(A36,5)&lt;&gt;0,MOD(A36,5),5)</f>
        <v>5</v>
      </c>
      <c r="G36" s="25">
        <f t="shared" ref="G36:G67" ca="1" si="9">VLOOKUP(F36,$H$1:$J$5,3)*D36</f>
        <v>8028.7239215122427</v>
      </c>
    </row>
    <row r="37" spans="1:7" x14ac:dyDescent="0.2">
      <c r="A37" s="24">
        <f>[1]ArdiData!A38</f>
        <v>36</v>
      </c>
      <c r="B37" s="41">
        <f ca="1">'0.ArdiData&amp;FixedData'!D38</f>
        <v>5970</v>
      </c>
      <c r="C37" s="144">
        <f t="shared" ref="C37:C68" ca="1" si="10">AVERAGE(B35:B39)</f>
        <v>7085</v>
      </c>
      <c r="D37" s="153">
        <f t="shared" ca="1" si="6"/>
        <v>7033.0922590398613</v>
      </c>
      <c r="E37" s="153">
        <f t="shared" ca="1" si="7"/>
        <v>0.848844260833713</v>
      </c>
      <c r="F37" s="152">
        <f t="shared" si="8"/>
        <v>1</v>
      </c>
      <c r="G37" s="25">
        <f t="shared" ca="1" si="9"/>
        <v>6169.5849808956382</v>
      </c>
    </row>
    <row r="38" spans="1:7" x14ac:dyDescent="0.2">
      <c r="A38" s="24">
        <f>[1]ArdiData!A39</f>
        <v>37</v>
      </c>
      <c r="B38" s="41">
        <f ca="1">'0.ArdiData&amp;FixedData'!D39</f>
        <v>7310</v>
      </c>
      <c r="C38" s="144">
        <f t="shared" ca="1" si="10"/>
        <v>7262.8</v>
      </c>
      <c r="D38" s="153">
        <f t="shared" ca="1" si="6"/>
        <v>7170.7563309885227</v>
      </c>
      <c r="E38" s="153">
        <f t="shared" ca="1" si="7"/>
        <v>1.0194182681134671</v>
      </c>
      <c r="F38" s="152">
        <f t="shared" si="8"/>
        <v>2</v>
      </c>
      <c r="G38" s="25">
        <f t="shared" ca="1" si="9"/>
        <v>6491.0656934282042</v>
      </c>
    </row>
    <row r="39" spans="1:7" x14ac:dyDescent="0.2">
      <c r="A39" s="24">
        <f>[1]ArdiData!A40</f>
        <v>38</v>
      </c>
      <c r="B39" s="41">
        <f ca="1">'0.ArdiData&amp;FixedData'!D40</f>
        <v>6859</v>
      </c>
      <c r="C39" s="144">
        <f t="shared" ca="1" si="10"/>
        <v>7322.4</v>
      </c>
      <c r="D39" s="153">
        <f t="shared" ca="1" si="6"/>
        <v>7308.420402937184</v>
      </c>
      <c r="E39" s="153">
        <f t="shared" ca="1" si="7"/>
        <v>0.93850649276325615</v>
      </c>
      <c r="F39" s="152">
        <f t="shared" si="8"/>
        <v>3</v>
      </c>
      <c r="G39" s="25">
        <f t="shared" ca="1" si="9"/>
        <v>7319.3470190120706</v>
      </c>
    </row>
    <row r="40" spans="1:7" x14ac:dyDescent="0.2">
      <c r="A40" s="24">
        <f>[1]ArdiData!A41</f>
        <v>39</v>
      </c>
      <c r="B40" s="41">
        <f ca="1">'0.ArdiData&amp;FixedData'!D41</f>
        <v>8389</v>
      </c>
      <c r="C40" s="144">
        <f t="shared" ca="1" si="10"/>
        <v>7609.4</v>
      </c>
      <c r="D40" s="153">
        <f t="shared" ca="1" si="6"/>
        <v>7446.0844748858444</v>
      </c>
      <c r="E40" s="153">
        <f t="shared" ca="1" si="7"/>
        <v>1.1266323969724519</v>
      </c>
      <c r="F40" s="152">
        <f t="shared" si="8"/>
        <v>4</v>
      </c>
      <c r="G40" s="25">
        <f t="shared" ca="1" si="9"/>
        <v>7831.154935389498</v>
      </c>
    </row>
    <row r="41" spans="1:7" x14ac:dyDescent="0.2">
      <c r="A41" s="24">
        <f>[1]ArdiData!A42</f>
        <v>40</v>
      </c>
      <c r="B41" s="41">
        <f ca="1">'0.ArdiData&amp;FixedData'!D42</f>
        <v>8084</v>
      </c>
      <c r="C41" s="144">
        <f t="shared" ca="1" si="10"/>
        <v>7617.8</v>
      </c>
      <c r="D41" s="153">
        <f t="shared" ca="1" si="6"/>
        <v>7583.7485468345058</v>
      </c>
      <c r="E41" s="153">
        <f t="shared" ca="1" si="7"/>
        <v>1.0659636128592769</v>
      </c>
      <c r="F41" s="152">
        <f t="shared" si="8"/>
        <v>5</v>
      </c>
      <c r="G41" s="25">
        <f t="shared" ca="1" si="9"/>
        <v>8830.1729378736527</v>
      </c>
    </row>
    <row r="42" spans="1:7" x14ac:dyDescent="0.2">
      <c r="A42" s="24">
        <f>[1]ArdiData!A43</f>
        <v>41</v>
      </c>
      <c r="B42" s="41">
        <f ca="1">'0.ArdiData&amp;FixedData'!D43</f>
        <v>7405</v>
      </c>
      <c r="C42" s="144">
        <f t="shared" ca="1" si="10"/>
        <v>8000.8</v>
      </c>
      <c r="D42" s="153">
        <f t="shared" ca="1" si="6"/>
        <v>7721.4126187831662</v>
      </c>
      <c r="E42" s="153">
        <f t="shared" ca="1" si="7"/>
        <v>0.95902140781682121</v>
      </c>
      <c r="F42" s="152">
        <f t="shared" si="8"/>
        <v>1</v>
      </c>
      <c r="G42" s="25">
        <f t="shared" ca="1" si="9"/>
        <v>6773.3949121614505</v>
      </c>
    </row>
    <row r="43" spans="1:7" x14ac:dyDescent="0.2">
      <c r="A43" s="24">
        <f>[1]ArdiData!A44</f>
        <v>42</v>
      </c>
      <c r="B43" s="41">
        <f ca="1">'0.ArdiData&amp;FixedData'!D44</f>
        <v>7352</v>
      </c>
      <c r="C43" s="144">
        <f t="shared" ca="1" si="10"/>
        <v>7897.4</v>
      </c>
      <c r="D43" s="153">
        <f t="shared" ca="1" si="6"/>
        <v>7859.0766907318275</v>
      </c>
      <c r="E43" s="153">
        <f t="shared" ca="1" si="7"/>
        <v>0.93547884685616811</v>
      </c>
      <c r="F43" s="152">
        <f t="shared" si="8"/>
        <v>2</v>
      </c>
      <c r="G43" s="25">
        <f t="shared" ca="1" si="9"/>
        <v>7114.1426001011723</v>
      </c>
    </row>
    <row r="44" spans="1:7" x14ac:dyDescent="0.2">
      <c r="A44" s="24">
        <f>[1]ArdiData!A45</f>
        <v>43</v>
      </c>
      <c r="B44" s="41">
        <f ca="1">'0.ArdiData&amp;FixedData'!D45</f>
        <v>8774</v>
      </c>
      <c r="C44" s="144">
        <f t="shared" ca="1" si="10"/>
        <v>8214.6</v>
      </c>
      <c r="D44" s="153">
        <f t="shared" ca="1" si="6"/>
        <v>7996.7407626804888</v>
      </c>
      <c r="E44" s="153">
        <f t="shared" ca="1" si="7"/>
        <v>1.0971970031774514</v>
      </c>
      <c r="F44" s="152">
        <f t="shared" si="8"/>
        <v>3</v>
      </c>
      <c r="G44" s="25">
        <f t="shared" ca="1" si="9"/>
        <v>8008.6964673809316</v>
      </c>
    </row>
    <row r="45" spans="1:7" x14ac:dyDescent="0.2">
      <c r="A45" s="24">
        <f>[1]ArdiData!A46</f>
        <v>44</v>
      </c>
      <c r="B45" s="41">
        <f ca="1">'0.ArdiData&amp;FixedData'!D46</f>
        <v>7872</v>
      </c>
      <c r="C45" s="144">
        <f t="shared" ca="1" si="10"/>
        <v>8143</v>
      </c>
      <c r="D45" s="153">
        <f t="shared" ca="1" si="6"/>
        <v>8134.4048346291493</v>
      </c>
      <c r="E45" s="153">
        <f t="shared" ca="1" si="7"/>
        <v>0.96774136031291924</v>
      </c>
      <c r="F45" s="152">
        <f t="shared" si="8"/>
        <v>4</v>
      </c>
      <c r="G45" s="25">
        <f t="shared" ca="1" si="9"/>
        <v>8555.0714314369725</v>
      </c>
    </row>
    <row r="46" spans="1:7" x14ac:dyDescent="0.2">
      <c r="A46" s="24">
        <f>[1]ArdiData!A47</f>
        <v>45</v>
      </c>
      <c r="B46" s="41">
        <f ca="1">'0.ArdiData&amp;FixedData'!D47</f>
        <v>9670</v>
      </c>
      <c r="C46" s="144">
        <f t="shared" ca="1" si="10"/>
        <v>8254.4</v>
      </c>
      <c r="D46" s="153">
        <f t="shared" ca="1" si="6"/>
        <v>8272.0689065778097</v>
      </c>
      <c r="E46" s="153">
        <f t="shared" ca="1" si="7"/>
        <v>1.1689941306352729</v>
      </c>
      <c r="F46" s="152">
        <f t="shared" si="8"/>
        <v>5</v>
      </c>
      <c r="G46" s="25">
        <f t="shared" ca="1" si="9"/>
        <v>9631.6219542350627</v>
      </c>
    </row>
    <row r="47" spans="1:7" x14ac:dyDescent="0.2">
      <c r="A47" s="24">
        <f>[1]ArdiData!A48</f>
        <v>46</v>
      </c>
      <c r="B47" s="41">
        <f ca="1">'0.ArdiData&amp;FixedData'!D48</f>
        <v>7047</v>
      </c>
      <c r="C47" s="144">
        <f t="shared" ca="1" si="10"/>
        <v>8230.2000000000007</v>
      </c>
      <c r="D47" s="153">
        <f t="shared" ca="1" si="6"/>
        <v>8409.7329785264701</v>
      </c>
      <c r="E47" s="153">
        <f t="shared" ca="1" si="7"/>
        <v>0.83795764003374529</v>
      </c>
      <c r="F47" s="152">
        <f t="shared" si="8"/>
        <v>1</v>
      </c>
      <c r="G47" s="25">
        <f t="shared" ca="1" si="9"/>
        <v>7377.2048434272619</v>
      </c>
    </row>
    <row r="48" spans="1:7" x14ac:dyDescent="0.2">
      <c r="A48" s="24">
        <f>[1]ArdiData!A49</f>
        <v>47</v>
      </c>
      <c r="B48" s="41">
        <f ca="1">'0.ArdiData&amp;FixedData'!D49</f>
        <v>7909</v>
      </c>
      <c r="C48" s="144">
        <f t="shared" ca="1" si="10"/>
        <v>8552.4</v>
      </c>
      <c r="D48" s="153">
        <f t="shared" ca="1" si="6"/>
        <v>8547.3970504751323</v>
      </c>
      <c r="E48" s="153">
        <f t="shared" ca="1" si="7"/>
        <v>0.92531094007857684</v>
      </c>
      <c r="F48" s="152">
        <f t="shared" si="8"/>
        <v>2</v>
      </c>
      <c r="G48" s="25">
        <f t="shared" ca="1" si="9"/>
        <v>7737.2195067741395</v>
      </c>
    </row>
    <row r="49" spans="1:7" x14ac:dyDescent="0.2">
      <c r="A49" s="24">
        <f>[1]ArdiData!A50</f>
        <v>48</v>
      </c>
      <c r="B49" s="41">
        <f ca="1">'0.ArdiData&amp;FixedData'!D50</f>
        <v>8653</v>
      </c>
      <c r="C49" s="144">
        <f t="shared" ca="1" si="10"/>
        <v>8483.7999999999993</v>
      </c>
      <c r="D49" s="153">
        <f t="shared" ca="1" si="6"/>
        <v>8685.0611224237928</v>
      </c>
      <c r="E49" s="153">
        <f t="shared" ca="1" si="7"/>
        <v>0.99630847475085527</v>
      </c>
      <c r="F49" s="152">
        <f t="shared" si="8"/>
        <v>3</v>
      </c>
      <c r="G49" s="25">
        <f t="shared" ca="1" si="9"/>
        <v>8698.0459157497917</v>
      </c>
    </row>
    <row r="50" spans="1:7" x14ac:dyDescent="0.2">
      <c r="A50" s="24">
        <f>[1]ArdiData!A51</f>
        <v>49</v>
      </c>
      <c r="B50" s="41">
        <f ca="1">'0.ArdiData&amp;FixedData'!D51</f>
        <v>9483</v>
      </c>
      <c r="C50" s="144">
        <f t="shared" ca="1" si="10"/>
        <v>8655.7999999999993</v>
      </c>
      <c r="D50" s="153">
        <f t="shared" ca="1" si="6"/>
        <v>8822.725194372455</v>
      </c>
      <c r="E50" s="153">
        <f t="shared" ca="1" si="7"/>
        <v>1.0748379657170666</v>
      </c>
      <c r="F50" s="152">
        <f t="shared" si="8"/>
        <v>4</v>
      </c>
      <c r="G50" s="25">
        <f t="shared" ca="1" si="9"/>
        <v>9278.9879274844461</v>
      </c>
    </row>
    <row r="51" spans="1:7" x14ac:dyDescent="0.2">
      <c r="A51" s="24">
        <f>[1]ArdiData!A52</f>
        <v>50</v>
      </c>
      <c r="B51" s="41">
        <f ca="1">'0.ArdiData&amp;FixedData'!D52</f>
        <v>9327</v>
      </c>
      <c r="C51" s="144">
        <f t="shared" ca="1" si="10"/>
        <v>8629.6</v>
      </c>
      <c r="D51" s="153">
        <f t="shared" ca="1" si="6"/>
        <v>8960.3892663211154</v>
      </c>
      <c r="E51" s="153">
        <f t="shared" ca="1" si="7"/>
        <v>1.0409145989959212</v>
      </c>
      <c r="F51" s="152">
        <f t="shared" si="8"/>
        <v>5</v>
      </c>
      <c r="G51" s="25">
        <f t="shared" ca="1" si="9"/>
        <v>10433.070970596473</v>
      </c>
    </row>
    <row r="52" spans="1:7" x14ac:dyDescent="0.2">
      <c r="A52" s="24">
        <f>[1]ArdiData!A53</f>
        <v>51</v>
      </c>
      <c r="B52" s="41">
        <f ca="1">'0.ArdiData&amp;FixedData'!D53</f>
        <v>7907</v>
      </c>
      <c r="C52" s="144">
        <f t="shared" ca="1" si="10"/>
        <v>8730</v>
      </c>
      <c r="D52" s="153">
        <f t="shared" ca="1" si="6"/>
        <v>9098.0533382697758</v>
      </c>
      <c r="E52" s="153">
        <f t="shared" ca="1" si="7"/>
        <v>0.8690870130141175</v>
      </c>
      <c r="F52" s="152">
        <f t="shared" si="8"/>
        <v>1</v>
      </c>
      <c r="G52" s="25">
        <f t="shared" ca="1" si="9"/>
        <v>7981.0147746930752</v>
      </c>
    </row>
    <row r="53" spans="1:7" x14ac:dyDescent="0.2">
      <c r="A53" s="24">
        <f>[1]ArdiData!A54</f>
        <v>52</v>
      </c>
      <c r="B53" s="41">
        <f ca="1">'0.ArdiData&amp;FixedData'!D54</f>
        <v>7778</v>
      </c>
      <c r="C53" s="144">
        <f t="shared" ca="1" si="10"/>
        <v>8762.4</v>
      </c>
      <c r="D53" s="153">
        <f t="shared" ca="1" si="6"/>
        <v>9235.7174102184363</v>
      </c>
      <c r="E53" s="153">
        <f t="shared" ca="1" si="7"/>
        <v>0.84216522166371055</v>
      </c>
      <c r="F53" s="152">
        <f t="shared" si="8"/>
        <v>2</v>
      </c>
      <c r="G53" s="25">
        <f t="shared" ca="1" si="9"/>
        <v>8360.2964134471058</v>
      </c>
    </row>
    <row r="54" spans="1:7" x14ac:dyDescent="0.2">
      <c r="A54" s="24">
        <f>[1]ArdiData!A55</f>
        <v>53</v>
      </c>
      <c r="B54" s="41">
        <f ca="1">'0.ArdiData&amp;FixedData'!D55</f>
        <v>9155</v>
      </c>
      <c r="C54" s="144">
        <f t="shared" ca="1" si="10"/>
        <v>8974.4</v>
      </c>
      <c r="D54" s="153">
        <f t="shared" ca="1" si="6"/>
        <v>9373.3814821670967</v>
      </c>
      <c r="E54" s="153">
        <f t="shared" ca="1" si="7"/>
        <v>0.97670195301636142</v>
      </c>
      <c r="F54" s="152">
        <f t="shared" si="8"/>
        <v>3</v>
      </c>
      <c r="G54" s="25">
        <f t="shared" ca="1" si="9"/>
        <v>9387.3953641186508</v>
      </c>
    </row>
    <row r="55" spans="1:7" x14ac:dyDescent="0.2">
      <c r="A55" s="24">
        <f>[1]ArdiData!A56</f>
        <v>54</v>
      </c>
      <c r="B55" s="41">
        <f ca="1">'0.ArdiData&amp;FixedData'!D56</f>
        <v>9645</v>
      </c>
      <c r="C55" s="144">
        <f t="shared" ca="1" si="10"/>
        <v>8934</v>
      </c>
      <c r="D55" s="153">
        <f t="shared" ca="1" si="6"/>
        <v>9511.0455541157589</v>
      </c>
      <c r="E55" s="153">
        <f t="shared" ca="1" si="7"/>
        <v>1.0140840925555523</v>
      </c>
      <c r="F55" s="152">
        <f t="shared" si="8"/>
        <v>4</v>
      </c>
      <c r="G55" s="25">
        <f t="shared" ca="1" si="9"/>
        <v>10002.90442353192</v>
      </c>
    </row>
    <row r="56" spans="1:7" x14ac:dyDescent="0.2">
      <c r="A56" s="24">
        <f>[1]ArdiData!A57</f>
        <v>55</v>
      </c>
      <c r="B56" s="41">
        <f ca="1">'0.ArdiData&amp;FixedData'!D57</f>
        <v>10387</v>
      </c>
      <c r="C56" s="144">
        <f t="shared" ca="1" si="10"/>
        <v>8995.7999999999993</v>
      </c>
      <c r="D56" s="153">
        <f t="shared" ca="1" si="6"/>
        <v>9648.7096260644212</v>
      </c>
      <c r="E56" s="153">
        <f t="shared" ca="1" si="7"/>
        <v>1.0765170061643483</v>
      </c>
      <c r="F56" s="152">
        <f t="shared" si="8"/>
        <v>5</v>
      </c>
      <c r="G56" s="25">
        <f t="shared" ca="1" si="9"/>
        <v>11234.519986957885</v>
      </c>
    </row>
    <row r="57" spans="1:7" x14ac:dyDescent="0.2">
      <c r="A57" s="24">
        <f>[1]ArdiData!A58</f>
        <v>56</v>
      </c>
      <c r="B57" s="41">
        <f ca="1">'0.ArdiData&amp;FixedData'!D58</f>
        <v>7705</v>
      </c>
      <c r="C57" s="144">
        <f t="shared" ca="1" si="10"/>
        <v>8993.2000000000007</v>
      </c>
      <c r="D57" s="153">
        <f t="shared" ca="1" si="6"/>
        <v>9786.3736980130816</v>
      </c>
      <c r="E57" s="153">
        <f t="shared" ca="1" si="7"/>
        <v>0.78731920911259901</v>
      </c>
      <c r="F57" s="152">
        <f t="shared" si="8"/>
        <v>1</v>
      </c>
      <c r="G57" s="25">
        <f t="shared" ca="1" si="9"/>
        <v>8584.8247059588884</v>
      </c>
    </row>
    <row r="58" spans="1:7" x14ac:dyDescent="0.2">
      <c r="A58" s="24">
        <f>[1]ArdiData!A59</f>
        <v>57</v>
      </c>
      <c r="B58" s="41">
        <f ca="1">'0.ArdiData&amp;FixedData'!D59</f>
        <v>8087</v>
      </c>
      <c r="C58" s="144">
        <f t="shared" ca="1" si="10"/>
        <v>9237.7999999999993</v>
      </c>
      <c r="D58" s="153">
        <f t="shared" ca="1" si="6"/>
        <v>9924.037769961742</v>
      </c>
      <c r="E58" s="153">
        <f t="shared" ca="1" si="7"/>
        <v>0.81489008682311537</v>
      </c>
      <c r="F58" s="152">
        <f t="shared" si="8"/>
        <v>2</v>
      </c>
      <c r="G58" s="25">
        <f t="shared" ca="1" si="9"/>
        <v>8983.3733201200739</v>
      </c>
    </row>
    <row r="59" spans="1:7" x14ac:dyDescent="0.2">
      <c r="A59" s="24">
        <f>[1]ArdiData!A60</f>
        <v>58</v>
      </c>
      <c r="B59" s="41">
        <f ca="1">'0.ArdiData&amp;FixedData'!D60</f>
        <v>9142</v>
      </c>
      <c r="C59" s="144">
        <f t="shared" ca="1" si="10"/>
        <v>9679.4</v>
      </c>
      <c r="D59" s="153">
        <f t="shared" ca="1" si="6"/>
        <v>10061.701841910402</v>
      </c>
      <c r="E59" s="153">
        <f t="shared" ca="1" si="7"/>
        <v>0.90859380884459007</v>
      </c>
      <c r="F59" s="152">
        <f t="shared" si="8"/>
        <v>3</v>
      </c>
      <c r="G59" s="25">
        <f t="shared" ca="1" si="9"/>
        <v>10076.744812487512</v>
      </c>
    </row>
    <row r="60" spans="1:7" x14ac:dyDescent="0.2">
      <c r="A60" s="24">
        <f>[1]ArdiData!A61</f>
        <v>59</v>
      </c>
      <c r="B60" s="41">
        <f ca="1">'0.ArdiData&amp;FixedData'!D61</f>
        <v>10868</v>
      </c>
      <c r="C60" s="144">
        <f t="shared" ca="1" si="10"/>
        <v>9858.4</v>
      </c>
      <c r="D60" s="153">
        <f t="shared" ca="1" si="6"/>
        <v>10199.365913859063</v>
      </c>
      <c r="E60" s="153">
        <f t="shared" ca="1" si="7"/>
        <v>1.0655564367224424</v>
      </c>
      <c r="F60" s="152">
        <f t="shared" si="8"/>
        <v>4</v>
      </c>
      <c r="G60" s="25">
        <f t="shared" ca="1" si="9"/>
        <v>10726.820919579393</v>
      </c>
    </row>
    <row r="61" spans="1:7" x14ac:dyDescent="0.2">
      <c r="A61" s="24">
        <f>[1]ArdiData!A62</f>
        <v>60</v>
      </c>
      <c r="B61" s="41">
        <f ca="1">'0.ArdiData&amp;FixedData'!D62</f>
        <v>12595</v>
      </c>
      <c r="C61" s="144">
        <f t="shared" ca="1" si="10"/>
        <v>10032.200000000001</v>
      </c>
      <c r="D61" s="153">
        <f t="shared" ca="1" si="6"/>
        <v>10337.029985807725</v>
      </c>
      <c r="E61" s="153">
        <f t="shared" ca="1" si="7"/>
        <v>1.2184350840901463</v>
      </c>
      <c r="F61" s="152">
        <f t="shared" si="8"/>
        <v>5</v>
      </c>
      <c r="G61" s="25">
        <f t="shared" ca="1" si="9"/>
        <v>12035.969003319293</v>
      </c>
    </row>
    <row r="62" spans="1:7" x14ac:dyDescent="0.2">
      <c r="A62" s="24">
        <f>[1]ArdiData!A63</f>
        <v>61</v>
      </c>
      <c r="B62" s="41">
        <f ca="1">'0.ArdiData&amp;FixedData'!D63</f>
        <v>8600</v>
      </c>
      <c r="C62" s="144">
        <f t="shared" ca="1" si="10"/>
        <v>10328.799999999999</v>
      </c>
      <c r="D62" s="153">
        <f t="shared" ca="1" si="6"/>
        <v>10474.694057756386</v>
      </c>
      <c r="E62" s="153">
        <f t="shared" ca="1" si="7"/>
        <v>0.82102636626716585</v>
      </c>
      <c r="F62" s="152">
        <f t="shared" si="8"/>
        <v>1</v>
      </c>
      <c r="G62" s="25">
        <f t="shared" ca="1" si="9"/>
        <v>9188.6346372247008</v>
      </c>
    </row>
    <row r="63" spans="1:7" x14ac:dyDescent="0.2">
      <c r="A63" s="24">
        <f>[1]ArdiData!A64</f>
        <v>62</v>
      </c>
      <c r="B63" s="41">
        <f ca="1">'0.ArdiData&amp;FixedData'!D64</f>
        <v>8956</v>
      </c>
      <c r="C63" s="144">
        <f t="shared" ca="1" si="10"/>
        <v>10498.6</v>
      </c>
      <c r="D63" s="153">
        <f t="shared" ca="1" si="6"/>
        <v>10612.358129705046</v>
      </c>
      <c r="E63" s="153">
        <f t="shared" ca="1" si="7"/>
        <v>0.84392176465768387</v>
      </c>
      <c r="F63" s="152">
        <f t="shared" si="8"/>
        <v>2</v>
      </c>
      <c r="G63" s="25">
        <f t="shared" ca="1" si="9"/>
        <v>9606.4502267930402</v>
      </c>
    </row>
    <row r="64" spans="1:7" x14ac:dyDescent="0.2">
      <c r="A64" s="24">
        <f>[1]ArdiData!A65</f>
        <v>63</v>
      </c>
      <c r="B64" s="41">
        <f ca="1">'0.ArdiData&amp;FixedData'!D65</f>
        <v>10625</v>
      </c>
      <c r="C64" s="144">
        <f t="shared" ca="1" si="10"/>
        <v>10610</v>
      </c>
      <c r="D64" s="153">
        <f t="shared" ca="1" si="6"/>
        <v>10750.022201653708</v>
      </c>
      <c r="E64" s="153">
        <f t="shared" ca="1" si="7"/>
        <v>0.98837005177212789</v>
      </c>
      <c r="F64" s="152">
        <f t="shared" si="8"/>
        <v>3</v>
      </c>
      <c r="G64" s="25">
        <f t="shared" ca="1" si="9"/>
        <v>10766.094260856375</v>
      </c>
    </row>
    <row r="65" spans="1:7" x14ac:dyDescent="0.2">
      <c r="A65" s="24">
        <f>[1]ArdiData!A66</f>
        <v>64</v>
      </c>
      <c r="B65" s="41">
        <f ca="1">'0.ArdiData&amp;FixedData'!D66</f>
        <v>11717</v>
      </c>
      <c r="C65" s="144">
        <f t="shared" ca="1" si="10"/>
        <v>10967.6</v>
      </c>
      <c r="D65" s="153">
        <f t="shared" ca="1" si="6"/>
        <v>10887.686273602369</v>
      </c>
      <c r="E65" s="153">
        <f t="shared" ca="1" si="7"/>
        <v>1.0761698771949679</v>
      </c>
      <c r="F65" s="152">
        <f t="shared" si="8"/>
        <v>4</v>
      </c>
      <c r="G65" s="25">
        <f t="shared" ca="1" si="9"/>
        <v>11450.737415626867</v>
      </c>
    </row>
    <row r="66" spans="1:7" x14ac:dyDescent="0.2">
      <c r="A66" s="24">
        <f>[1]ArdiData!A67</f>
        <v>65</v>
      </c>
      <c r="B66" s="41">
        <f ca="1">'0.ArdiData&amp;FixedData'!D67</f>
        <v>13152</v>
      </c>
      <c r="C66" s="144">
        <f t="shared" ca="1" si="10"/>
        <v>11278.8</v>
      </c>
      <c r="D66" s="153">
        <f t="shared" ca="1" si="6"/>
        <v>11025.350345551029</v>
      </c>
      <c r="E66" s="153">
        <f t="shared" ca="1" si="7"/>
        <v>1.1928872632430334</v>
      </c>
      <c r="F66" s="152">
        <f t="shared" si="8"/>
        <v>5</v>
      </c>
      <c r="G66" s="25">
        <f t="shared" ca="1" si="9"/>
        <v>12837.418019680703</v>
      </c>
    </row>
    <row r="67" spans="1:7" x14ac:dyDescent="0.2">
      <c r="A67" s="24">
        <f>[1]ArdiData!A68</f>
        <v>66</v>
      </c>
      <c r="B67" s="41">
        <f ca="1">'0.ArdiData&amp;FixedData'!D68</f>
        <v>10388</v>
      </c>
      <c r="C67" s="144">
        <f t="shared" ca="1" si="10"/>
        <v>11160.8</v>
      </c>
      <c r="D67" s="153">
        <f t="shared" ca="1" si="6"/>
        <v>11163.014417499691</v>
      </c>
      <c r="E67" s="153">
        <f t="shared" ca="1" si="7"/>
        <v>0.93057301652457414</v>
      </c>
      <c r="F67" s="152">
        <f t="shared" si="8"/>
        <v>1</v>
      </c>
      <c r="G67" s="25">
        <f t="shared" ca="1" si="9"/>
        <v>9792.4445684905131</v>
      </c>
    </row>
    <row r="68" spans="1:7" x14ac:dyDescent="0.2">
      <c r="A68" s="24">
        <f>[1]ArdiData!A69</f>
        <v>67</v>
      </c>
      <c r="B68" s="41">
        <f ca="1">'0.ArdiData&amp;FixedData'!D69</f>
        <v>10512</v>
      </c>
      <c r="C68" s="144">
        <f t="shared" ca="1" si="10"/>
        <v>11320</v>
      </c>
      <c r="D68" s="153">
        <f t="shared" ref="D68:D76" ca="1" si="11">TREND($C$4:$C$76,$A$4:$A$76,A68)</f>
        <v>11300.678489448352</v>
      </c>
      <c r="E68" s="153">
        <f t="shared" ref="E68:E76" ca="1" si="12">B68/D68</f>
        <v>0.93020963385651978</v>
      </c>
      <c r="F68" s="152">
        <f t="shared" ref="F68:F76" si="13">IF(MOD(A68,5)&lt;&gt;0,MOD(A68,5),5)</f>
        <v>2</v>
      </c>
      <c r="G68" s="25">
        <f t="shared" ref="G68:G76" ca="1" si="14">VLOOKUP(F68,$H$1:$J$5,3)*D68</f>
        <v>10229.52713346601</v>
      </c>
    </row>
    <row r="69" spans="1:7" x14ac:dyDescent="0.2">
      <c r="A69" s="24">
        <f>[1]ArdiData!A70</f>
        <v>68</v>
      </c>
      <c r="B69" s="41">
        <f ca="1">'0.ArdiData&amp;FixedData'!D70</f>
        <v>10035</v>
      </c>
      <c r="C69" s="144">
        <f t="shared" ref="C69:C76" ca="1" si="15">AVERAGE(B67:B71)</f>
        <v>11375.6</v>
      </c>
      <c r="D69" s="153">
        <f t="shared" ca="1" si="11"/>
        <v>11438.342561397012</v>
      </c>
      <c r="E69" s="153">
        <f t="shared" ca="1" si="12"/>
        <v>0.87731242058328285</v>
      </c>
      <c r="F69" s="152">
        <f t="shared" si="13"/>
        <v>3</v>
      </c>
      <c r="G69" s="25">
        <f t="shared" ca="1" si="14"/>
        <v>11455.443709225234</v>
      </c>
    </row>
    <row r="70" spans="1:7" x14ac:dyDescent="0.2">
      <c r="A70" s="24">
        <f>[1]ArdiData!A71</f>
        <v>69</v>
      </c>
      <c r="B70" s="41">
        <f ca="1">'0.ArdiData&amp;FixedData'!D71</f>
        <v>12513</v>
      </c>
      <c r="C70" s="144">
        <f t="shared" ca="1" si="15"/>
        <v>11665.4</v>
      </c>
      <c r="D70" s="153">
        <f t="shared" ca="1" si="11"/>
        <v>11576.006633345673</v>
      </c>
      <c r="E70" s="153">
        <f t="shared" ca="1" si="12"/>
        <v>1.0809427116217469</v>
      </c>
      <c r="F70" s="152">
        <f t="shared" si="13"/>
        <v>4</v>
      </c>
      <c r="G70" s="25">
        <f t="shared" ca="1" si="14"/>
        <v>12174.653911674341</v>
      </c>
    </row>
    <row r="71" spans="1:7" x14ac:dyDescent="0.2">
      <c r="A71" s="24">
        <f>[1]ArdiData!A72</f>
        <v>70</v>
      </c>
      <c r="B71" s="41">
        <f ca="1">'0.ArdiData&amp;FixedData'!D72</f>
        <v>13430</v>
      </c>
      <c r="C71" s="144">
        <f t="shared" ca="1" si="15"/>
        <v>11628.2</v>
      </c>
      <c r="D71" s="153">
        <f t="shared" ca="1" si="11"/>
        <v>11713.670705294335</v>
      </c>
      <c r="E71" s="153">
        <f t="shared" ca="1" si="12"/>
        <v>1.1465236080035885</v>
      </c>
      <c r="F71" s="152">
        <f t="shared" si="13"/>
        <v>5</v>
      </c>
      <c r="G71" s="25">
        <f t="shared" ca="1" si="14"/>
        <v>13638.867036042113</v>
      </c>
    </row>
    <row r="72" spans="1:7" x14ac:dyDescent="0.2">
      <c r="A72" s="24">
        <f>[1]ArdiData!A73</f>
        <v>71</v>
      </c>
      <c r="B72" s="41">
        <f ca="1">'0.ArdiData&amp;FixedData'!D73</f>
        <v>11837</v>
      </c>
      <c r="C72" s="144">
        <f t="shared" ca="1" si="15"/>
        <v>12438.8</v>
      </c>
      <c r="D72" s="153">
        <f t="shared" ca="1" si="11"/>
        <v>11851.334777242995</v>
      </c>
      <c r="E72" s="153">
        <f t="shared" ca="1" si="12"/>
        <v>0.9987904503996865</v>
      </c>
      <c r="F72" s="152">
        <f t="shared" si="13"/>
        <v>1</v>
      </c>
      <c r="G72" s="25">
        <f t="shared" ca="1" si="14"/>
        <v>10396.254499756325</v>
      </c>
    </row>
    <row r="73" spans="1:7" x14ac:dyDescent="0.2">
      <c r="A73" s="24">
        <f>[1]ArdiData!A74</f>
        <v>72</v>
      </c>
      <c r="B73" s="41">
        <f ca="1">'0.ArdiData&amp;FixedData'!D74</f>
        <v>10326</v>
      </c>
      <c r="C73" s="144">
        <f t="shared" ca="1" si="15"/>
        <v>12422</v>
      </c>
      <c r="D73" s="153">
        <f t="shared" ca="1" si="11"/>
        <v>11988.998849191656</v>
      </c>
      <c r="E73" s="153">
        <f t="shared" ca="1" si="12"/>
        <v>0.86128959806316263</v>
      </c>
      <c r="F73" s="152">
        <f t="shared" si="13"/>
        <v>2</v>
      </c>
      <c r="G73" s="25">
        <f t="shared" ca="1" si="14"/>
        <v>10852.604040138976</v>
      </c>
    </row>
    <row r="74" spans="1:7" x14ac:dyDescent="0.2">
      <c r="A74" s="24">
        <f>[1]ArdiData!A75</f>
        <v>73</v>
      </c>
      <c r="B74" s="41">
        <f ca="1">'0.ArdiData&amp;FixedData'!D75</f>
        <v>14088</v>
      </c>
      <c r="C74" s="144">
        <f t="shared" ca="1" si="15"/>
        <v>12757.4</v>
      </c>
      <c r="D74" s="153">
        <f t="shared" ca="1" si="11"/>
        <v>12126.662921140318</v>
      </c>
      <c r="E74" s="153">
        <f t="shared" ca="1" si="12"/>
        <v>1.1617375770741099</v>
      </c>
      <c r="F74" s="152">
        <f t="shared" si="13"/>
        <v>3</v>
      </c>
      <c r="G74" s="25">
        <f t="shared" ca="1" si="14"/>
        <v>12144.793157594095</v>
      </c>
    </row>
    <row r="75" spans="1:7" x14ac:dyDescent="0.2">
      <c r="A75" s="24">
        <f>[1]ArdiData!A76</f>
        <v>74</v>
      </c>
      <c r="B75" s="41">
        <f ca="1">'0.ArdiData&amp;FixedData'!D76</f>
        <v>12429</v>
      </c>
      <c r="C75" s="144">
        <f t="shared" ca="1" si="15"/>
        <v>12987.5</v>
      </c>
      <c r="D75" s="153">
        <f t="shared" ca="1" si="11"/>
        <v>12264.326993088978</v>
      </c>
      <c r="E75" s="153">
        <f t="shared" ca="1" si="12"/>
        <v>1.0134269908983848</v>
      </c>
      <c r="F75" s="152">
        <f t="shared" si="13"/>
        <v>4</v>
      </c>
      <c r="G75" s="25">
        <f t="shared" ca="1" si="14"/>
        <v>12898.570407721816</v>
      </c>
    </row>
    <row r="76" spans="1:7" x14ac:dyDescent="0.2">
      <c r="A76" s="24">
        <f>[1]ArdiData!A77</f>
        <v>75</v>
      </c>
      <c r="B76" s="41">
        <f ca="1">'0.ArdiData&amp;FixedData'!D77</f>
        <v>15107</v>
      </c>
      <c r="C76" s="144">
        <f t="shared" ca="1" si="15"/>
        <v>13874.666666666666</v>
      </c>
      <c r="D76" s="153">
        <f t="shared" ca="1" si="11"/>
        <v>12401.991065037639</v>
      </c>
      <c r="E76" s="153">
        <f t="shared" ca="1" si="12"/>
        <v>1.2181108598431449</v>
      </c>
      <c r="F76" s="152">
        <f t="shared" si="13"/>
        <v>5</v>
      </c>
      <c r="G76" s="25">
        <f t="shared" ca="1" si="14"/>
        <v>14440.316052403523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workbookViewId="0">
      <selection activeCell="S16" sqref="S16"/>
    </sheetView>
  </sheetViews>
  <sheetFormatPr defaultRowHeight="12.75" x14ac:dyDescent="0.2"/>
  <cols>
    <col min="1" max="1" width="4.42578125" style="25" bestFit="1" customWidth="1"/>
    <col min="2" max="2" width="9.5703125" style="25" bestFit="1" customWidth="1"/>
    <col min="3" max="3" width="6.140625" style="25" bestFit="1" customWidth="1"/>
    <col min="4" max="4" width="11.5703125" style="25" bestFit="1" customWidth="1"/>
    <col min="5" max="5" width="9.140625" style="81" customWidth="1"/>
    <col min="6" max="6" width="4.42578125" style="25" bestFit="1" customWidth="1"/>
    <col min="7" max="14" width="9.140625" style="25"/>
    <col min="15" max="15" width="12.28515625" style="25" customWidth="1"/>
    <col min="16" max="16384" width="9.140625" style="25"/>
  </cols>
  <sheetData>
    <row r="1" spans="1:21" ht="15.75" thickBot="1" x14ac:dyDescent="0.3">
      <c r="A1" s="60" t="s">
        <v>101</v>
      </c>
      <c r="B1" s="61"/>
      <c r="C1" s="62"/>
      <c r="D1" s="61"/>
      <c r="E1" s="124"/>
      <c r="G1" s="25" t="s">
        <v>102</v>
      </c>
      <c r="L1" s="63"/>
      <c r="M1" s="65" t="s">
        <v>55</v>
      </c>
      <c r="N1" s="65"/>
      <c r="O1" s="65"/>
      <c r="P1" s="63"/>
      <c r="Q1" s="63"/>
      <c r="R1" s="66">
        <f ca="1">RANDBETWEEN(100,150)</f>
        <v>150</v>
      </c>
      <c r="S1" s="67">
        <f ca="1">RANDBETWEEN(5,15)</f>
        <v>9</v>
      </c>
      <c r="T1" s="66">
        <v>0.1</v>
      </c>
      <c r="U1" s="63"/>
    </row>
    <row r="2" spans="1:21" ht="15.75" thickBot="1" x14ac:dyDescent="0.3">
      <c r="A2" s="68" t="s">
        <v>36</v>
      </c>
      <c r="B2" s="86" t="s">
        <v>67</v>
      </c>
      <c r="C2" s="69" t="s">
        <v>56</v>
      </c>
      <c r="D2" s="83" t="s">
        <v>63</v>
      </c>
      <c r="F2" s="36" t="s">
        <v>36</v>
      </c>
      <c r="G2" s="58" t="s">
        <v>67</v>
      </c>
      <c r="H2" s="58" t="s">
        <v>56</v>
      </c>
      <c r="I2" s="58" t="s">
        <v>63</v>
      </c>
      <c r="L2" s="63"/>
      <c r="M2" s="66"/>
      <c r="N2" s="66"/>
      <c r="O2" s="84" t="s">
        <v>66</v>
      </c>
      <c r="P2" s="64" t="s">
        <v>57</v>
      </c>
      <c r="Q2" s="64" t="s">
        <v>58</v>
      </c>
      <c r="R2" s="85"/>
      <c r="S2" s="70"/>
      <c r="T2" s="63"/>
      <c r="U2" s="63"/>
    </row>
    <row r="3" spans="1:21" ht="15" x14ac:dyDescent="0.25">
      <c r="A3" s="71">
        <v>1</v>
      </c>
      <c r="B3" s="72">
        <f t="shared" ref="B3:B66" ca="1" si="0">INDEX($Q$3:$Q$77,RANK(L3,$L$3:$L$77))</f>
        <v>15107</v>
      </c>
      <c r="C3" s="73">
        <f ca="1">SMALL($Q$3:$Q$77,M3)</f>
        <v>2013</v>
      </c>
      <c r="D3" s="74">
        <f ca="1">Q3</f>
        <v>2013</v>
      </c>
      <c r="E3" s="80"/>
      <c r="F3" s="36">
        <v>1</v>
      </c>
      <c r="G3" s="58">
        <v>10208</v>
      </c>
      <c r="H3" s="58">
        <v>1436</v>
      </c>
      <c r="I3" s="58">
        <v>1436</v>
      </c>
      <c r="L3" s="63">
        <f t="shared" ref="L3:L66" ca="1" si="1">RAND()</f>
        <v>6.8492855054306245E-3</v>
      </c>
      <c r="M3" s="66">
        <v>1</v>
      </c>
      <c r="N3" s="66">
        <v>1</v>
      </c>
      <c r="O3" s="66">
        <f ca="1">INT($R$1+$S$1*N3)</f>
        <v>159</v>
      </c>
      <c r="P3" s="75">
        <f ca="1">(((IF(MOD(N3,5)&lt;&gt;0,MOD(N3,5),5))+12)+_xlfn.NORM.S.INV(RAND()))</f>
        <v>12.660040065479503</v>
      </c>
      <c r="Q3" s="63">
        <f ca="1">ROUND(O3*P3,0)</f>
        <v>2013</v>
      </c>
      <c r="R3" s="63"/>
      <c r="S3" s="70"/>
      <c r="T3" s="63"/>
      <c r="U3" s="63"/>
    </row>
    <row r="4" spans="1:21" ht="15" x14ac:dyDescent="0.25">
      <c r="A4" s="71">
        <v>2</v>
      </c>
      <c r="B4" s="72">
        <f t="shared" ca="1" si="0"/>
        <v>10035</v>
      </c>
      <c r="C4" s="73">
        <f t="shared" ref="C4:C67" ca="1" si="2">SMALL($Q$3:$Q$77,M4)</f>
        <v>2388</v>
      </c>
      <c r="D4" s="74">
        <f t="shared" ref="D4:D67" ca="1" si="3">Q4</f>
        <v>2388</v>
      </c>
      <c r="E4" s="80"/>
      <c r="F4" s="36">
        <v>2</v>
      </c>
      <c r="G4" s="58">
        <v>7226</v>
      </c>
      <c r="H4" s="58">
        <v>1690</v>
      </c>
      <c r="I4" s="58">
        <v>1690</v>
      </c>
      <c r="L4" s="63">
        <f t="shared" ca="1" si="1"/>
        <v>0.10166736586141267</v>
      </c>
      <c r="M4" s="66">
        <v>2</v>
      </c>
      <c r="N4" s="66">
        <v>2</v>
      </c>
      <c r="O4" s="66">
        <f t="shared" ref="O4:O67" ca="1" si="4">INT($R$1+$S$1*N4)</f>
        <v>168</v>
      </c>
      <c r="P4" s="75">
        <f t="shared" ref="P4:P67" ca="1" si="5">(((IF(MOD(N4,5)&lt;&gt;0,MOD(N4,5),5))+12)+_xlfn.NORM.S.INV(RAND()))</f>
        <v>14.213878367350848</v>
      </c>
      <c r="Q4" s="63">
        <f t="shared" ref="Q4:Q67" ca="1" si="6">ROUND(O4*P4,0)</f>
        <v>2388</v>
      </c>
      <c r="R4" s="63"/>
      <c r="S4" s="70"/>
      <c r="T4" s="63"/>
      <c r="U4" s="63"/>
    </row>
    <row r="5" spans="1:21" ht="15" x14ac:dyDescent="0.25">
      <c r="A5" s="71">
        <v>3</v>
      </c>
      <c r="B5" s="72">
        <f t="shared" ca="1" si="0"/>
        <v>8653</v>
      </c>
      <c r="C5" s="73">
        <f t="shared" ca="1" si="2"/>
        <v>2531</v>
      </c>
      <c r="D5" s="74">
        <f t="shared" ca="1" si="3"/>
        <v>2551</v>
      </c>
      <c r="E5" s="80"/>
      <c r="F5" s="36">
        <v>3</v>
      </c>
      <c r="G5" s="58">
        <v>3498</v>
      </c>
      <c r="H5" s="58">
        <v>1909</v>
      </c>
      <c r="I5" s="58">
        <v>1909</v>
      </c>
      <c r="L5" s="63">
        <f t="shared" ca="1" si="1"/>
        <v>0.26672506345776847</v>
      </c>
      <c r="M5" s="66">
        <v>3</v>
      </c>
      <c r="N5" s="66">
        <v>3</v>
      </c>
      <c r="O5" s="66">
        <f t="shared" ca="1" si="4"/>
        <v>177</v>
      </c>
      <c r="P5" s="75">
        <f t="shared" ca="1" si="5"/>
        <v>14.414237888578288</v>
      </c>
      <c r="Q5" s="63">
        <f t="shared" ca="1" si="6"/>
        <v>2551</v>
      </c>
      <c r="R5" s="63"/>
      <c r="S5" s="70"/>
      <c r="T5" s="63"/>
      <c r="U5" s="63"/>
    </row>
    <row r="6" spans="1:21" ht="15" x14ac:dyDescent="0.25">
      <c r="A6" s="71">
        <v>4</v>
      </c>
      <c r="B6" s="72">
        <f t="shared" ca="1" si="0"/>
        <v>2388</v>
      </c>
      <c r="C6" s="73">
        <f t="shared" ca="1" si="2"/>
        <v>2551</v>
      </c>
      <c r="D6" s="74">
        <f t="shared" ca="1" si="3"/>
        <v>2695</v>
      </c>
      <c r="E6" s="80"/>
      <c r="F6" s="36">
        <v>4</v>
      </c>
      <c r="G6" s="58">
        <v>5654</v>
      </c>
      <c r="H6" s="58">
        <v>1984</v>
      </c>
      <c r="I6" s="58">
        <v>2078</v>
      </c>
      <c r="L6" s="63">
        <f t="shared" ca="1" si="1"/>
        <v>0.97689594259305756</v>
      </c>
      <c r="M6" s="66">
        <v>4</v>
      </c>
      <c r="N6" s="66">
        <v>4</v>
      </c>
      <c r="O6" s="66">
        <f t="shared" ca="1" si="4"/>
        <v>186</v>
      </c>
      <c r="P6" s="75">
        <f t="shared" ca="1" si="5"/>
        <v>14.491520200448436</v>
      </c>
      <c r="Q6" s="63">
        <f t="shared" ca="1" si="6"/>
        <v>2695</v>
      </c>
      <c r="R6" s="63"/>
      <c r="S6" s="70"/>
      <c r="T6" s="63"/>
      <c r="U6" s="63"/>
    </row>
    <row r="7" spans="1:21" ht="15" x14ac:dyDescent="0.25">
      <c r="A7" s="71">
        <v>5</v>
      </c>
      <c r="B7" s="72">
        <f t="shared" ca="1" si="0"/>
        <v>6918</v>
      </c>
      <c r="C7" s="73">
        <f t="shared" ca="1" si="2"/>
        <v>2695</v>
      </c>
      <c r="D7" s="74">
        <f t="shared" ca="1" si="3"/>
        <v>3731</v>
      </c>
      <c r="E7" s="80"/>
      <c r="F7" s="36">
        <v>5</v>
      </c>
      <c r="G7" s="58">
        <v>7172</v>
      </c>
      <c r="H7" s="58">
        <v>2078</v>
      </c>
      <c r="I7" s="58">
        <v>2490</v>
      </c>
      <c r="L7" s="63">
        <f t="shared" ca="1" si="1"/>
        <v>0.60041635649057901</v>
      </c>
      <c r="M7" s="66">
        <v>5</v>
      </c>
      <c r="N7" s="66">
        <v>5</v>
      </c>
      <c r="O7" s="66">
        <f t="shared" ca="1" si="4"/>
        <v>195</v>
      </c>
      <c r="P7" s="75">
        <f t="shared" ca="1" si="5"/>
        <v>19.132744515603971</v>
      </c>
      <c r="Q7" s="63">
        <f t="shared" ca="1" si="6"/>
        <v>3731</v>
      </c>
      <c r="R7" s="63"/>
      <c r="S7" s="70"/>
      <c r="T7" s="63"/>
      <c r="U7" s="63"/>
    </row>
    <row r="8" spans="1:21" ht="15" x14ac:dyDescent="0.25">
      <c r="A8" s="71">
        <v>6</v>
      </c>
      <c r="B8" s="72">
        <f t="shared" ca="1" si="0"/>
        <v>10512</v>
      </c>
      <c r="C8" s="73">
        <f t="shared" ca="1" si="2"/>
        <v>2856</v>
      </c>
      <c r="D8" s="74">
        <f t="shared" ca="1" si="3"/>
        <v>2531</v>
      </c>
      <c r="E8" s="80"/>
      <c r="F8" s="36">
        <v>6</v>
      </c>
      <c r="G8" s="58">
        <v>6532</v>
      </c>
      <c r="H8" s="58">
        <v>2216</v>
      </c>
      <c r="I8" s="58">
        <v>1984</v>
      </c>
      <c r="L8" s="63">
        <f t="shared" ca="1" si="1"/>
        <v>0.10191257973229928</v>
      </c>
      <c r="M8" s="66">
        <v>6</v>
      </c>
      <c r="N8" s="66">
        <v>6</v>
      </c>
      <c r="O8" s="66">
        <f t="shared" ca="1" si="4"/>
        <v>204</v>
      </c>
      <c r="P8" s="75">
        <f t="shared" ca="1" si="5"/>
        <v>12.405789474302242</v>
      </c>
      <c r="Q8" s="63">
        <f t="shared" ca="1" si="6"/>
        <v>2531</v>
      </c>
      <c r="R8" s="63"/>
      <c r="S8" s="70"/>
      <c r="T8" s="63"/>
      <c r="U8" s="63"/>
    </row>
    <row r="9" spans="1:21" ht="15" x14ac:dyDescent="0.25">
      <c r="A9" s="71">
        <v>7</v>
      </c>
      <c r="B9" s="72">
        <f t="shared" ca="1" si="0"/>
        <v>2856</v>
      </c>
      <c r="C9" s="73">
        <f t="shared" ca="1" si="2"/>
        <v>3141</v>
      </c>
      <c r="D9" s="74">
        <f t="shared" ca="1" si="3"/>
        <v>2856</v>
      </c>
      <c r="E9" s="80"/>
      <c r="F9" s="36">
        <v>7</v>
      </c>
      <c r="G9" s="58">
        <v>6032</v>
      </c>
      <c r="H9" s="58">
        <v>2452</v>
      </c>
      <c r="I9" s="58">
        <v>2216</v>
      </c>
      <c r="L9" s="63">
        <f t="shared" ca="1" si="1"/>
        <v>0.86420554559239826</v>
      </c>
      <c r="M9" s="66">
        <v>8</v>
      </c>
      <c r="N9" s="66">
        <v>7</v>
      </c>
      <c r="O9" s="66">
        <f t="shared" ca="1" si="4"/>
        <v>213</v>
      </c>
      <c r="P9" s="75">
        <f t="shared" ca="1" si="5"/>
        <v>13.407521924907892</v>
      </c>
      <c r="Q9" s="63">
        <f t="shared" ca="1" si="6"/>
        <v>2856</v>
      </c>
      <c r="R9" s="63"/>
      <c r="S9" s="70"/>
      <c r="T9" s="63"/>
      <c r="U9" s="63"/>
    </row>
    <row r="10" spans="1:21" ht="15" x14ac:dyDescent="0.25">
      <c r="A10" s="71">
        <v>8</v>
      </c>
      <c r="B10" s="72">
        <f t="shared" ca="1" si="0"/>
        <v>7500</v>
      </c>
      <c r="C10" s="73">
        <f t="shared" ca="1" si="2"/>
        <v>3119</v>
      </c>
      <c r="D10" s="74">
        <f t="shared" ca="1" si="3"/>
        <v>3119</v>
      </c>
      <c r="E10" s="80"/>
      <c r="F10" s="36">
        <v>8</v>
      </c>
      <c r="G10" s="58">
        <v>7472</v>
      </c>
      <c r="H10" s="58">
        <v>2323</v>
      </c>
      <c r="I10" s="58">
        <v>2528</v>
      </c>
      <c r="L10" s="63">
        <f t="shared" ca="1" si="1"/>
        <v>0.42353917026263921</v>
      </c>
      <c r="M10" s="66">
        <v>7</v>
      </c>
      <c r="N10" s="66">
        <v>8</v>
      </c>
      <c r="O10" s="66">
        <f ca="1">INT($R$1+$S$1*N10)</f>
        <v>222</v>
      </c>
      <c r="P10" s="75">
        <f t="shared" ca="1" si="5"/>
        <v>14.049872885932555</v>
      </c>
      <c r="Q10" s="63">
        <f t="shared" ca="1" si="6"/>
        <v>3119</v>
      </c>
      <c r="R10" s="63"/>
      <c r="S10" s="70"/>
      <c r="T10" s="63"/>
      <c r="U10" s="63"/>
    </row>
    <row r="11" spans="1:21" ht="15" x14ac:dyDescent="0.25">
      <c r="A11" s="71">
        <v>9</v>
      </c>
      <c r="B11" s="72">
        <f t="shared" ca="1" si="0"/>
        <v>13430</v>
      </c>
      <c r="C11" s="73">
        <f t="shared" ca="1" si="2"/>
        <v>3856</v>
      </c>
      <c r="D11" s="74">
        <f t="shared" ca="1" si="3"/>
        <v>4090</v>
      </c>
      <c r="E11" s="80"/>
      <c r="F11" s="36">
        <v>9</v>
      </c>
      <c r="G11" s="58">
        <v>5714</v>
      </c>
      <c r="H11" s="58">
        <v>2946</v>
      </c>
      <c r="I11" s="58">
        <v>3018</v>
      </c>
      <c r="L11" s="63">
        <f t="shared" ca="1" si="1"/>
        <v>8.3957014211684999E-2</v>
      </c>
      <c r="M11" s="66">
        <v>12</v>
      </c>
      <c r="N11" s="66">
        <v>9</v>
      </c>
      <c r="O11" s="66">
        <f t="shared" ca="1" si="4"/>
        <v>231</v>
      </c>
      <c r="P11" s="75">
        <f t="shared" ca="1" si="5"/>
        <v>17.705820463953376</v>
      </c>
      <c r="Q11" s="63">
        <f t="shared" ca="1" si="6"/>
        <v>4090</v>
      </c>
      <c r="R11" s="63"/>
      <c r="S11" s="70"/>
      <c r="T11" s="63"/>
      <c r="U11" s="63"/>
    </row>
    <row r="12" spans="1:21" ht="15" x14ac:dyDescent="0.25">
      <c r="A12" s="71">
        <v>10</v>
      </c>
      <c r="B12" s="72">
        <f t="shared" ca="1" si="0"/>
        <v>3141</v>
      </c>
      <c r="C12" s="73">
        <f t="shared" ca="1" si="2"/>
        <v>3379</v>
      </c>
      <c r="D12" s="74">
        <f t="shared" ca="1" si="3"/>
        <v>3953</v>
      </c>
      <c r="E12" s="80"/>
      <c r="F12" s="36">
        <v>10</v>
      </c>
      <c r="G12" s="58">
        <v>12275</v>
      </c>
      <c r="H12" s="58">
        <v>2490</v>
      </c>
      <c r="I12" s="58">
        <v>2946</v>
      </c>
      <c r="L12" s="63">
        <f t="shared" ca="1" si="1"/>
        <v>0.83635747377717407</v>
      </c>
      <c r="M12" s="66">
        <v>9</v>
      </c>
      <c r="N12" s="66">
        <v>10</v>
      </c>
      <c r="O12" s="66">
        <f t="shared" ca="1" si="4"/>
        <v>240</v>
      </c>
      <c r="P12" s="75">
        <f t="shared" ca="1" si="5"/>
        <v>16.471474235333293</v>
      </c>
      <c r="Q12" s="63">
        <f t="shared" ca="1" si="6"/>
        <v>3953</v>
      </c>
      <c r="R12" s="63"/>
      <c r="S12" s="70"/>
      <c r="T12" s="63"/>
      <c r="U12" s="63"/>
    </row>
    <row r="13" spans="1:21" ht="15" x14ac:dyDescent="0.25">
      <c r="A13" s="71">
        <v>11</v>
      </c>
      <c r="B13" s="72">
        <f t="shared" ca="1" si="0"/>
        <v>8956</v>
      </c>
      <c r="C13" s="73">
        <f t="shared" ca="1" si="2"/>
        <v>3731</v>
      </c>
      <c r="D13" s="74">
        <f t="shared" ca="1" si="3"/>
        <v>3141</v>
      </c>
      <c r="E13" s="80"/>
      <c r="F13" s="36">
        <v>11</v>
      </c>
      <c r="G13" s="58">
        <v>3747</v>
      </c>
      <c r="H13" s="58">
        <v>2528</v>
      </c>
      <c r="I13" s="58">
        <v>2323</v>
      </c>
      <c r="L13" s="63">
        <f t="shared" ca="1" si="1"/>
        <v>0.15237102450746676</v>
      </c>
      <c r="M13" s="66">
        <v>10</v>
      </c>
      <c r="N13" s="66">
        <v>11</v>
      </c>
      <c r="O13" s="66">
        <f t="shared" ca="1" si="4"/>
        <v>249</v>
      </c>
      <c r="P13" s="75">
        <f t="shared" ca="1" si="5"/>
        <v>12.615572177617212</v>
      </c>
      <c r="Q13" s="63">
        <f t="shared" ca="1" si="6"/>
        <v>3141</v>
      </c>
      <c r="R13" s="63"/>
      <c r="S13" s="70"/>
      <c r="T13" s="63"/>
      <c r="U13" s="63"/>
    </row>
    <row r="14" spans="1:21" ht="15" x14ac:dyDescent="0.25">
      <c r="A14" s="71">
        <v>12</v>
      </c>
      <c r="B14" s="72">
        <f t="shared" ca="1" si="0"/>
        <v>9327</v>
      </c>
      <c r="C14" s="73">
        <f t="shared" ca="1" si="2"/>
        <v>3755</v>
      </c>
      <c r="D14" s="74">
        <f t="shared" ca="1" si="3"/>
        <v>3379</v>
      </c>
      <c r="E14" s="80"/>
      <c r="F14" s="36">
        <v>12</v>
      </c>
      <c r="G14" s="58">
        <v>2323</v>
      </c>
      <c r="H14" s="58">
        <v>2877</v>
      </c>
      <c r="I14" s="58">
        <v>2452</v>
      </c>
      <c r="L14" s="63">
        <f t="shared" ca="1" si="1"/>
        <v>0.25984706451954709</v>
      </c>
      <c r="M14" s="66">
        <v>11</v>
      </c>
      <c r="N14" s="66">
        <v>12</v>
      </c>
      <c r="O14" s="66">
        <f t="shared" ca="1" si="4"/>
        <v>258</v>
      </c>
      <c r="P14" s="75">
        <f t="shared" ca="1" si="5"/>
        <v>13.096070196804495</v>
      </c>
      <c r="Q14" s="63">
        <f t="shared" ca="1" si="6"/>
        <v>3379</v>
      </c>
      <c r="R14" s="63"/>
      <c r="S14" s="70"/>
      <c r="T14" s="63"/>
      <c r="U14" s="63"/>
    </row>
    <row r="15" spans="1:21" ht="15" x14ac:dyDescent="0.25">
      <c r="A15" s="71">
        <v>13</v>
      </c>
      <c r="B15" s="72">
        <f t="shared" ca="1" si="0"/>
        <v>2551</v>
      </c>
      <c r="C15" s="73">
        <f t="shared" ca="1" si="2"/>
        <v>4090</v>
      </c>
      <c r="D15" s="74">
        <f t="shared" ca="1" si="3"/>
        <v>3856</v>
      </c>
      <c r="E15" s="80"/>
      <c r="F15" s="36">
        <v>13</v>
      </c>
      <c r="G15" s="58">
        <v>2216</v>
      </c>
      <c r="H15" s="58">
        <v>3019</v>
      </c>
      <c r="I15" s="58">
        <v>3019</v>
      </c>
      <c r="L15" s="63">
        <f t="shared" ca="1" si="1"/>
        <v>0.95871324019435766</v>
      </c>
      <c r="M15" s="66">
        <v>14</v>
      </c>
      <c r="N15" s="66">
        <v>13</v>
      </c>
      <c r="O15" s="66">
        <f t="shared" ca="1" si="4"/>
        <v>267</v>
      </c>
      <c r="P15" s="75">
        <f t="shared" ca="1" si="5"/>
        <v>14.441245678252669</v>
      </c>
      <c r="Q15" s="63">
        <f t="shared" ca="1" si="6"/>
        <v>3856</v>
      </c>
      <c r="R15" s="63"/>
      <c r="S15" s="70"/>
      <c r="T15" s="63"/>
      <c r="U15" s="63"/>
    </row>
    <row r="16" spans="1:21" ht="15" x14ac:dyDescent="0.25">
      <c r="A16" s="71">
        <v>14</v>
      </c>
      <c r="B16" s="72">
        <f t="shared" ca="1" si="0"/>
        <v>4633</v>
      </c>
      <c r="C16" s="73">
        <f t="shared" ca="1" si="2"/>
        <v>4155</v>
      </c>
      <c r="D16" s="74">
        <f t="shared" ca="1" si="3"/>
        <v>4516</v>
      </c>
      <c r="E16" s="80"/>
      <c r="F16" s="36">
        <v>14</v>
      </c>
      <c r="G16" s="58">
        <v>6894</v>
      </c>
      <c r="H16" s="58">
        <v>3498</v>
      </c>
      <c r="I16" s="58">
        <v>3498</v>
      </c>
      <c r="L16" s="63">
        <f t="shared" ca="1" si="1"/>
        <v>0.6634310863270203</v>
      </c>
      <c r="M16" s="66">
        <v>16</v>
      </c>
      <c r="N16" s="66">
        <v>14</v>
      </c>
      <c r="O16" s="66">
        <f t="shared" ca="1" si="4"/>
        <v>276</v>
      </c>
      <c r="P16" s="75">
        <f t="shared" ca="1" si="5"/>
        <v>16.361392408802399</v>
      </c>
      <c r="Q16" s="63">
        <f t="shared" ca="1" si="6"/>
        <v>4516</v>
      </c>
      <c r="R16" s="63"/>
      <c r="S16" s="70"/>
      <c r="T16" s="63"/>
      <c r="U16" s="63"/>
    </row>
    <row r="17" spans="1:21" ht="15" x14ac:dyDescent="0.25">
      <c r="A17" s="71">
        <v>15</v>
      </c>
      <c r="B17" s="72">
        <f t="shared" ca="1" si="0"/>
        <v>4122</v>
      </c>
      <c r="C17" s="73">
        <f t="shared" ca="1" si="2"/>
        <v>4516</v>
      </c>
      <c r="D17" s="74">
        <f t="shared" ca="1" si="3"/>
        <v>4935</v>
      </c>
      <c r="E17" s="80"/>
      <c r="F17" s="36">
        <v>15</v>
      </c>
      <c r="G17" s="58">
        <v>10359</v>
      </c>
      <c r="H17" s="58">
        <v>3743</v>
      </c>
      <c r="I17" s="58">
        <v>3747</v>
      </c>
      <c r="L17" s="63">
        <f t="shared" ca="1" si="1"/>
        <v>0.72207828246797356</v>
      </c>
      <c r="M17" s="66">
        <v>18</v>
      </c>
      <c r="N17" s="66">
        <v>15</v>
      </c>
      <c r="O17" s="66">
        <f t="shared" ca="1" si="4"/>
        <v>285</v>
      </c>
      <c r="P17" s="75">
        <f t="shared" ca="1" si="5"/>
        <v>17.314471866394964</v>
      </c>
      <c r="Q17" s="63">
        <f t="shared" ca="1" si="6"/>
        <v>4935</v>
      </c>
      <c r="R17" s="63"/>
      <c r="S17" s="70"/>
      <c r="T17" s="63"/>
      <c r="U17" s="63"/>
    </row>
    <row r="18" spans="1:21" ht="15" x14ac:dyDescent="0.25">
      <c r="A18" s="71">
        <v>16</v>
      </c>
      <c r="B18" s="72">
        <f t="shared" ca="1" si="0"/>
        <v>8600</v>
      </c>
      <c r="C18" s="73">
        <f t="shared" ca="1" si="2"/>
        <v>3953</v>
      </c>
      <c r="D18" s="74">
        <f t="shared" ca="1" si="3"/>
        <v>3755</v>
      </c>
      <c r="E18" s="80"/>
      <c r="F18" s="36">
        <v>16</v>
      </c>
      <c r="G18" s="58">
        <v>4421</v>
      </c>
      <c r="H18" s="58">
        <v>3018</v>
      </c>
      <c r="I18" s="58">
        <v>3099</v>
      </c>
      <c r="L18" s="63">
        <f t="shared" ca="1" si="1"/>
        <v>0.15382262771988153</v>
      </c>
      <c r="M18" s="66">
        <v>13</v>
      </c>
      <c r="N18" s="66">
        <v>16</v>
      </c>
      <c r="O18" s="66">
        <f t="shared" ca="1" si="4"/>
        <v>294</v>
      </c>
      <c r="P18" s="75">
        <f t="shared" ca="1" si="5"/>
        <v>12.773790137878157</v>
      </c>
      <c r="Q18" s="63">
        <f t="shared" ca="1" si="6"/>
        <v>3755</v>
      </c>
      <c r="R18" s="63"/>
      <c r="S18" s="70"/>
      <c r="T18" s="63"/>
      <c r="U18" s="63"/>
    </row>
    <row r="19" spans="1:21" ht="15" x14ac:dyDescent="0.25">
      <c r="A19" s="71">
        <v>17</v>
      </c>
      <c r="B19" s="72">
        <f t="shared" ca="1" si="0"/>
        <v>4875</v>
      </c>
      <c r="C19" s="73">
        <f t="shared" ca="1" si="2"/>
        <v>4167</v>
      </c>
      <c r="D19" s="74">
        <f t="shared" ca="1" si="3"/>
        <v>4122</v>
      </c>
      <c r="E19" s="80"/>
      <c r="F19" s="36">
        <v>17</v>
      </c>
      <c r="G19" s="58">
        <v>8720</v>
      </c>
      <c r="H19" s="58">
        <v>3578</v>
      </c>
      <c r="I19" s="58">
        <v>2877</v>
      </c>
      <c r="L19" s="63">
        <f t="shared" ca="1" si="1"/>
        <v>0.58855032020344045</v>
      </c>
      <c r="M19" s="66">
        <v>17</v>
      </c>
      <c r="N19" s="66">
        <v>17</v>
      </c>
      <c r="O19" s="66">
        <f t="shared" ca="1" si="4"/>
        <v>303</v>
      </c>
      <c r="P19" s="75">
        <f t="shared" ca="1" si="5"/>
        <v>13.60272972800162</v>
      </c>
      <c r="Q19" s="63">
        <f t="shared" ca="1" si="6"/>
        <v>4122</v>
      </c>
      <c r="R19" s="63"/>
      <c r="S19" s="70"/>
      <c r="T19" s="63"/>
      <c r="U19" s="63"/>
    </row>
    <row r="20" spans="1:21" ht="15" x14ac:dyDescent="0.25">
      <c r="A20" s="71">
        <v>18</v>
      </c>
      <c r="B20" s="72">
        <f t="shared" ca="1" si="0"/>
        <v>9645</v>
      </c>
      <c r="C20" s="73">
        <f t="shared" ca="1" si="2"/>
        <v>4122</v>
      </c>
      <c r="D20" s="74">
        <f t="shared" ca="1" si="3"/>
        <v>4538</v>
      </c>
      <c r="E20" s="80"/>
      <c r="F20" s="36">
        <v>18</v>
      </c>
      <c r="G20" s="58">
        <v>6526</v>
      </c>
      <c r="H20" s="58">
        <v>3099</v>
      </c>
      <c r="I20" s="58">
        <v>3779</v>
      </c>
      <c r="L20" s="63">
        <f t="shared" ca="1" si="1"/>
        <v>0.23959133237612107</v>
      </c>
      <c r="M20" s="66">
        <v>15</v>
      </c>
      <c r="N20" s="66">
        <v>18</v>
      </c>
      <c r="O20" s="66">
        <f t="shared" ca="1" si="4"/>
        <v>312</v>
      </c>
      <c r="P20" s="75">
        <f t="shared" ca="1" si="5"/>
        <v>14.545620052021723</v>
      </c>
      <c r="Q20" s="63">
        <f t="shared" ca="1" si="6"/>
        <v>4538</v>
      </c>
      <c r="R20" s="63"/>
      <c r="S20" s="70"/>
      <c r="T20" s="63"/>
      <c r="U20" s="63"/>
    </row>
    <row r="21" spans="1:21" ht="15" x14ac:dyDescent="0.25">
      <c r="A21" s="71">
        <v>19</v>
      </c>
      <c r="B21" s="72">
        <f t="shared" ca="1" si="0"/>
        <v>3856</v>
      </c>
      <c r="C21" s="73">
        <f t="shared" ca="1" si="2"/>
        <v>4538</v>
      </c>
      <c r="D21" s="74">
        <f t="shared" ca="1" si="3"/>
        <v>4167</v>
      </c>
      <c r="E21" s="80"/>
      <c r="F21" s="36">
        <v>19</v>
      </c>
      <c r="G21" s="58">
        <v>12037</v>
      </c>
      <c r="H21" s="58">
        <v>3747</v>
      </c>
      <c r="I21" s="58">
        <v>4336</v>
      </c>
      <c r="L21" s="63">
        <f t="shared" ca="1" si="1"/>
        <v>0.76483494497754412</v>
      </c>
      <c r="M21" s="66">
        <v>19</v>
      </c>
      <c r="N21" s="66">
        <v>19</v>
      </c>
      <c r="O21" s="66">
        <f t="shared" ca="1" si="4"/>
        <v>321</v>
      </c>
      <c r="P21" s="75">
        <f t="shared" ca="1" si="5"/>
        <v>12.981954422478456</v>
      </c>
      <c r="Q21" s="63">
        <f t="shared" ca="1" si="6"/>
        <v>4167</v>
      </c>
      <c r="R21" s="63"/>
      <c r="S21" s="70"/>
      <c r="T21" s="63"/>
      <c r="U21" s="63"/>
    </row>
    <row r="22" spans="1:21" ht="15" x14ac:dyDescent="0.25">
      <c r="A22" s="71">
        <v>20</v>
      </c>
      <c r="B22" s="72">
        <f t="shared" ca="1" si="0"/>
        <v>2695</v>
      </c>
      <c r="C22" s="73">
        <f t="shared" ca="1" si="2"/>
        <v>4633</v>
      </c>
      <c r="D22" s="74">
        <f t="shared" ca="1" si="3"/>
        <v>5782</v>
      </c>
      <c r="E22" s="80"/>
      <c r="F22" s="36">
        <v>20</v>
      </c>
      <c r="G22" s="58">
        <v>8593</v>
      </c>
      <c r="H22" s="58">
        <v>3779</v>
      </c>
      <c r="I22" s="58">
        <v>4492</v>
      </c>
      <c r="L22" s="63">
        <f t="shared" ca="1" si="1"/>
        <v>0.92665583253070816</v>
      </c>
      <c r="M22" s="66">
        <v>20</v>
      </c>
      <c r="N22" s="66">
        <v>20</v>
      </c>
      <c r="O22" s="66">
        <f t="shared" ca="1" si="4"/>
        <v>330</v>
      </c>
      <c r="P22" s="75">
        <f t="shared" ca="1" si="5"/>
        <v>17.520829017374133</v>
      </c>
      <c r="Q22" s="63">
        <f t="shared" ca="1" si="6"/>
        <v>5782</v>
      </c>
      <c r="R22" s="63"/>
      <c r="S22" s="70"/>
      <c r="T22" s="63"/>
      <c r="U22" s="63"/>
    </row>
    <row r="23" spans="1:21" ht="15" x14ac:dyDescent="0.25">
      <c r="A23" s="71">
        <v>21</v>
      </c>
      <c r="B23" s="72">
        <f t="shared" ca="1" si="0"/>
        <v>7310</v>
      </c>
      <c r="C23" s="73">
        <f t="shared" ca="1" si="2"/>
        <v>5455</v>
      </c>
      <c r="D23" s="74">
        <f t="shared" ca="1" si="3"/>
        <v>4155</v>
      </c>
      <c r="E23" s="80"/>
      <c r="F23" s="36">
        <v>21</v>
      </c>
      <c r="G23" s="58">
        <v>3578</v>
      </c>
      <c r="H23" s="58">
        <v>4336</v>
      </c>
      <c r="I23" s="58">
        <v>3578</v>
      </c>
      <c r="L23" s="63">
        <f t="shared" ca="1" si="1"/>
        <v>0.39541896382967701</v>
      </c>
      <c r="M23" s="66">
        <v>24</v>
      </c>
      <c r="N23" s="66">
        <v>21</v>
      </c>
      <c r="O23" s="66">
        <f t="shared" ca="1" si="4"/>
        <v>339</v>
      </c>
      <c r="P23" s="75">
        <f t="shared" ca="1" si="5"/>
        <v>12.257208328271256</v>
      </c>
      <c r="Q23" s="63">
        <f t="shared" ca="1" si="6"/>
        <v>4155</v>
      </c>
      <c r="R23" s="63"/>
      <c r="S23" s="70"/>
      <c r="T23" s="63"/>
      <c r="U23" s="63"/>
    </row>
    <row r="24" spans="1:21" ht="15" x14ac:dyDescent="0.25">
      <c r="A24" s="71">
        <v>22</v>
      </c>
      <c r="B24" s="72">
        <f t="shared" ca="1" si="0"/>
        <v>6859</v>
      </c>
      <c r="C24" s="73">
        <f t="shared" ca="1" si="2"/>
        <v>4935</v>
      </c>
      <c r="D24" s="74">
        <f t="shared" ca="1" si="3"/>
        <v>4633</v>
      </c>
      <c r="E24" s="80"/>
      <c r="F24" s="36">
        <v>22</v>
      </c>
      <c r="G24" s="58">
        <v>3018</v>
      </c>
      <c r="H24" s="58">
        <v>4185</v>
      </c>
      <c r="I24" s="58">
        <v>4185</v>
      </c>
      <c r="L24" s="63">
        <f t="shared" ca="1" si="1"/>
        <v>0.38695844634977006</v>
      </c>
      <c r="M24" s="66">
        <v>22</v>
      </c>
      <c r="N24" s="66">
        <v>22</v>
      </c>
      <c r="O24" s="66">
        <f t="shared" ca="1" si="4"/>
        <v>348</v>
      </c>
      <c r="P24" s="75">
        <f t="shared" ca="1" si="5"/>
        <v>13.314538911371073</v>
      </c>
      <c r="Q24" s="63">
        <f t="shared" ca="1" si="6"/>
        <v>4633</v>
      </c>
      <c r="R24" s="63"/>
      <c r="S24" s="70"/>
      <c r="T24" s="63"/>
      <c r="U24" s="63"/>
    </row>
    <row r="25" spans="1:21" ht="15" x14ac:dyDescent="0.25">
      <c r="A25" s="71">
        <v>23</v>
      </c>
      <c r="B25" s="72">
        <f t="shared" ca="1" si="0"/>
        <v>11837</v>
      </c>
      <c r="C25" s="73">
        <f t="shared" ca="1" si="2"/>
        <v>5351</v>
      </c>
      <c r="D25" s="74">
        <f t="shared" ca="1" si="3"/>
        <v>5790</v>
      </c>
      <c r="E25" s="80"/>
      <c r="F25" s="36">
        <v>23</v>
      </c>
      <c r="G25" s="58">
        <v>4185</v>
      </c>
      <c r="H25" s="58">
        <v>4254</v>
      </c>
      <c r="I25" s="58">
        <v>4523</v>
      </c>
      <c r="L25" s="63">
        <f t="shared" ca="1" si="1"/>
        <v>6.2795488000840893E-2</v>
      </c>
      <c r="M25" s="66">
        <v>23</v>
      </c>
      <c r="N25" s="66">
        <v>23</v>
      </c>
      <c r="O25" s="66">
        <f t="shared" ca="1" si="4"/>
        <v>357</v>
      </c>
      <c r="P25" s="75">
        <f t="shared" ca="1" si="5"/>
        <v>16.217510494170735</v>
      </c>
      <c r="Q25" s="63">
        <f t="shared" ca="1" si="6"/>
        <v>5790</v>
      </c>
      <c r="R25" s="63"/>
      <c r="S25" s="70"/>
      <c r="T25" s="63"/>
      <c r="U25" s="63"/>
    </row>
    <row r="26" spans="1:21" ht="15" x14ac:dyDescent="0.25">
      <c r="A26" s="71">
        <v>24</v>
      </c>
      <c r="B26" s="72">
        <f t="shared" ca="1" si="0"/>
        <v>12513</v>
      </c>
      <c r="C26" s="73">
        <f t="shared" ca="1" si="2"/>
        <v>5752</v>
      </c>
      <c r="D26" s="74">
        <f t="shared" ca="1" si="3"/>
        <v>5351</v>
      </c>
      <c r="E26" s="80"/>
      <c r="F26" s="36">
        <v>24</v>
      </c>
      <c r="G26" s="58">
        <v>9678</v>
      </c>
      <c r="H26" s="58">
        <v>4421</v>
      </c>
      <c r="I26" s="58">
        <v>5005</v>
      </c>
      <c r="L26" s="63">
        <f t="shared" ca="1" si="1"/>
        <v>9.7428838157578634E-2</v>
      </c>
      <c r="M26" s="66">
        <v>25</v>
      </c>
      <c r="N26" s="66">
        <v>24</v>
      </c>
      <c r="O26" s="66">
        <f t="shared" ca="1" si="4"/>
        <v>366</v>
      </c>
      <c r="P26" s="75">
        <f t="shared" ca="1" si="5"/>
        <v>14.619733909331476</v>
      </c>
      <c r="Q26" s="63">
        <f t="shared" ca="1" si="6"/>
        <v>5351</v>
      </c>
      <c r="R26" s="63"/>
      <c r="S26" s="70"/>
      <c r="T26" s="63"/>
      <c r="U26" s="63"/>
    </row>
    <row r="27" spans="1:21" ht="15" x14ac:dyDescent="0.25">
      <c r="A27" s="71">
        <v>25</v>
      </c>
      <c r="B27" s="72">
        <f t="shared" ca="1" si="0"/>
        <v>7352</v>
      </c>
      <c r="C27" s="73">
        <f t="shared" ca="1" si="2"/>
        <v>4875</v>
      </c>
      <c r="D27" s="74">
        <f t="shared" ca="1" si="3"/>
        <v>6918</v>
      </c>
      <c r="E27" s="80"/>
      <c r="F27" s="36">
        <v>25</v>
      </c>
      <c r="G27" s="58">
        <v>9442</v>
      </c>
      <c r="H27" s="58">
        <v>3935</v>
      </c>
      <c r="I27" s="58">
        <v>5417</v>
      </c>
      <c r="L27" s="63">
        <f t="shared" ca="1" si="1"/>
        <v>0.33260911330830978</v>
      </c>
      <c r="M27" s="66">
        <v>21</v>
      </c>
      <c r="N27" s="66">
        <v>25</v>
      </c>
      <c r="O27" s="66">
        <f t="shared" ca="1" si="4"/>
        <v>375</v>
      </c>
      <c r="P27" s="75">
        <f t="shared" ca="1" si="5"/>
        <v>18.446735030176448</v>
      </c>
      <c r="Q27" s="63">
        <f t="shared" ca="1" si="6"/>
        <v>6918</v>
      </c>
      <c r="R27" s="63"/>
      <c r="S27" s="70"/>
      <c r="T27" s="63"/>
      <c r="U27" s="63"/>
    </row>
    <row r="28" spans="1:21" ht="15" x14ac:dyDescent="0.25">
      <c r="A28" s="71">
        <v>26</v>
      </c>
      <c r="B28" s="72">
        <f t="shared" ca="1" si="0"/>
        <v>12595</v>
      </c>
      <c r="C28" s="73">
        <f t="shared" ca="1" si="2"/>
        <v>5790</v>
      </c>
      <c r="D28" s="74">
        <f t="shared" ca="1" si="3"/>
        <v>4875</v>
      </c>
      <c r="E28" s="80"/>
      <c r="F28" s="36">
        <v>26</v>
      </c>
      <c r="G28" s="58">
        <v>9895</v>
      </c>
      <c r="H28" s="58">
        <v>4523</v>
      </c>
      <c r="I28" s="58">
        <v>3935</v>
      </c>
      <c r="L28" s="63">
        <f t="shared" ca="1" si="1"/>
        <v>0.15752688857984221</v>
      </c>
      <c r="M28" s="66">
        <v>27</v>
      </c>
      <c r="N28" s="66">
        <v>26</v>
      </c>
      <c r="O28" s="66">
        <f t="shared" ca="1" si="4"/>
        <v>384</v>
      </c>
      <c r="P28" s="75">
        <f t="shared" ca="1" si="5"/>
        <v>12.694461396785595</v>
      </c>
      <c r="Q28" s="63">
        <f t="shared" ca="1" si="6"/>
        <v>4875</v>
      </c>
      <c r="R28" s="63"/>
      <c r="S28" s="70"/>
      <c r="T28" s="63"/>
      <c r="U28" s="63"/>
    </row>
    <row r="29" spans="1:21" ht="15" x14ac:dyDescent="0.25">
      <c r="A29" s="71">
        <v>27</v>
      </c>
      <c r="B29" s="72">
        <f t="shared" ca="1" si="0"/>
        <v>10868</v>
      </c>
      <c r="C29" s="73">
        <f t="shared" ca="1" si="2"/>
        <v>5782</v>
      </c>
      <c r="D29" s="74">
        <f t="shared" ca="1" si="3"/>
        <v>5455</v>
      </c>
      <c r="E29" s="80"/>
      <c r="F29" s="36">
        <v>27</v>
      </c>
      <c r="G29" s="58">
        <v>5005</v>
      </c>
      <c r="H29" s="58">
        <v>4492</v>
      </c>
      <c r="I29" s="58">
        <v>4254</v>
      </c>
      <c r="L29" s="63">
        <f t="shared" ca="1" si="1"/>
        <v>0.16462960290860618</v>
      </c>
      <c r="M29" s="66">
        <v>26</v>
      </c>
      <c r="N29" s="66">
        <v>27</v>
      </c>
      <c r="O29" s="66">
        <f t="shared" ca="1" si="4"/>
        <v>393</v>
      </c>
      <c r="P29" s="75">
        <f t="shared" ca="1" si="5"/>
        <v>13.8809184548009</v>
      </c>
      <c r="Q29" s="63">
        <f t="shared" ca="1" si="6"/>
        <v>5455</v>
      </c>
      <c r="R29" s="63"/>
      <c r="S29" s="70"/>
      <c r="T29" s="63"/>
      <c r="U29" s="63"/>
    </row>
    <row r="30" spans="1:21" ht="15" x14ac:dyDescent="0.25">
      <c r="A30" s="71">
        <v>28</v>
      </c>
      <c r="B30" s="72">
        <f t="shared" ca="1" si="0"/>
        <v>13152</v>
      </c>
      <c r="C30" s="73">
        <f t="shared" ca="1" si="2"/>
        <v>6778</v>
      </c>
      <c r="D30" s="74">
        <f t="shared" ca="1" si="3"/>
        <v>6158</v>
      </c>
      <c r="E30" s="80"/>
      <c r="F30" s="36">
        <v>28</v>
      </c>
      <c r="G30" s="58">
        <v>7242</v>
      </c>
      <c r="H30" s="58">
        <v>5461</v>
      </c>
      <c r="I30" s="58">
        <v>4421</v>
      </c>
      <c r="L30" s="63">
        <f t="shared" ca="1" si="1"/>
        <v>0.12820802463330783</v>
      </c>
      <c r="M30" s="66">
        <v>33</v>
      </c>
      <c r="N30" s="66">
        <v>28</v>
      </c>
      <c r="O30" s="66">
        <f t="shared" ca="1" si="4"/>
        <v>402</v>
      </c>
      <c r="P30" s="75">
        <f t="shared" ca="1" si="5"/>
        <v>15.318933080839594</v>
      </c>
      <c r="Q30" s="63">
        <f t="shared" ca="1" si="6"/>
        <v>6158</v>
      </c>
      <c r="R30" s="63"/>
      <c r="S30" s="70"/>
      <c r="T30" s="63"/>
      <c r="U30" s="63"/>
    </row>
    <row r="31" spans="1:21" ht="15" x14ac:dyDescent="0.25">
      <c r="A31" s="71">
        <v>29</v>
      </c>
      <c r="B31" s="72">
        <f t="shared" ca="1" si="0"/>
        <v>7909</v>
      </c>
      <c r="C31" s="73">
        <f t="shared" ca="1" si="2"/>
        <v>6859</v>
      </c>
      <c r="D31" s="74">
        <f t="shared" ca="1" si="3"/>
        <v>6041</v>
      </c>
      <c r="E31" s="80"/>
      <c r="F31" s="36">
        <v>29</v>
      </c>
      <c r="G31" s="58">
        <v>5461</v>
      </c>
      <c r="H31" s="58">
        <v>5475</v>
      </c>
      <c r="I31" s="58">
        <v>5130</v>
      </c>
      <c r="L31" s="63">
        <f t="shared" ca="1" si="1"/>
        <v>0.26916830673617798</v>
      </c>
      <c r="M31" s="66">
        <v>34</v>
      </c>
      <c r="N31" s="66">
        <v>29</v>
      </c>
      <c r="O31" s="66">
        <f t="shared" ca="1" si="4"/>
        <v>411</v>
      </c>
      <c r="P31" s="75">
        <f t="shared" ca="1" si="5"/>
        <v>14.697965027248561</v>
      </c>
      <c r="Q31" s="63">
        <f t="shared" ca="1" si="6"/>
        <v>6041</v>
      </c>
      <c r="R31" s="63"/>
      <c r="S31" s="70"/>
      <c r="T31" s="63"/>
      <c r="U31" s="63"/>
    </row>
    <row r="32" spans="1:21" ht="15" x14ac:dyDescent="0.25">
      <c r="A32" s="71">
        <v>30</v>
      </c>
      <c r="B32" s="72">
        <f t="shared" ca="1" si="0"/>
        <v>9155</v>
      </c>
      <c r="C32" s="73">
        <f t="shared" ca="1" si="2"/>
        <v>5840</v>
      </c>
      <c r="D32" s="74">
        <f t="shared" ca="1" si="3"/>
        <v>6778</v>
      </c>
      <c r="E32" s="80"/>
      <c r="F32" s="36">
        <v>30</v>
      </c>
      <c r="G32" s="58">
        <v>9652</v>
      </c>
      <c r="H32" s="58">
        <v>4861</v>
      </c>
      <c r="I32" s="58">
        <v>5801</v>
      </c>
      <c r="L32" s="63">
        <f t="shared" ca="1" si="1"/>
        <v>0.24213833046602218</v>
      </c>
      <c r="M32" s="66">
        <v>28</v>
      </c>
      <c r="N32" s="66">
        <v>30</v>
      </c>
      <c r="O32" s="66">
        <f t="shared" ca="1" si="4"/>
        <v>420</v>
      </c>
      <c r="P32" s="75">
        <f t="shared" ca="1" si="5"/>
        <v>16.139219352540383</v>
      </c>
      <c r="Q32" s="63">
        <f t="shared" ca="1" si="6"/>
        <v>6778</v>
      </c>
      <c r="R32" s="63"/>
      <c r="S32" s="70"/>
      <c r="T32" s="63"/>
      <c r="U32" s="63"/>
    </row>
    <row r="33" spans="1:21" ht="15" x14ac:dyDescent="0.25">
      <c r="A33" s="71">
        <v>31</v>
      </c>
      <c r="B33" s="72">
        <f t="shared" ca="1" si="0"/>
        <v>3755</v>
      </c>
      <c r="C33" s="73">
        <f t="shared" ca="1" si="2"/>
        <v>6041</v>
      </c>
      <c r="D33" s="74">
        <f t="shared" ca="1" si="3"/>
        <v>5840</v>
      </c>
      <c r="E33" s="80"/>
      <c r="F33" s="36">
        <v>31</v>
      </c>
      <c r="G33" s="58">
        <v>1690</v>
      </c>
      <c r="H33" s="58">
        <v>5130</v>
      </c>
      <c r="I33" s="58">
        <v>3743</v>
      </c>
      <c r="L33" s="63">
        <f t="shared" ca="1" si="1"/>
        <v>0.72991956448498996</v>
      </c>
      <c r="M33" s="66">
        <v>30</v>
      </c>
      <c r="N33" s="66">
        <v>31</v>
      </c>
      <c r="O33" s="66">
        <f t="shared" ca="1" si="4"/>
        <v>429</v>
      </c>
      <c r="P33" s="75">
        <f t="shared" ca="1" si="5"/>
        <v>13.613435880059903</v>
      </c>
      <c r="Q33" s="63">
        <f t="shared" ca="1" si="6"/>
        <v>5840</v>
      </c>
      <c r="R33" s="63"/>
      <c r="S33" s="70"/>
      <c r="T33" s="63"/>
      <c r="U33" s="63"/>
    </row>
    <row r="34" spans="1:21" ht="15" x14ac:dyDescent="0.25">
      <c r="A34" s="71">
        <v>32</v>
      </c>
      <c r="B34" s="72">
        <f t="shared" ca="1" si="0"/>
        <v>6310</v>
      </c>
      <c r="C34" s="73">
        <f t="shared" ca="1" si="2"/>
        <v>5970</v>
      </c>
      <c r="D34" s="74">
        <f t="shared" ca="1" si="3"/>
        <v>5752</v>
      </c>
      <c r="E34" s="80"/>
      <c r="F34" s="36">
        <v>32</v>
      </c>
      <c r="G34" s="58">
        <v>2946</v>
      </c>
      <c r="H34" s="58">
        <v>5005</v>
      </c>
      <c r="I34" s="58">
        <v>4861</v>
      </c>
      <c r="L34" s="63">
        <f t="shared" ca="1" si="1"/>
        <v>0.43831670278480972</v>
      </c>
      <c r="M34" s="66">
        <v>29</v>
      </c>
      <c r="N34" s="66">
        <v>32</v>
      </c>
      <c r="O34" s="66">
        <f t="shared" ca="1" si="4"/>
        <v>438</v>
      </c>
      <c r="P34" s="75">
        <f t="shared" ca="1" si="5"/>
        <v>13.133454142091733</v>
      </c>
      <c r="Q34" s="63">
        <f t="shared" ca="1" si="6"/>
        <v>5752</v>
      </c>
      <c r="R34" s="63"/>
      <c r="S34" s="70"/>
      <c r="T34" s="63"/>
      <c r="U34" s="63"/>
    </row>
    <row r="35" spans="1:21" ht="15" x14ac:dyDescent="0.25">
      <c r="A35" s="71">
        <v>33</v>
      </c>
      <c r="B35" s="72">
        <f t="shared" ca="1" si="0"/>
        <v>7047</v>
      </c>
      <c r="C35" s="73">
        <f t="shared" ca="1" si="2"/>
        <v>6158</v>
      </c>
      <c r="D35" s="74">
        <f t="shared" ca="1" si="3"/>
        <v>6310</v>
      </c>
      <c r="E35" s="80"/>
      <c r="F35" s="36">
        <v>33</v>
      </c>
      <c r="G35" s="58">
        <v>2877</v>
      </c>
      <c r="H35" s="58">
        <v>5192</v>
      </c>
      <c r="I35" s="58">
        <v>5475</v>
      </c>
      <c r="L35" s="63">
        <f t="shared" ca="1" si="1"/>
        <v>0.2794314306742437</v>
      </c>
      <c r="M35" s="66">
        <v>31</v>
      </c>
      <c r="N35" s="66">
        <v>33</v>
      </c>
      <c r="O35" s="66">
        <f t="shared" ca="1" si="4"/>
        <v>447</v>
      </c>
      <c r="P35" s="75">
        <f t="shared" ca="1" si="5"/>
        <v>14.116249102484529</v>
      </c>
      <c r="Q35" s="63">
        <f t="shared" ca="1" si="6"/>
        <v>6310</v>
      </c>
      <c r="R35" s="63"/>
      <c r="S35" s="70"/>
      <c r="T35" s="63"/>
      <c r="U35" s="63"/>
    </row>
    <row r="36" spans="1:21" ht="15" x14ac:dyDescent="0.25">
      <c r="A36" s="71">
        <v>34</v>
      </c>
      <c r="B36" s="72">
        <f t="shared" ca="1" si="0"/>
        <v>3953</v>
      </c>
      <c r="C36" s="73">
        <f t="shared" ca="1" si="2"/>
        <v>6310</v>
      </c>
      <c r="D36" s="74">
        <f t="shared" ca="1" si="3"/>
        <v>7500</v>
      </c>
      <c r="E36" s="80"/>
      <c r="F36" s="36">
        <v>34</v>
      </c>
      <c r="G36" s="58">
        <v>9135</v>
      </c>
      <c r="H36" s="58">
        <v>5417</v>
      </c>
      <c r="I36" s="58">
        <v>5654</v>
      </c>
      <c r="L36" s="63">
        <f t="shared" ca="1" si="1"/>
        <v>0.83672306758561354</v>
      </c>
      <c r="M36" s="66">
        <v>32</v>
      </c>
      <c r="N36" s="66">
        <v>34</v>
      </c>
      <c r="O36" s="66">
        <f t="shared" ca="1" si="4"/>
        <v>456</v>
      </c>
      <c r="P36" s="75">
        <f t="shared" ca="1" si="5"/>
        <v>16.448446749550438</v>
      </c>
      <c r="Q36" s="63">
        <f t="shared" ca="1" si="6"/>
        <v>7500</v>
      </c>
      <c r="R36" s="63"/>
      <c r="S36" s="70"/>
      <c r="T36" s="63"/>
      <c r="U36" s="63"/>
    </row>
    <row r="37" spans="1:21" ht="15" x14ac:dyDescent="0.25">
      <c r="A37" s="71">
        <v>35</v>
      </c>
      <c r="B37" s="72">
        <f t="shared" ca="1" si="0"/>
        <v>4167</v>
      </c>
      <c r="C37" s="73">
        <f t="shared" ca="1" si="2"/>
        <v>6918</v>
      </c>
      <c r="D37" s="74">
        <f t="shared" ca="1" si="3"/>
        <v>7786</v>
      </c>
      <c r="E37" s="80"/>
      <c r="F37" s="36">
        <v>35</v>
      </c>
      <c r="G37" s="58">
        <v>1984</v>
      </c>
      <c r="H37" s="58">
        <v>5561</v>
      </c>
      <c r="I37" s="58">
        <v>6532</v>
      </c>
      <c r="L37" s="63">
        <f t="shared" ca="1" si="1"/>
        <v>0.71455171599178235</v>
      </c>
      <c r="M37" s="66">
        <v>35</v>
      </c>
      <c r="N37" s="66">
        <v>35</v>
      </c>
      <c r="O37" s="66">
        <f t="shared" ca="1" si="4"/>
        <v>465</v>
      </c>
      <c r="P37" s="75">
        <f t="shared" ca="1" si="5"/>
        <v>16.744694990426908</v>
      </c>
      <c r="Q37" s="63">
        <f t="shared" ca="1" si="6"/>
        <v>7786</v>
      </c>
      <c r="R37" s="63"/>
      <c r="S37" s="70"/>
      <c r="T37" s="63"/>
      <c r="U37" s="63"/>
    </row>
    <row r="38" spans="1:21" ht="15" x14ac:dyDescent="0.25">
      <c r="A38" s="71">
        <v>36</v>
      </c>
      <c r="B38" s="72">
        <f t="shared" ca="1" si="0"/>
        <v>7907</v>
      </c>
      <c r="C38" s="73">
        <f t="shared" ca="1" si="2"/>
        <v>7405</v>
      </c>
      <c r="D38" s="74">
        <f t="shared" ca="1" si="3"/>
        <v>5970</v>
      </c>
      <c r="E38" s="80"/>
      <c r="F38" s="36">
        <v>36</v>
      </c>
      <c r="G38" s="58">
        <v>6552</v>
      </c>
      <c r="H38" s="58">
        <v>5801</v>
      </c>
      <c r="I38" s="58">
        <v>5561</v>
      </c>
      <c r="L38" s="63">
        <f t="shared" ca="1" si="1"/>
        <v>0.25900044047817627</v>
      </c>
      <c r="M38" s="66">
        <v>39</v>
      </c>
      <c r="N38" s="66">
        <v>36</v>
      </c>
      <c r="O38" s="66">
        <f t="shared" ca="1" si="4"/>
        <v>474</v>
      </c>
      <c r="P38" s="75">
        <f t="shared" ca="1" si="5"/>
        <v>12.594706560730247</v>
      </c>
      <c r="Q38" s="63">
        <f t="shared" ca="1" si="6"/>
        <v>5970</v>
      </c>
      <c r="R38" s="63"/>
      <c r="S38" s="70"/>
      <c r="T38" s="63"/>
      <c r="U38" s="63"/>
    </row>
    <row r="39" spans="1:21" ht="15" x14ac:dyDescent="0.25">
      <c r="A39" s="71">
        <v>37</v>
      </c>
      <c r="B39" s="72">
        <f t="shared" ca="1" si="0"/>
        <v>4090</v>
      </c>
      <c r="C39" s="73">
        <f t="shared" ca="1" si="2"/>
        <v>7047</v>
      </c>
      <c r="D39" s="74">
        <f t="shared" ca="1" si="3"/>
        <v>7310</v>
      </c>
      <c r="E39" s="80"/>
      <c r="F39" s="36">
        <v>37</v>
      </c>
      <c r="G39" s="58">
        <v>11930</v>
      </c>
      <c r="H39" s="58">
        <v>5654</v>
      </c>
      <c r="I39" s="58">
        <v>5461</v>
      </c>
      <c r="L39" s="63">
        <f t="shared" ca="1" si="1"/>
        <v>0.84553063845763421</v>
      </c>
      <c r="M39" s="66">
        <v>36</v>
      </c>
      <c r="N39" s="66">
        <v>37</v>
      </c>
      <c r="O39" s="66">
        <f t="shared" ca="1" si="4"/>
        <v>483</v>
      </c>
      <c r="P39" s="75">
        <f t="shared" ca="1" si="5"/>
        <v>15.134904315574559</v>
      </c>
      <c r="Q39" s="63">
        <f t="shared" ca="1" si="6"/>
        <v>7310</v>
      </c>
      <c r="R39" s="63"/>
      <c r="S39" s="70"/>
      <c r="T39" s="63"/>
      <c r="U39" s="63"/>
    </row>
    <row r="40" spans="1:21" ht="15" x14ac:dyDescent="0.25">
      <c r="A40" s="71">
        <v>38</v>
      </c>
      <c r="B40" s="72">
        <f t="shared" ca="1" si="0"/>
        <v>9483</v>
      </c>
      <c r="C40" s="73">
        <f t="shared" ca="1" si="2"/>
        <v>7310</v>
      </c>
      <c r="D40" s="74">
        <f t="shared" ca="1" si="3"/>
        <v>6859</v>
      </c>
      <c r="E40" s="80"/>
      <c r="F40" s="36">
        <v>38</v>
      </c>
      <c r="G40" s="58">
        <v>6290</v>
      </c>
      <c r="H40" s="58">
        <v>5714</v>
      </c>
      <c r="I40" s="58">
        <v>5714</v>
      </c>
      <c r="L40" s="63">
        <f t="shared" ca="1" si="1"/>
        <v>0.26434234751597874</v>
      </c>
      <c r="M40" s="66">
        <v>37</v>
      </c>
      <c r="N40" s="66">
        <v>38</v>
      </c>
      <c r="O40" s="66">
        <f t="shared" ca="1" si="4"/>
        <v>492</v>
      </c>
      <c r="P40" s="75">
        <f t="shared" ca="1" si="5"/>
        <v>13.941564058123452</v>
      </c>
      <c r="Q40" s="63">
        <f t="shared" ca="1" si="6"/>
        <v>6859</v>
      </c>
      <c r="R40" s="63"/>
      <c r="S40" s="70"/>
      <c r="T40" s="63"/>
      <c r="U40" s="63"/>
    </row>
    <row r="41" spans="1:21" ht="15" x14ac:dyDescent="0.25">
      <c r="A41" s="71">
        <v>39</v>
      </c>
      <c r="B41" s="72">
        <f t="shared" ca="1" si="0"/>
        <v>4155</v>
      </c>
      <c r="C41" s="73">
        <f t="shared" ca="1" si="2"/>
        <v>7352</v>
      </c>
      <c r="D41" s="74">
        <f t="shared" ca="1" si="3"/>
        <v>8389</v>
      </c>
      <c r="E41" s="80"/>
      <c r="F41" s="36">
        <v>39</v>
      </c>
      <c r="G41" s="58">
        <v>8783</v>
      </c>
      <c r="H41" s="58">
        <v>5761</v>
      </c>
      <c r="I41" s="58">
        <v>6032</v>
      </c>
      <c r="L41" s="63">
        <f t="shared" ca="1" si="1"/>
        <v>0.66468797914547206</v>
      </c>
      <c r="M41" s="66">
        <v>38</v>
      </c>
      <c r="N41" s="66">
        <v>39</v>
      </c>
      <c r="O41" s="66">
        <f t="shared" ca="1" si="4"/>
        <v>501</v>
      </c>
      <c r="P41" s="75">
        <f t="shared" ca="1" si="5"/>
        <v>16.744678867657559</v>
      </c>
      <c r="Q41" s="63">
        <f t="shared" ca="1" si="6"/>
        <v>8389</v>
      </c>
      <c r="R41" s="63"/>
      <c r="S41" s="70"/>
      <c r="T41" s="63"/>
      <c r="U41" s="63"/>
    </row>
    <row r="42" spans="1:21" ht="15" x14ac:dyDescent="0.25">
      <c r="A42" s="71">
        <v>40</v>
      </c>
      <c r="B42" s="72">
        <f t="shared" ca="1" si="0"/>
        <v>8087</v>
      </c>
      <c r="C42" s="73">
        <f t="shared" ca="1" si="2"/>
        <v>7705</v>
      </c>
      <c r="D42" s="74">
        <f t="shared" ca="1" si="3"/>
        <v>8084</v>
      </c>
      <c r="E42" s="80"/>
      <c r="F42" s="36">
        <v>40</v>
      </c>
      <c r="G42" s="58">
        <v>5417</v>
      </c>
      <c r="H42" s="58">
        <v>6290</v>
      </c>
      <c r="I42" s="58">
        <v>7172</v>
      </c>
      <c r="L42" s="63">
        <f t="shared" ca="1" si="1"/>
        <v>0.19747840824318541</v>
      </c>
      <c r="M42" s="66">
        <v>41</v>
      </c>
      <c r="N42" s="66">
        <v>40</v>
      </c>
      <c r="O42" s="66">
        <f t="shared" ca="1" si="4"/>
        <v>510</v>
      </c>
      <c r="P42" s="75">
        <f t="shared" ca="1" si="5"/>
        <v>15.850826204330497</v>
      </c>
      <c r="Q42" s="63">
        <f t="shared" ca="1" si="6"/>
        <v>8084</v>
      </c>
      <c r="R42" s="63"/>
      <c r="S42" s="70"/>
      <c r="T42" s="63"/>
      <c r="U42" s="63"/>
    </row>
    <row r="43" spans="1:21" ht="15" x14ac:dyDescent="0.25">
      <c r="A43" s="71">
        <v>41</v>
      </c>
      <c r="B43" s="72">
        <f t="shared" ca="1" si="0"/>
        <v>5790</v>
      </c>
      <c r="C43" s="73">
        <f t="shared" ca="1" si="2"/>
        <v>7500</v>
      </c>
      <c r="D43" s="74">
        <f t="shared" ca="1" si="3"/>
        <v>7405</v>
      </c>
      <c r="E43" s="80"/>
      <c r="F43" s="36">
        <v>41</v>
      </c>
      <c r="G43" s="58">
        <v>8751</v>
      </c>
      <c r="H43" s="58">
        <v>6032</v>
      </c>
      <c r="I43" s="58">
        <v>5192</v>
      </c>
      <c r="L43" s="63">
        <f t="shared" ca="1" si="1"/>
        <v>0.63682490959914795</v>
      </c>
      <c r="M43" s="66">
        <v>40</v>
      </c>
      <c r="N43" s="66">
        <v>41</v>
      </c>
      <c r="O43" s="66">
        <f t="shared" ca="1" si="4"/>
        <v>519</v>
      </c>
      <c r="P43" s="75">
        <f t="shared" ca="1" si="5"/>
        <v>14.268690172851214</v>
      </c>
      <c r="Q43" s="63">
        <f t="shared" ca="1" si="6"/>
        <v>7405</v>
      </c>
      <c r="R43" s="63"/>
      <c r="S43" s="70"/>
      <c r="T43" s="63"/>
      <c r="U43" s="63"/>
    </row>
    <row r="44" spans="1:21" ht="15" x14ac:dyDescent="0.25">
      <c r="A44" s="71">
        <v>42</v>
      </c>
      <c r="B44" s="72">
        <f t="shared" ca="1" si="0"/>
        <v>7778</v>
      </c>
      <c r="C44" s="73">
        <f t="shared" ca="1" si="2"/>
        <v>7909</v>
      </c>
      <c r="D44" s="74">
        <f t="shared" ca="1" si="3"/>
        <v>7352</v>
      </c>
      <c r="E44" s="80"/>
      <c r="F44" s="36">
        <v>42</v>
      </c>
      <c r="G44" s="58">
        <v>5130</v>
      </c>
      <c r="H44" s="58">
        <v>6894</v>
      </c>
      <c r="I44" s="58">
        <v>6552</v>
      </c>
      <c r="L44" s="63">
        <f t="shared" ca="1" si="1"/>
        <v>0.25310288029509265</v>
      </c>
      <c r="M44" s="66">
        <v>46</v>
      </c>
      <c r="N44" s="66">
        <v>42</v>
      </c>
      <c r="O44" s="66">
        <f t="shared" ca="1" si="4"/>
        <v>528</v>
      </c>
      <c r="P44" s="75">
        <f t="shared" ca="1" si="5"/>
        <v>13.923729755986061</v>
      </c>
      <c r="Q44" s="63">
        <f t="shared" ca="1" si="6"/>
        <v>7352</v>
      </c>
      <c r="R44" s="63"/>
      <c r="S44" s="70"/>
      <c r="T44" s="63"/>
      <c r="U44" s="63"/>
    </row>
    <row r="45" spans="1:21" ht="15" x14ac:dyDescent="0.25">
      <c r="A45" s="71">
        <v>43</v>
      </c>
      <c r="B45" s="72">
        <f t="shared" ca="1" si="0"/>
        <v>5782</v>
      </c>
      <c r="C45" s="73">
        <f t="shared" ca="1" si="2"/>
        <v>7872</v>
      </c>
      <c r="D45" s="74">
        <f t="shared" ca="1" si="3"/>
        <v>8774</v>
      </c>
      <c r="E45" s="80"/>
      <c r="F45" s="36">
        <v>43</v>
      </c>
      <c r="G45" s="58">
        <v>6754</v>
      </c>
      <c r="H45" s="58">
        <v>6552</v>
      </c>
      <c r="I45" s="58">
        <v>6290</v>
      </c>
      <c r="L45" s="63">
        <f t="shared" ca="1" si="1"/>
        <v>0.67341215575758262</v>
      </c>
      <c r="M45" s="66">
        <v>44</v>
      </c>
      <c r="N45" s="66">
        <v>43</v>
      </c>
      <c r="O45" s="66">
        <f t="shared" ca="1" si="4"/>
        <v>537</v>
      </c>
      <c r="P45" s="75">
        <f t="shared" ca="1" si="5"/>
        <v>16.339121530096435</v>
      </c>
      <c r="Q45" s="63">
        <f t="shared" ca="1" si="6"/>
        <v>8774</v>
      </c>
      <c r="R45" s="63"/>
      <c r="S45" s="70"/>
      <c r="T45" s="63"/>
      <c r="U45" s="63"/>
    </row>
    <row r="46" spans="1:21" ht="15" x14ac:dyDescent="0.25">
      <c r="A46" s="71">
        <v>44</v>
      </c>
      <c r="B46" s="72">
        <f t="shared" ca="1" si="0"/>
        <v>9670</v>
      </c>
      <c r="C46" s="73">
        <f t="shared" ca="1" si="2"/>
        <v>7907</v>
      </c>
      <c r="D46" s="74">
        <f t="shared" ca="1" si="3"/>
        <v>7872</v>
      </c>
      <c r="E46" s="80"/>
      <c r="F46" s="36">
        <v>44</v>
      </c>
      <c r="G46" s="58">
        <v>1436</v>
      </c>
      <c r="H46" s="58">
        <v>6754</v>
      </c>
      <c r="I46" s="58">
        <v>7538</v>
      </c>
      <c r="L46" s="63">
        <f t="shared" ca="1" si="1"/>
        <v>0.27997191598170634</v>
      </c>
      <c r="M46" s="25">
        <v>45</v>
      </c>
      <c r="N46" s="66">
        <v>44</v>
      </c>
      <c r="O46" s="66">
        <f t="shared" ca="1" si="4"/>
        <v>546</v>
      </c>
      <c r="P46" s="75">
        <f t="shared" ca="1" si="5"/>
        <v>14.416754008420467</v>
      </c>
      <c r="Q46" s="63">
        <f t="shared" ca="1" si="6"/>
        <v>7872</v>
      </c>
      <c r="R46" s="63"/>
      <c r="S46" s="70"/>
      <c r="T46" s="63"/>
      <c r="U46" s="63"/>
    </row>
    <row r="47" spans="1:21" ht="15" x14ac:dyDescent="0.25">
      <c r="A47" s="71">
        <v>45</v>
      </c>
      <c r="B47" s="72">
        <f t="shared" ca="1" si="0"/>
        <v>10625</v>
      </c>
      <c r="C47" s="73">
        <f t="shared" ca="1" si="2"/>
        <v>8084</v>
      </c>
      <c r="D47" s="74">
        <f t="shared" ca="1" si="3"/>
        <v>9670</v>
      </c>
      <c r="E47" s="80"/>
      <c r="F47" s="36">
        <v>45</v>
      </c>
      <c r="G47" s="58">
        <v>7787</v>
      </c>
      <c r="H47" s="58">
        <v>6983</v>
      </c>
      <c r="I47" s="58">
        <v>7226</v>
      </c>
      <c r="L47" s="63">
        <f t="shared" ca="1" si="1"/>
        <v>0.14495332699465835</v>
      </c>
      <c r="M47" s="66">
        <v>47</v>
      </c>
      <c r="N47" s="66">
        <v>45</v>
      </c>
      <c r="O47" s="66">
        <f t="shared" ca="1" si="4"/>
        <v>555</v>
      </c>
      <c r="P47" s="75">
        <f t="shared" ca="1" si="5"/>
        <v>17.422696485547128</v>
      </c>
      <c r="Q47" s="63">
        <f t="shared" ca="1" si="6"/>
        <v>9670</v>
      </c>
      <c r="R47" s="63"/>
      <c r="S47" s="70"/>
      <c r="T47" s="63"/>
      <c r="U47" s="63"/>
    </row>
    <row r="48" spans="1:21" ht="15" x14ac:dyDescent="0.25">
      <c r="A48" s="71">
        <v>46</v>
      </c>
      <c r="B48" s="72">
        <f t="shared" ca="1" si="0"/>
        <v>6778</v>
      </c>
      <c r="C48" s="73">
        <f t="shared" ca="1" si="2"/>
        <v>8087</v>
      </c>
      <c r="D48" s="74">
        <f t="shared" ca="1" si="3"/>
        <v>7047</v>
      </c>
      <c r="E48" s="80"/>
      <c r="F48" s="36">
        <v>46</v>
      </c>
      <c r="G48" s="58">
        <v>9099</v>
      </c>
      <c r="H48" s="58">
        <v>7001</v>
      </c>
      <c r="I48" s="58">
        <v>6526</v>
      </c>
      <c r="L48" s="63">
        <f t="shared" ca="1" si="1"/>
        <v>0.50508453698719546</v>
      </c>
      <c r="M48" s="66">
        <v>48</v>
      </c>
      <c r="N48" s="66">
        <v>46</v>
      </c>
      <c r="O48" s="66">
        <f t="shared" ca="1" si="4"/>
        <v>564</v>
      </c>
      <c r="P48" s="75">
        <f t="shared" ca="1" si="5"/>
        <v>12.495561211182798</v>
      </c>
      <c r="Q48" s="63">
        <f t="shared" ca="1" si="6"/>
        <v>7047</v>
      </c>
      <c r="R48" s="63"/>
      <c r="S48" s="70"/>
      <c r="T48" s="63"/>
      <c r="U48" s="63"/>
    </row>
    <row r="49" spans="1:21" ht="15" x14ac:dyDescent="0.25">
      <c r="A49" s="71">
        <v>47</v>
      </c>
      <c r="B49" s="72">
        <f t="shared" ca="1" si="0"/>
        <v>2013</v>
      </c>
      <c r="C49" s="73">
        <f t="shared" ca="1" si="2"/>
        <v>7778</v>
      </c>
      <c r="D49" s="74">
        <f t="shared" ca="1" si="3"/>
        <v>7909</v>
      </c>
      <c r="E49" s="80"/>
      <c r="F49" s="36">
        <v>47</v>
      </c>
      <c r="G49" s="58">
        <v>7001</v>
      </c>
      <c r="H49" s="58">
        <v>6526</v>
      </c>
      <c r="I49" s="58">
        <v>7472</v>
      </c>
      <c r="L49" s="63">
        <f t="shared" ca="1" si="1"/>
        <v>0.97990178850992526</v>
      </c>
      <c r="M49" s="66">
        <v>42</v>
      </c>
      <c r="N49" s="66">
        <v>47</v>
      </c>
      <c r="O49" s="66">
        <f t="shared" ca="1" si="4"/>
        <v>573</v>
      </c>
      <c r="P49" s="75">
        <f t="shared" ca="1" si="5"/>
        <v>13.802548127510018</v>
      </c>
      <c r="Q49" s="63">
        <f t="shared" ca="1" si="6"/>
        <v>7909</v>
      </c>
      <c r="R49" s="63"/>
      <c r="S49" s="70"/>
      <c r="T49" s="63"/>
      <c r="U49" s="63"/>
    </row>
    <row r="50" spans="1:21" ht="15" x14ac:dyDescent="0.25">
      <c r="A50" s="71">
        <v>48</v>
      </c>
      <c r="B50" s="72">
        <f t="shared" ca="1" si="0"/>
        <v>6158</v>
      </c>
      <c r="C50" s="73">
        <f t="shared" ca="1" si="2"/>
        <v>7786</v>
      </c>
      <c r="D50" s="74">
        <f t="shared" ca="1" si="3"/>
        <v>8653</v>
      </c>
      <c r="E50" s="80"/>
      <c r="F50" s="36">
        <v>48</v>
      </c>
      <c r="G50" s="58">
        <v>9499</v>
      </c>
      <c r="H50" s="58">
        <v>6532</v>
      </c>
      <c r="I50" s="58">
        <v>7242</v>
      </c>
      <c r="L50" s="63">
        <f t="shared" ca="1" si="1"/>
        <v>0.55914626346944818</v>
      </c>
      <c r="M50" s="66">
        <v>43</v>
      </c>
      <c r="N50" s="66">
        <v>48</v>
      </c>
      <c r="O50" s="66">
        <f t="shared" ca="1" si="4"/>
        <v>582</v>
      </c>
      <c r="P50" s="75">
        <f t="shared" ca="1" si="5"/>
        <v>14.868395531680518</v>
      </c>
      <c r="Q50" s="63">
        <f t="shared" ca="1" si="6"/>
        <v>8653</v>
      </c>
      <c r="R50" s="63"/>
      <c r="S50" s="70"/>
      <c r="T50" s="63"/>
      <c r="U50" s="63"/>
    </row>
    <row r="51" spans="1:21" ht="15" x14ac:dyDescent="0.25">
      <c r="A51" s="71">
        <v>49</v>
      </c>
      <c r="B51" s="72">
        <f t="shared" ca="1" si="0"/>
        <v>5840</v>
      </c>
      <c r="C51" s="73">
        <f t="shared" ca="1" si="2"/>
        <v>8600</v>
      </c>
      <c r="D51" s="74">
        <f t="shared" ca="1" si="3"/>
        <v>9483</v>
      </c>
      <c r="E51" s="80"/>
      <c r="F51" s="36">
        <v>49</v>
      </c>
      <c r="G51" s="58">
        <v>2078</v>
      </c>
      <c r="H51" s="58">
        <v>7226</v>
      </c>
      <c r="I51" s="58">
        <v>7583</v>
      </c>
      <c r="L51" s="63">
        <f t="shared" ca="1" si="1"/>
        <v>0.47875578074322289</v>
      </c>
      <c r="M51" s="66">
        <v>50</v>
      </c>
      <c r="N51" s="66">
        <v>49</v>
      </c>
      <c r="O51" s="66">
        <f t="shared" ca="1" si="4"/>
        <v>591</v>
      </c>
      <c r="P51" s="75">
        <f t="shared" ca="1" si="5"/>
        <v>16.046221615331124</v>
      </c>
      <c r="Q51" s="63">
        <f t="shared" ca="1" si="6"/>
        <v>9483</v>
      </c>
      <c r="R51" s="63"/>
      <c r="S51" s="70"/>
      <c r="T51" s="63"/>
      <c r="U51" s="63"/>
    </row>
    <row r="52" spans="1:21" ht="15" x14ac:dyDescent="0.25">
      <c r="A52" s="71">
        <v>50</v>
      </c>
      <c r="B52" s="72">
        <f t="shared" ca="1" si="0"/>
        <v>5455</v>
      </c>
      <c r="C52" s="73">
        <f t="shared" ca="1" si="2"/>
        <v>8389</v>
      </c>
      <c r="D52" s="74">
        <f t="shared" ca="1" si="3"/>
        <v>9327</v>
      </c>
      <c r="E52" s="80"/>
      <c r="F52" s="36">
        <v>50</v>
      </c>
      <c r="G52" s="58">
        <v>4336</v>
      </c>
      <c r="H52" s="58">
        <v>7172</v>
      </c>
      <c r="I52" s="58">
        <v>9442</v>
      </c>
      <c r="L52" s="63">
        <f t="shared" ca="1" si="1"/>
        <v>0.57738721279452132</v>
      </c>
      <c r="M52" s="66">
        <v>49</v>
      </c>
      <c r="N52" s="66">
        <v>50</v>
      </c>
      <c r="O52" s="66">
        <f t="shared" ca="1" si="4"/>
        <v>600</v>
      </c>
      <c r="P52" s="75">
        <f t="shared" ca="1" si="5"/>
        <v>15.544378559340645</v>
      </c>
      <c r="Q52" s="63">
        <f t="shared" ca="1" si="6"/>
        <v>9327</v>
      </c>
      <c r="R52" s="63"/>
      <c r="S52" s="70"/>
      <c r="T52" s="63"/>
      <c r="U52" s="63"/>
    </row>
    <row r="53" spans="1:21" ht="15" x14ac:dyDescent="0.25">
      <c r="A53" s="71">
        <v>51</v>
      </c>
      <c r="B53" s="72">
        <f t="shared" ca="1" si="0"/>
        <v>14088</v>
      </c>
      <c r="C53" s="73">
        <f t="shared" ca="1" si="2"/>
        <v>8653</v>
      </c>
      <c r="D53" s="74">
        <f t="shared" ca="1" si="3"/>
        <v>7907</v>
      </c>
      <c r="E53" s="80"/>
      <c r="F53" s="36">
        <v>51</v>
      </c>
      <c r="G53" s="58">
        <v>2528</v>
      </c>
      <c r="H53" s="58">
        <v>7242</v>
      </c>
      <c r="I53" s="58">
        <v>6983</v>
      </c>
      <c r="L53" s="63">
        <f t="shared" ca="1" si="1"/>
        <v>4.4110553316858203E-2</v>
      </c>
      <c r="M53" s="66">
        <v>51</v>
      </c>
      <c r="N53" s="66">
        <v>51</v>
      </c>
      <c r="O53" s="66">
        <f t="shared" ca="1" si="4"/>
        <v>609</v>
      </c>
      <c r="P53" s="75">
        <f t="shared" ca="1" si="5"/>
        <v>12.983885817128378</v>
      </c>
      <c r="Q53" s="63">
        <f t="shared" ca="1" si="6"/>
        <v>7907</v>
      </c>
      <c r="R53" s="63"/>
      <c r="S53" s="70"/>
      <c r="T53" s="63"/>
      <c r="U53" s="63"/>
    </row>
    <row r="54" spans="1:21" ht="15" x14ac:dyDescent="0.25">
      <c r="A54" s="71">
        <v>52</v>
      </c>
      <c r="B54" s="72">
        <f t="shared" ca="1" si="0"/>
        <v>7705</v>
      </c>
      <c r="C54" s="73">
        <f t="shared" ca="1" si="2"/>
        <v>9142</v>
      </c>
      <c r="D54" s="74">
        <f t="shared" ca="1" si="3"/>
        <v>7778</v>
      </c>
      <c r="E54" s="80"/>
      <c r="F54" s="36">
        <v>52</v>
      </c>
      <c r="G54" s="58">
        <v>5761</v>
      </c>
      <c r="H54" s="58">
        <v>7583</v>
      </c>
      <c r="I54" s="58">
        <v>6894</v>
      </c>
      <c r="L54" s="63">
        <f t="shared" ca="1" si="1"/>
        <v>0.20613431864599063</v>
      </c>
      <c r="M54" s="66">
        <v>54</v>
      </c>
      <c r="N54" s="66">
        <v>52</v>
      </c>
      <c r="O54" s="66">
        <f t="shared" ca="1" si="4"/>
        <v>618</v>
      </c>
      <c r="P54" s="75">
        <f t="shared" ca="1" si="5"/>
        <v>12.586408410942335</v>
      </c>
      <c r="Q54" s="63">
        <f t="shared" ca="1" si="6"/>
        <v>7778</v>
      </c>
      <c r="R54" s="63"/>
      <c r="S54" s="70"/>
      <c r="T54" s="63"/>
      <c r="U54" s="63"/>
    </row>
    <row r="55" spans="1:21" ht="15" x14ac:dyDescent="0.25">
      <c r="A55" s="71">
        <v>53</v>
      </c>
      <c r="B55" s="72">
        <f t="shared" ca="1" si="0"/>
        <v>2531</v>
      </c>
      <c r="C55" s="73">
        <f t="shared" ca="1" si="2"/>
        <v>8956</v>
      </c>
      <c r="D55" s="74">
        <f t="shared" ca="1" si="3"/>
        <v>9155</v>
      </c>
      <c r="E55" s="80"/>
      <c r="F55" s="36">
        <v>53</v>
      </c>
      <c r="G55" s="58">
        <v>8721</v>
      </c>
      <c r="H55" s="58">
        <v>7538</v>
      </c>
      <c r="I55" s="58">
        <v>7001</v>
      </c>
      <c r="L55" s="63">
        <f t="shared" ca="1" si="1"/>
        <v>0.89415220146114438</v>
      </c>
      <c r="M55" s="66">
        <v>53</v>
      </c>
      <c r="N55" s="66">
        <v>53</v>
      </c>
      <c r="O55" s="66">
        <f t="shared" ca="1" si="4"/>
        <v>627</v>
      </c>
      <c r="P55" s="75">
        <f t="shared" ca="1" si="5"/>
        <v>14.600966037084193</v>
      </c>
      <c r="Q55" s="63">
        <f t="shared" ca="1" si="6"/>
        <v>9155</v>
      </c>
      <c r="R55" s="63"/>
      <c r="S55" s="63"/>
      <c r="T55" s="63"/>
      <c r="U55" s="63"/>
    </row>
    <row r="56" spans="1:21" ht="15" x14ac:dyDescent="0.25">
      <c r="A56" s="71">
        <v>54</v>
      </c>
      <c r="B56" s="72">
        <f t="shared" ca="1" si="0"/>
        <v>8084</v>
      </c>
      <c r="C56" s="73">
        <f t="shared" ca="1" si="2"/>
        <v>8774</v>
      </c>
      <c r="D56" s="74">
        <f t="shared" ca="1" si="3"/>
        <v>9645</v>
      </c>
      <c r="E56" s="80"/>
      <c r="F56" s="36">
        <v>54</v>
      </c>
      <c r="G56" s="58">
        <v>5561</v>
      </c>
      <c r="H56" s="58">
        <v>7472</v>
      </c>
      <c r="I56" s="58">
        <v>9135</v>
      </c>
      <c r="L56" s="63">
        <f t="shared" ca="1" si="1"/>
        <v>0.35882304326539116</v>
      </c>
      <c r="M56" s="66">
        <v>52</v>
      </c>
      <c r="N56" s="66">
        <v>54</v>
      </c>
      <c r="O56" s="66">
        <f t="shared" ca="1" si="4"/>
        <v>636</v>
      </c>
      <c r="P56" s="75">
        <f t="shared" ca="1" si="5"/>
        <v>15.165207195785454</v>
      </c>
      <c r="Q56" s="63">
        <f t="shared" ca="1" si="6"/>
        <v>9645</v>
      </c>
      <c r="R56" s="63"/>
      <c r="S56" s="63"/>
      <c r="T56" s="63"/>
      <c r="U56" s="63"/>
    </row>
    <row r="57" spans="1:21" ht="15" x14ac:dyDescent="0.25">
      <c r="A57" s="71">
        <v>55</v>
      </c>
      <c r="B57" s="72">
        <f t="shared" ca="1" si="0"/>
        <v>9142</v>
      </c>
      <c r="C57" s="73">
        <f t="shared" ca="1" si="2"/>
        <v>9155</v>
      </c>
      <c r="D57" s="74">
        <f t="shared" ca="1" si="3"/>
        <v>10387</v>
      </c>
      <c r="E57" s="80"/>
      <c r="F57" s="36">
        <v>55</v>
      </c>
      <c r="G57" s="58">
        <v>3935</v>
      </c>
      <c r="H57" s="58">
        <v>7787</v>
      </c>
      <c r="I57" s="58">
        <v>9895</v>
      </c>
      <c r="L57" s="63">
        <f t="shared" ca="1" si="1"/>
        <v>0.16628805024507409</v>
      </c>
      <c r="M57" s="66">
        <v>55</v>
      </c>
      <c r="N57" s="66">
        <v>55</v>
      </c>
      <c r="O57" s="66">
        <f t="shared" ca="1" si="4"/>
        <v>645</v>
      </c>
      <c r="P57" s="75">
        <f t="shared" ca="1" si="5"/>
        <v>16.104477107425271</v>
      </c>
      <c r="Q57" s="63">
        <f t="shared" ca="1" si="6"/>
        <v>10387</v>
      </c>
      <c r="R57" s="63"/>
      <c r="S57" s="63"/>
      <c r="T57" s="63"/>
      <c r="U57" s="63"/>
    </row>
    <row r="58" spans="1:21" ht="15" x14ac:dyDescent="0.25">
      <c r="A58" s="71">
        <v>56</v>
      </c>
      <c r="B58" s="72">
        <f t="shared" ca="1" si="0"/>
        <v>8774</v>
      </c>
      <c r="C58" s="73">
        <f t="shared" ca="1" si="2"/>
        <v>9327</v>
      </c>
      <c r="D58" s="74">
        <f t="shared" ca="1" si="3"/>
        <v>7705</v>
      </c>
      <c r="E58" s="80"/>
      <c r="F58" s="36">
        <v>56</v>
      </c>
      <c r="G58" s="58">
        <v>3019</v>
      </c>
      <c r="H58" s="58">
        <v>8593</v>
      </c>
      <c r="I58" s="58">
        <v>5761</v>
      </c>
      <c r="L58" s="63">
        <f t="shared" ca="1" si="1"/>
        <v>0.33195453230447158</v>
      </c>
      <c r="M58" s="66">
        <v>56</v>
      </c>
      <c r="N58" s="66">
        <v>56</v>
      </c>
      <c r="O58" s="66">
        <f t="shared" ca="1" si="4"/>
        <v>654</v>
      </c>
      <c r="P58" s="75">
        <f t="shared" ca="1" si="5"/>
        <v>11.78063404574285</v>
      </c>
      <c r="Q58" s="63">
        <f t="shared" ca="1" si="6"/>
        <v>7705</v>
      </c>
      <c r="R58" s="63"/>
      <c r="S58" s="63"/>
      <c r="T58" s="63"/>
      <c r="U58" s="63"/>
    </row>
    <row r="59" spans="1:21" ht="15" x14ac:dyDescent="0.25">
      <c r="A59" s="71">
        <v>57</v>
      </c>
      <c r="B59" s="72">
        <f t="shared" ca="1" si="0"/>
        <v>5752</v>
      </c>
      <c r="C59" s="73">
        <f t="shared" ca="1" si="2"/>
        <v>9645</v>
      </c>
      <c r="D59" s="74">
        <f t="shared" ca="1" si="3"/>
        <v>8087</v>
      </c>
      <c r="E59" s="80"/>
      <c r="F59" s="36">
        <v>57</v>
      </c>
      <c r="G59" s="58">
        <v>5801</v>
      </c>
      <c r="H59" s="58">
        <v>8720</v>
      </c>
      <c r="I59" s="58">
        <v>6754</v>
      </c>
      <c r="L59" s="63">
        <f t="shared" ca="1" si="1"/>
        <v>0.43995590173370569</v>
      </c>
      <c r="M59" s="66">
        <v>58</v>
      </c>
      <c r="N59" s="66">
        <v>57</v>
      </c>
      <c r="O59" s="66">
        <f t="shared" ca="1" si="4"/>
        <v>663</v>
      </c>
      <c r="P59" s="75">
        <f t="shared" ca="1" si="5"/>
        <v>12.197086576124011</v>
      </c>
      <c r="Q59" s="63">
        <f t="shared" ca="1" si="6"/>
        <v>8087</v>
      </c>
      <c r="R59" s="63"/>
      <c r="S59" s="63"/>
      <c r="T59" s="63"/>
      <c r="U59" s="63"/>
    </row>
    <row r="60" spans="1:21" ht="15" x14ac:dyDescent="0.25">
      <c r="A60" s="71">
        <v>58</v>
      </c>
      <c r="B60" s="72">
        <f t="shared" ca="1" si="0"/>
        <v>7786</v>
      </c>
      <c r="C60" s="73">
        <f t="shared" ca="1" si="2"/>
        <v>10387</v>
      </c>
      <c r="D60" s="74">
        <f t="shared" ca="1" si="3"/>
        <v>9142</v>
      </c>
      <c r="E60" s="80"/>
      <c r="F60" s="36">
        <v>58</v>
      </c>
      <c r="G60" s="58">
        <v>3099</v>
      </c>
      <c r="H60" s="58">
        <v>9099</v>
      </c>
      <c r="I60" s="58">
        <v>7787</v>
      </c>
      <c r="L60" s="63">
        <f t="shared" ca="1" si="1"/>
        <v>0.40143663593009338</v>
      </c>
      <c r="M60" s="66">
        <v>62</v>
      </c>
      <c r="N60" s="66">
        <v>58</v>
      </c>
      <c r="O60" s="66">
        <f t="shared" ca="1" si="4"/>
        <v>672</v>
      </c>
      <c r="P60" s="75">
        <f t="shared" ca="1" si="5"/>
        <v>13.60375607620994</v>
      </c>
      <c r="Q60" s="63">
        <f t="shared" ca="1" si="6"/>
        <v>9142</v>
      </c>
      <c r="R60" s="63"/>
      <c r="S60" s="63"/>
      <c r="T60" s="63"/>
      <c r="U60" s="63"/>
    </row>
    <row r="61" spans="1:21" ht="15" x14ac:dyDescent="0.25">
      <c r="A61" s="71">
        <v>59</v>
      </c>
      <c r="B61" s="72">
        <f t="shared" ca="1" si="0"/>
        <v>7405</v>
      </c>
      <c r="C61" s="73">
        <f t="shared" ca="1" si="2"/>
        <v>9483</v>
      </c>
      <c r="D61" s="74">
        <f t="shared" ca="1" si="3"/>
        <v>10868</v>
      </c>
      <c r="E61" s="80"/>
      <c r="F61" s="36">
        <v>59</v>
      </c>
      <c r="G61" s="58">
        <v>4861</v>
      </c>
      <c r="H61" s="58">
        <v>8705</v>
      </c>
      <c r="I61" s="58">
        <v>10108</v>
      </c>
      <c r="L61" s="63">
        <f t="shared" ca="1" si="1"/>
        <v>0.35246403011698779</v>
      </c>
      <c r="M61" s="66">
        <v>57</v>
      </c>
      <c r="N61" s="66">
        <v>59</v>
      </c>
      <c r="O61" s="66">
        <f t="shared" ca="1" si="4"/>
        <v>681</v>
      </c>
      <c r="P61" s="75">
        <f t="shared" ca="1" si="5"/>
        <v>15.958423672288649</v>
      </c>
      <c r="Q61" s="63">
        <f t="shared" ca="1" si="6"/>
        <v>10868</v>
      </c>
      <c r="R61" s="63"/>
      <c r="S61" s="63"/>
      <c r="T61" s="63"/>
      <c r="U61" s="63"/>
    </row>
    <row r="62" spans="1:21" ht="15" x14ac:dyDescent="0.25">
      <c r="A62" s="71">
        <v>60</v>
      </c>
      <c r="B62" s="72">
        <f t="shared" ca="1" si="0"/>
        <v>4935</v>
      </c>
      <c r="C62" s="73">
        <f t="shared" ca="1" si="2"/>
        <v>9670</v>
      </c>
      <c r="D62" s="74">
        <f t="shared" ca="1" si="3"/>
        <v>12595</v>
      </c>
      <c r="E62" s="80"/>
      <c r="F62" s="36">
        <v>60</v>
      </c>
      <c r="G62" s="58">
        <v>7538</v>
      </c>
      <c r="H62" s="58">
        <v>8721</v>
      </c>
      <c r="I62" s="58">
        <v>8783</v>
      </c>
      <c r="L62" s="63">
        <f t="shared" ca="1" si="1"/>
        <v>0.74087034872441981</v>
      </c>
      <c r="M62" s="66">
        <v>59</v>
      </c>
      <c r="N62" s="66">
        <v>60</v>
      </c>
      <c r="O62" s="66">
        <f t="shared" ca="1" si="4"/>
        <v>690</v>
      </c>
      <c r="P62" s="75">
        <f t="shared" ca="1" si="5"/>
        <v>18.253621310824634</v>
      </c>
      <c r="Q62" s="63">
        <f t="shared" ca="1" si="6"/>
        <v>12595</v>
      </c>
      <c r="R62" s="63"/>
      <c r="S62" s="63"/>
      <c r="T62" s="63"/>
      <c r="U62" s="63"/>
    </row>
    <row r="63" spans="1:21" ht="15" x14ac:dyDescent="0.25">
      <c r="A63" s="71">
        <v>61</v>
      </c>
      <c r="B63" s="72">
        <f t="shared" ca="1" si="0"/>
        <v>3119</v>
      </c>
      <c r="C63" s="73">
        <f t="shared" ca="1" si="2"/>
        <v>10035</v>
      </c>
      <c r="D63" s="74">
        <f t="shared" ca="1" si="3"/>
        <v>8600</v>
      </c>
      <c r="E63" s="80"/>
      <c r="F63" s="36">
        <v>61</v>
      </c>
      <c r="G63" s="58">
        <v>7583</v>
      </c>
      <c r="H63" s="58">
        <v>8751</v>
      </c>
      <c r="I63" s="58">
        <v>8705</v>
      </c>
      <c r="L63" s="63">
        <f t="shared" ca="1" si="1"/>
        <v>0.85664151152967238</v>
      </c>
      <c r="M63" s="66">
        <v>60</v>
      </c>
      <c r="N63" s="66">
        <v>61</v>
      </c>
      <c r="O63" s="66">
        <f t="shared" ca="1" si="4"/>
        <v>699</v>
      </c>
      <c r="P63" s="75">
        <f t="shared" ca="1" si="5"/>
        <v>12.302861764960596</v>
      </c>
      <c r="Q63" s="63">
        <f t="shared" ca="1" si="6"/>
        <v>8600</v>
      </c>
      <c r="R63" s="63"/>
      <c r="S63" s="63"/>
      <c r="T63" s="63"/>
      <c r="U63" s="63"/>
    </row>
    <row r="64" spans="1:21" ht="15" x14ac:dyDescent="0.25">
      <c r="A64" s="71">
        <v>62</v>
      </c>
      <c r="B64" s="72">
        <f t="shared" ca="1" si="0"/>
        <v>3731</v>
      </c>
      <c r="C64" s="73">
        <f t="shared" ca="1" si="2"/>
        <v>10326</v>
      </c>
      <c r="D64" s="74">
        <f t="shared" ca="1" si="3"/>
        <v>8956</v>
      </c>
      <c r="E64" s="80"/>
      <c r="F64" s="36">
        <v>62</v>
      </c>
      <c r="G64" s="58">
        <v>3779</v>
      </c>
      <c r="H64" s="58">
        <v>8783</v>
      </c>
      <c r="I64" s="58">
        <v>8721</v>
      </c>
      <c r="L64" s="63">
        <f t="shared" ca="1" si="1"/>
        <v>0.9242455853322773</v>
      </c>
      <c r="M64" s="66">
        <v>61</v>
      </c>
      <c r="N64" s="66">
        <v>62</v>
      </c>
      <c r="O64" s="66">
        <f t="shared" ca="1" si="4"/>
        <v>708</v>
      </c>
      <c r="P64" s="75">
        <f t="shared" ca="1" si="5"/>
        <v>12.649192471473814</v>
      </c>
      <c r="Q64" s="63">
        <f t="shared" ca="1" si="6"/>
        <v>8956</v>
      </c>
      <c r="R64" s="63"/>
      <c r="S64" s="63"/>
      <c r="T64" s="63"/>
      <c r="U64" s="63"/>
    </row>
    <row r="65" spans="1:22" ht="15" x14ac:dyDescent="0.25">
      <c r="A65" s="71">
        <v>63</v>
      </c>
      <c r="B65" s="72">
        <f t="shared" ca="1" si="0"/>
        <v>3379</v>
      </c>
      <c r="C65" s="73">
        <f t="shared" ca="1" si="2"/>
        <v>10512</v>
      </c>
      <c r="D65" s="74">
        <f t="shared" ca="1" si="3"/>
        <v>10625</v>
      </c>
      <c r="E65" s="80"/>
      <c r="F65" s="36">
        <v>63</v>
      </c>
      <c r="G65" s="58">
        <v>4523</v>
      </c>
      <c r="H65" s="58">
        <v>9442</v>
      </c>
      <c r="I65" s="58">
        <v>8593</v>
      </c>
      <c r="L65" s="63">
        <f t="shared" ca="1" si="1"/>
        <v>0.77231156329703821</v>
      </c>
      <c r="M65" s="66">
        <v>64</v>
      </c>
      <c r="N65" s="66">
        <v>63</v>
      </c>
      <c r="O65" s="66">
        <f t="shared" ca="1" si="4"/>
        <v>717</v>
      </c>
      <c r="P65" s="75">
        <f t="shared" ca="1" si="5"/>
        <v>14.81921901023024</v>
      </c>
      <c r="Q65" s="63">
        <f t="shared" ca="1" si="6"/>
        <v>10625</v>
      </c>
      <c r="R65" s="63"/>
      <c r="S65" s="63"/>
      <c r="T65" s="63"/>
      <c r="U65" s="63"/>
    </row>
    <row r="66" spans="1:22" ht="15" x14ac:dyDescent="0.25">
      <c r="A66" s="71">
        <v>64</v>
      </c>
      <c r="B66" s="72">
        <f t="shared" ca="1" si="0"/>
        <v>10326</v>
      </c>
      <c r="C66" s="73">
        <f t="shared" ca="1" si="2"/>
        <v>10388</v>
      </c>
      <c r="D66" s="74">
        <f t="shared" ca="1" si="3"/>
        <v>11717</v>
      </c>
      <c r="E66" s="80"/>
      <c r="F66" s="36">
        <v>64</v>
      </c>
      <c r="G66" s="58">
        <v>5475</v>
      </c>
      <c r="H66" s="58">
        <v>9135</v>
      </c>
      <c r="I66" s="58">
        <v>9499</v>
      </c>
      <c r="L66" s="63">
        <f t="shared" ca="1" si="1"/>
        <v>5.0731346702370228E-2</v>
      </c>
      <c r="M66" s="66">
        <v>63</v>
      </c>
      <c r="N66" s="66">
        <v>64</v>
      </c>
      <c r="O66" s="66">
        <f t="shared" ca="1" si="4"/>
        <v>726</v>
      </c>
      <c r="P66" s="75">
        <f t="shared" ca="1" si="5"/>
        <v>16.138507673390333</v>
      </c>
      <c r="Q66" s="63">
        <f t="shared" ca="1" si="6"/>
        <v>11717</v>
      </c>
      <c r="R66" s="63"/>
      <c r="S66" s="63"/>
      <c r="T66" s="63"/>
      <c r="U66" s="63"/>
    </row>
    <row r="67" spans="1:22" ht="15" x14ac:dyDescent="0.25">
      <c r="A67" s="71">
        <v>65</v>
      </c>
      <c r="B67" s="72">
        <f t="shared" ref="B67:B77" ca="1" si="7">INDEX($Q$3:$Q$77,RANK(L67,$L$3:$L$77))</f>
        <v>6041</v>
      </c>
      <c r="C67" s="73">
        <f t="shared" ca="1" si="2"/>
        <v>11837</v>
      </c>
      <c r="D67" s="74">
        <f t="shared" ca="1" si="3"/>
        <v>13152</v>
      </c>
      <c r="E67" s="80"/>
      <c r="F67" s="36">
        <v>65</v>
      </c>
      <c r="G67" s="58">
        <v>1909</v>
      </c>
      <c r="H67" s="58">
        <v>9895</v>
      </c>
      <c r="I67" s="58">
        <v>10367</v>
      </c>
      <c r="L67" s="63">
        <f t="shared" ref="L67:L77" ca="1" si="8">RAND()</f>
        <v>0.5178544205404193</v>
      </c>
      <c r="M67" s="66">
        <v>68</v>
      </c>
      <c r="N67" s="66">
        <v>65</v>
      </c>
      <c r="O67" s="66">
        <f t="shared" ca="1" si="4"/>
        <v>735</v>
      </c>
      <c r="P67" s="75">
        <f t="shared" ca="1" si="5"/>
        <v>17.893527466573651</v>
      </c>
      <c r="Q67" s="63">
        <f t="shared" ca="1" si="6"/>
        <v>13152</v>
      </c>
      <c r="R67" s="63"/>
      <c r="S67" s="63"/>
      <c r="T67" s="63"/>
      <c r="U67" s="63"/>
    </row>
    <row r="68" spans="1:22" ht="15" x14ac:dyDescent="0.25">
      <c r="A68" s="71">
        <v>66</v>
      </c>
      <c r="B68" s="72">
        <f t="shared" ca="1" si="7"/>
        <v>12429</v>
      </c>
      <c r="C68" s="73">
        <f t="shared" ref="C68:C77" ca="1" si="9">SMALL($Q$3:$Q$77,M68)</f>
        <v>10868</v>
      </c>
      <c r="D68" s="74">
        <f t="shared" ref="D68:D77" ca="1" si="10">Q68</f>
        <v>10388</v>
      </c>
      <c r="E68" s="80"/>
      <c r="F68" s="36">
        <v>66</v>
      </c>
      <c r="G68" s="58">
        <v>10108</v>
      </c>
      <c r="H68" s="58">
        <v>9652</v>
      </c>
      <c r="I68" s="58">
        <v>8720</v>
      </c>
      <c r="L68" s="63">
        <f t="shared" ca="1" si="8"/>
        <v>3.8083132673297104E-2</v>
      </c>
      <c r="M68" s="66">
        <v>66</v>
      </c>
      <c r="N68" s="66">
        <v>66</v>
      </c>
      <c r="O68" s="66">
        <f t="shared" ref="O68:O77" ca="1" si="11">INT($R$1+$S$1*N68)</f>
        <v>744</v>
      </c>
      <c r="P68" s="75">
        <f t="shared" ref="P68:P77" ca="1" si="12">(((IF(MOD(N68,5)&lt;&gt;0,MOD(N68,5),5))+12)+_xlfn.NORM.S.INV(RAND()))</f>
        <v>13.962684614615602</v>
      </c>
      <c r="Q68" s="63">
        <f t="shared" ref="Q68:Q76" ca="1" si="13">ROUND(O68*P68,0)</f>
        <v>10388</v>
      </c>
      <c r="R68" s="63"/>
      <c r="S68" s="63"/>
      <c r="T68" s="63"/>
      <c r="U68" s="63"/>
    </row>
    <row r="69" spans="1:22" ht="15" x14ac:dyDescent="0.25">
      <c r="A69" s="71">
        <v>67</v>
      </c>
      <c r="B69" s="72">
        <f t="shared" ca="1" si="7"/>
        <v>4538</v>
      </c>
      <c r="C69" s="73">
        <f t="shared" ca="1" si="9"/>
        <v>11717</v>
      </c>
      <c r="D69" s="74">
        <f t="shared" ca="1" si="10"/>
        <v>10512</v>
      </c>
      <c r="E69" s="80"/>
      <c r="F69" s="36">
        <v>67</v>
      </c>
      <c r="G69" s="58">
        <v>4492</v>
      </c>
      <c r="H69" s="58">
        <v>9678</v>
      </c>
      <c r="I69" s="58">
        <v>9099</v>
      </c>
      <c r="L69" s="63">
        <f t="shared" ca="1" si="8"/>
        <v>0.72064342506960788</v>
      </c>
      <c r="M69" s="66">
        <v>67</v>
      </c>
      <c r="N69" s="66">
        <v>67</v>
      </c>
      <c r="O69" s="66">
        <f t="shared" ca="1" si="11"/>
        <v>753</v>
      </c>
      <c r="P69" s="75">
        <f t="shared" ca="1" si="12"/>
        <v>13.960677468915559</v>
      </c>
      <c r="Q69" s="63">
        <f t="shared" ca="1" si="13"/>
        <v>10512</v>
      </c>
      <c r="R69" s="63"/>
      <c r="S69" s="63"/>
      <c r="T69" s="63"/>
      <c r="U69" s="63"/>
    </row>
    <row r="70" spans="1:22" ht="15" x14ac:dyDescent="0.25">
      <c r="A70" s="71">
        <v>68</v>
      </c>
      <c r="B70" s="72">
        <f t="shared" ca="1" si="7"/>
        <v>8389</v>
      </c>
      <c r="C70" s="73">
        <f t="shared" ca="1" si="9"/>
        <v>10625</v>
      </c>
      <c r="D70" s="74">
        <f t="shared" ca="1" si="10"/>
        <v>10035</v>
      </c>
      <c r="E70" s="80"/>
      <c r="F70" s="36">
        <v>68</v>
      </c>
      <c r="G70" s="58">
        <v>8705</v>
      </c>
      <c r="H70" s="58">
        <v>9499</v>
      </c>
      <c r="I70" s="58">
        <v>9652</v>
      </c>
      <c r="L70" s="63">
        <f t="shared" ca="1" si="8"/>
        <v>0.38561908828430402</v>
      </c>
      <c r="M70" s="66">
        <v>65</v>
      </c>
      <c r="N70" s="66">
        <v>68</v>
      </c>
      <c r="O70" s="66">
        <f t="shared" ca="1" si="11"/>
        <v>762</v>
      </c>
      <c r="P70" s="75">
        <f t="shared" ca="1" si="12"/>
        <v>13.168931350565053</v>
      </c>
      <c r="Q70" s="63">
        <f t="shared" ca="1" si="13"/>
        <v>10035</v>
      </c>
      <c r="R70" s="63"/>
      <c r="S70" s="63"/>
      <c r="T70" s="63"/>
      <c r="U70" s="63"/>
    </row>
    <row r="71" spans="1:22" ht="15" x14ac:dyDescent="0.25">
      <c r="A71" s="71">
        <v>69</v>
      </c>
      <c r="B71" s="72">
        <f t="shared" ca="1" si="7"/>
        <v>5970</v>
      </c>
      <c r="C71" s="73">
        <f t="shared" ca="1" si="9"/>
        <v>12429</v>
      </c>
      <c r="D71" s="74">
        <f t="shared" ca="1" si="10"/>
        <v>12513</v>
      </c>
      <c r="E71" s="80"/>
      <c r="F71" s="36">
        <v>69</v>
      </c>
      <c r="G71" s="58">
        <v>5192</v>
      </c>
      <c r="H71" s="58">
        <v>10108</v>
      </c>
      <c r="I71" s="58">
        <v>10359</v>
      </c>
      <c r="L71" s="63">
        <f t="shared" ca="1" si="8"/>
        <v>0.39874488982464551</v>
      </c>
      <c r="M71" s="66">
        <v>69</v>
      </c>
      <c r="N71" s="66">
        <v>69</v>
      </c>
      <c r="O71" s="66">
        <f t="shared" ca="1" si="11"/>
        <v>771</v>
      </c>
      <c r="P71" s="75">
        <f t="shared" ca="1" si="12"/>
        <v>16.228960021624403</v>
      </c>
      <c r="Q71" s="63">
        <f t="shared" ca="1" si="13"/>
        <v>12513</v>
      </c>
      <c r="R71" s="63"/>
      <c r="S71" s="63"/>
      <c r="T71" s="63"/>
      <c r="U71" s="63"/>
    </row>
    <row r="72" spans="1:22" ht="15" x14ac:dyDescent="0.25">
      <c r="A72" s="71">
        <v>70</v>
      </c>
      <c r="B72" s="72">
        <f t="shared" ca="1" si="7"/>
        <v>11717</v>
      </c>
      <c r="C72" s="73">
        <f t="shared" ca="1" si="9"/>
        <v>12513</v>
      </c>
      <c r="D72" s="74">
        <f t="shared" ca="1" si="10"/>
        <v>13430</v>
      </c>
      <c r="E72" s="80"/>
      <c r="F72" s="36">
        <v>70</v>
      </c>
      <c r="G72" s="58">
        <v>3743</v>
      </c>
      <c r="H72" s="58">
        <v>10208</v>
      </c>
      <c r="I72" s="58">
        <v>11930</v>
      </c>
      <c r="L72" s="63">
        <f t="shared" ca="1" si="8"/>
        <v>0.12973939190657147</v>
      </c>
      <c r="M72" s="66">
        <v>70</v>
      </c>
      <c r="N72" s="66">
        <v>70</v>
      </c>
      <c r="O72" s="66">
        <f t="shared" ca="1" si="11"/>
        <v>780</v>
      </c>
      <c r="P72" s="75">
        <f t="shared" ca="1" si="12"/>
        <v>17.218015535341024</v>
      </c>
      <c r="Q72" s="63">
        <f t="shared" ca="1" si="13"/>
        <v>13430</v>
      </c>
      <c r="R72" s="63"/>
      <c r="S72" s="63"/>
      <c r="T72" s="63"/>
      <c r="U72" s="63"/>
    </row>
    <row r="73" spans="1:22" ht="15" x14ac:dyDescent="0.25">
      <c r="A73" s="71">
        <v>71</v>
      </c>
      <c r="B73" s="72">
        <f t="shared" ca="1" si="7"/>
        <v>7872</v>
      </c>
      <c r="C73" s="73">
        <f t="shared" ca="1" si="9"/>
        <v>13152</v>
      </c>
      <c r="D73" s="74">
        <f t="shared" ca="1" si="10"/>
        <v>11837</v>
      </c>
      <c r="E73" s="80"/>
      <c r="F73" s="36">
        <v>71</v>
      </c>
      <c r="G73" s="58">
        <v>10367</v>
      </c>
      <c r="H73" s="58">
        <v>10367</v>
      </c>
      <c r="I73" s="58">
        <v>8751</v>
      </c>
      <c r="L73" s="63">
        <f t="shared" ca="1" si="8"/>
        <v>0.29259403667486594</v>
      </c>
      <c r="M73" s="66">
        <v>72</v>
      </c>
      <c r="N73" s="66">
        <v>71</v>
      </c>
      <c r="O73" s="66">
        <f t="shared" ca="1" si="11"/>
        <v>789</v>
      </c>
      <c r="P73" s="75">
        <f t="shared" ca="1" si="12"/>
        <v>15.002082098825408</v>
      </c>
      <c r="Q73" s="63">
        <f t="shared" ca="1" si="13"/>
        <v>11837</v>
      </c>
      <c r="R73" s="63"/>
      <c r="S73" s="63"/>
      <c r="T73" s="63"/>
      <c r="U73" s="63"/>
    </row>
    <row r="74" spans="1:22" ht="15" x14ac:dyDescent="0.25">
      <c r="A74" s="71">
        <v>72</v>
      </c>
      <c r="B74" s="72">
        <f t="shared" ca="1" si="7"/>
        <v>4516</v>
      </c>
      <c r="C74" s="73">
        <f t="shared" ca="1" si="9"/>
        <v>15107</v>
      </c>
      <c r="D74" s="74">
        <f t="shared" ca="1" si="10"/>
        <v>10326</v>
      </c>
      <c r="E74" s="80"/>
      <c r="F74" s="36">
        <v>72</v>
      </c>
      <c r="G74" s="58">
        <v>4254</v>
      </c>
      <c r="H74" s="58">
        <v>12275</v>
      </c>
      <c r="I74" s="58">
        <v>9678</v>
      </c>
      <c r="L74" s="63">
        <f t="shared" ca="1" si="8"/>
        <v>0.74692469577870191</v>
      </c>
      <c r="M74" s="66">
        <v>75</v>
      </c>
      <c r="N74" s="66">
        <v>72</v>
      </c>
      <c r="O74" s="66">
        <f t="shared" ca="1" si="11"/>
        <v>798</v>
      </c>
      <c r="P74" s="75">
        <f t="shared" ca="1" si="12"/>
        <v>12.940085704328485</v>
      </c>
      <c r="Q74" s="63">
        <f t="shared" ca="1" si="13"/>
        <v>10326</v>
      </c>
      <c r="R74" s="63"/>
      <c r="S74" s="63"/>
      <c r="T74" s="63"/>
      <c r="U74" s="63"/>
    </row>
    <row r="75" spans="1:22" ht="15" x14ac:dyDescent="0.25">
      <c r="A75" s="71">
        <v>73</v>
      </c>
      <c r="B75" s="72">
        <f t="shared" ca="1" si="7"/>
        <v>10388</v>
      </c>
      <c r="C75" s="73">
        <f t="shared" ca="1" si="9"/>
        <v>12595</v>
      </c>
      <c r="D75" s="74">
        <f t="shared" ca="1" si="10"/>
        <v>14088</v>
      </c>
      <c r="E75" s="80"/>
      <c r="F75" s="36">
        <v>73</v>
      </c>
      <c r="G75" s="58">
        <v>6983</v>
      </c>
      <c r="H75" s="58">
        <v>10359</v>
      </c>
      <c r="I75" s="58">
        <v>10208</v>
      </c>
      <c r="L75" s="63">
        <f t="shared" ca="1" si="8"/>
        <v>0.11053706888142734</v>
      </c>
      <c r="M75" s="66">
        <v>71</v>
      </c>
      <c r="N75" s="66">
        <v>73</v>
      </c>
      <c r="O75" s="66">
        <f t="shared" ca="1" si="11"/>
        <v>807</v>
      </c>
      <c r="P75" s="75">
        <f t="shared" ca="1" si="12"/>
        <v>17.456938048320122</v>
      </c>
      <c r="Q75" s="63">
        <f t="shared" ca="1" si="13"/>
        <v>14088</v>
      </c>
      <c r="R75" s="63"/>
      <c r="S75" s="63"/>
      <c r="T75" s="63"/>
      <c r="U75" s="63"/>
    </row>
    <row r="76" spans="1:22" ht="15" x14ac:dyDescent="0.25">
      <c r="A76" s="71">
        <v>74</v>
      </c>
      <c r="B76" s="72">
        <f t="shared" ca="1" si="7"/>
        <v>10387</v>
      </c>
      <c r="C76" s="73">
        <f t="shared" ca="1" si="9"/>
        <v>13430</v>
      </c>
      <c r="D76" s="74">
        <f t="shared" ca="1" si="10"/>
        <v>12429</v>
      </c>
      <c r="E76" s="80"/>
      <c r="F76" s="36">
        <v>74</v>
      </c>
      <c r="G76" s="58">
        <v>2490</v>
      </c>
      <c r="H76" s="58">
        <v>11930</v>
      </c>
      <c r="I76" s="58">
        <v>12037</v>
      </c>
      <c r="L76" s="63">
        <f t="shared" ca="1" si="8"/>
        <v>0.23803120384341103</v>
      </c>
      <c r="M76" s="66">
        <v>73</v>
      </c>
      <c r="N76" s="66">
        <v>74</v>
      </c>
      <c r="O76" s="66">
        <f t="shared" ca="1" si="11"/>
        <v>816</v>
      </c>
      <c r="P76" s="75">
        <f t="shared" ca="1" si="12"/>
        <v>15.231314460020991</v>
      </c>
      <c r="Q76" s="63">
        <f t="shared" ca="1" si="13"/>
        <v>12429</v>
      </c>
      <c r="R76" s="63"/>
      <c r="S76" s="63"/>
      <c r="T76" s="63"/>
      <c r="U76" s="63"/>
    </row>
    <row r="77" spans="1:22" ht="15" x14ac:dyDescent="0.25">
      <c r="A77" s="71">
        <v>75</v>
      </c>
      <c r="B77" s="72">
        <f t="shared" ca="1" si="7"/>
        <v>5351</v>
      </c>
      <c r="C77" s="73">
        <f t="shared" ca="1" si="9"/>
        <v>14088</v>
      </c>
      <c r="D77" s="74">
        <f t="shared" ca="1" si="10"/>
        <v>15107</v>
      </c>
      <c r="E77" s="80"/>
      <c r="F77" s="36">
        <v>75</v>
      </c>
      <c r="G77" s="58">
        <v>2452</v>
      </c>
      <c r="H77" s="58">
        <v>12037</v>
      </c>
      <c r="I77" s="58">
        <v>12275</v>
      </c>
      <c r="L77" s="63">
        <f t="shared" ca="1" si="8"/>
        <v>0.60708441780952771</v>
      </c>
      <c r="M77" s="66">
        <v>74</v>
      </c>
      <c r="N77" s="66">
        <v>75</v>
      </c>
      <c r="O77" s="66">
        <f t="shared" ca="1" si="11"/>
        <v>825</v>
      </c>
      <c r="P77" s="75">
        <f t="shared" ca="1" si="12"/>
        <v>18.311034803038307</v>
      </c>
      <c r="Q77" s="63">
        <f ca="1">ROUND(O77*P77,0)</f>
        <v>15107</v>
      </c>
      <c r="R77" s="63"/>
      <c r="S77" s="63"/>
      <c r="T77" s="63"/>
      <c r="U77" s="63"/>
    </row>
    <row r="78" spans="1:22" ht="15" x14ac:dyDescent="0.25">
      <c r="A78"/>
      <c r="B78"/>
      <c r="C78"/>
      <c r="D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5" x14ac:dyDescent="0.25">
      <c r="A79"/>
      <c r="B79"/>
      <c r="C79"/>
      <c r="D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5" x14ac:dyDescent="0.25">
      <c r="A80"/>
      <c r="B80"/>
      <c r="C80"/>
      <c r="D80"/>
      <c r="E80" s="82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" x14ac:dyDescent="0.25">
      <c r="A81"/>
      <c r="B81"/>
      <c r="C81"/>
      <c r="D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5" x14ac:dyDescent="0.25"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5" x14ac:dyDescent="0.25"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5" x14ac:dyDescent="0.25"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5" x14ac:dyDescent="0.25"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5" x14ac:dyDescent="0.25"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" x14ac:dyDescent="0.25"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5" x14ac:dyDescent="0.25"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5" x14ac:dyDescent="0.25"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73" zoomScaleNormal="73" workbookViewId="0">
      <selection activeCell="L26" sqref="L26"/>
    </sheetView>
  </sheetViews>
  <sheetFormatPr defaultRowHeight="15" x14ac:dyDescent="0.25"/>
  <cols>
    <col min="1" max="1" width="6" bestFit="1" customWidth="1"/>
    <col min="2" max="2" width="10.28515625" bestFit="1" customWidth="1"/>
    <col min="3" max="3" width="14.28515625" bestFit="1" customWidth="1"/>
    <col min="4" max="4" width="17" customWidth="1"/>
    <col min="5" max="5" width="10.140625" bestFit="1" customWidth="1"/>
    <col min="6" max="6" width="11.7109375" customWidth="1"/>
    <col min="7" max="7" width="14.28515625" bestFit="1" customWidth="1"/>
    <col min="8" max="8" width="17" bestFit="1" customWidth="1"/>
    <col min="9" max="9" width="10.140625" bestFit="1" customWidth="1"/>
    <col min="10" max="10" width="11.7109375" bestFit="1" customWidth="1"/>
    <col min="11" max="12" width="10.28515625" bestFit="1" customWidth="1"/>
  </cols>
  <sheetData>
    <row r="1" spans="1:10" ht="20.25" x14ac:dyDescent="0.25">
      <c r="A1" s="10" t="s">
        <v>35</v>
      </c>
    </row>
    <row r="2" spans="1:10" ht="22.5" customHeight="1" x14ac:dyDescent="0.3">
      <c r="A2" s="9" t="s">
        <v>13</v>
      </c>
      <c r="B2" s="9" t="s">
        <v>34</v>
      </c>
      <c r="C2" s="8" t="s">
        <v>33</v>
      </c>
      <c r="D2" s="8" t="s">
        <v>31</v>
      </c>
      <c r="E2" s="8" t="s">
        <v>30</v>
      </c>
      <c r="F2" s="8" t="s">
        <v>23</v>
      </c>
      <c r="G2" s="8" t="s">
        <v>32</v>
      </c>
      <c r="H2" s="8" t="s">
        <v>31</v>
      </c>
      <c r="I2" s="8" t="s">
        <v>30</v>
      </c>
      <c r="J2" s="8" t="s">
        <v>23</v>
      </c>
    </row>
    <row r="3" spans="1:10" ht="20.25" x14ac:dyDescent="0.3">
      <c r="A3" s="20">
        <v>1</v>
      </c>
      <c r="B3" s="17">
        <v>1368</v>
      </c>
      <c r="C3" s="7"/>
      <c r="D3" s="7"/>
      <c r="E3" s="7"/>
      <c r="F3" s="7"/>
      <c r="G3" s="7"/>
      <c r="H3" s="7"/>
      <c r="I3" s="7"/>
      <c r="J3" s="21"/>
    </row>
    <row r="4" spans="1:10" ht="20.25" x14ac:dyDescent="0.3">
      <c r="A4" s="20">
        <v>2</v>
      </c>
      <c r="B4" s="17">
        <v>1758</v>
      </c>
      <c r="C4" s="7"/>
      <c r="D4" s="7"/>
      <c r="E4" s="7"/>
      <c r="F4" s="7"/>
      <c r="G4" s="7"/>
      <c r="H4" s="7"/>
      <c r="I4" s="7"/>
      <c r="J4" s="21"/>
    </row>
    <row r="5" spans="1:10" ht="20.25" x14ac:dyDescent="0.3">
      <c r="A5" s="20">
        <v>3</v>
      </c>
      <c r="B5" s="19">
        <v>1020</v>
      </c>
      <c r="C5" s="16">
        <f t="shared" ref="C5:C14" si="0">AVERAGE(B3:B5)</f>
        <v>1382</v>
      </c>
      <c r="D5" s="7"/>
      <c r="E5" s="7"/>
      <c r="F5" s="7"/>
      <c r="G5" s="7"/>
      <c r="H5" s="7"/>
      <c r="I5" s="7"/>
      <c r="J5" s="21"/>
    </row>
    <row r="6" spans="1:10" ht="20.25" x14ac:dyDescent="0.3">
      <c r="A6" s="20">
        <v>4</v>
      </c>
      <c r="B6" s="19">
        <v>1470</v>
      </c>
      <c r="C6" s="16">
        <f t="shared" si="0"/>
        <v>1416</v>
      </c>
      <c r="D6" s="16">
        <f t="shared" ref="D6:D14" si="1">C5</f>
        <v>1382</v>
      </c>
      <c r="E6" s="16">
        <f t="shared" ref="E6:E14" si="2">B6-D6</f>
        <v>88</v>
      </c>
      <c r="F6" s="16">
        <f t="shared" ref="F6:F14" si="3">ABS(E6)</f>
        <v>88</v>
      </c>
      <c r="G6" s="6"/>
      <c r="H6" s="7"/>
      <c r="I6" s="7"/>
      <c r="J6" s="21"/>
    </row>
    <row r="7" spans="1:10" ht="20.25" x14ac:dyDescent="0.3">
      <c r="A7" s="20">
        <v>5</v>
      </c>
      <c r="B7" s="19">
        <v>1008</v>
      </c>
      <c r="C7" s="16">
        <f t="shared" si="0"/>
        <v>1166</v>
      </c>
      <c r="D7" s="16">
        <f t="shared" si="1"/>
        <v>1416</v>
      </c>
      <c r="E7" s="16">
        <f t="shared" si="2"/>
        <v>-408</v>
      </c>
      <c r="F7" s="16">
        <f t="shared" si="3"/>
        <v>408</v>
      </c>
      <c r="G7" s="6"/>
      <c r="H7" s="7"/>
      <c r="I7" s="7"/>
      <c r="J7" s="21"/>
    </row>
    <row r="8" spans="1:10" ht="20.25" x14ac:dyDescent="0.3">
      <c r="A8" s="20">
        <v>6</v>
      </c>
      <c r="B8" s="19">
        <v>1530</v>
      </c>
      <c r="C8" s="16">
        <f t="shared" si="0"/>
        <v>1336</v>
      </c>
      <c r="D8" s="16">
        <f t="shared" si="1"/>
        <v>1166</v>
      </c>
      <c r="E8" s="16">
        <f t="shared" si="2"/>
        <v>364</v>
      </c>
      <c r="F8" s="16">
        <f t="shared" si="3"/>
        <v>364</v>
      </c>
      <c r="G8" s="16">
        <f t="shared" ref="G8:G14" si="4">AVERAGE(B3:B8)</f>
        <v>1359</v>
      </c>
      <c r="H8" s="7"/>
      <c r="I8" s="7"/>
      <c r="J8" s="21"/>
    </row>
    <row r="9" spans="1:10" ht="20.25" x14ac:dyDescent="0.3">
      <c r="A9" s="20">
        <v>7</v>
      </c>
      <c r="B9" s="19">
        <v>1572</v>
      </c>
      <c r="C9" s="16">
        <f t="shared" si="0"/>
        <v>1370</v>
      </c>
      <c r="D9" s="16">
        <f t="shared" si="1"/>
        <v>1336</v>
      </c>
      <c r="E9" s="16">
        <f t="shared" si="2"/>
        <v>236</v>
      </c>
      <c r="F9" s="16">
        <f t="shared" si="3"/>
        <v>236</v>
      </c>
      <c r="G9" s="16">
        <f t="shared" si="4"/>
        <v>1393</v>
      </c>
      <c r="H9" s="16">
        <f t="shared" ref="H9:H14" si="5">G8</f>
        <v>1359</v>
      </c>
      <c r="I9" s="16">
        <f t="shared" ref="I9:I14" si="6">B9-H9</f>
        <v>213</v>
      </c>
      <c r="J9" s="15">
        <f t="shared" ref="J9:J13" si="7">ABS(I9)</f>
        <v>213</v>
      </c>
    </row>
    <row r="10" spans="1:10" ht="20.25" x14ac:dyDescent="0.3">
      <c r="A10" s="20">
        <v>8</v>
      </c>
      <c r="B10" s="19">
        <v>1488</v>
      </c>
      <c r="C10" s="16">
        <f t="shared" si="0"/>
        <v>1530</v>
      </c>
      <c r="D10" s="16">
        <f t="shared" si="1"/>
        <v>1370</v>
      </c>
      <c r="E10" s="16">
        <f t="shared" si="2"/>
        <v>118</v>
      </c>
      <c r="F10" s="16">
        <f t="shared" si="3"/>
        <v>118</v>
      </c>
      <c r="G10" s="16">
        <f t="shared" si="4"/>
        <v>1348</v>
      </c>
      <c r="H10" s="16">
        <f t="shared" si="5"/>
        <v>1393</v>
      </c>
      <c r="I10" s="16">
        <f t="shared" si="6"/>
        <v>95</v>
      </c>
      <c r="J10" s="15">
        <f t="shared" si="7"/>
        <v>95</v>
      </c>
    </row>
    <row r="11" spans="1:10" ht="20.25" x14ac:dyDescent="0.3">
      <c r="A11" s="20">
        <v>9</v>
      </c>
      <c r="B11" s="19">
        <v>1704</v>
      </c>
      <c r="C11" s="16">
        <f t="shared" si="0"/>
        <v>1588</v>
      </c>
      <c r="D11" s="16">
        <f t="shared" si="1"/>
        <v>1530</v>
      </c>
      <c r="E11" s="16">
        <f t="shared" si="2"/>
        <v>174</v>
      </c>
      <c r="F11" s="16">
        <f t="shared" si="3"/>
        <v>174</v>
      </c>
      <c r="G11" s="16">
        <f t="shared" si="4"/>
        <v>1462</v>
      </c>
      <c r="H11" s="16">
        <f t="shared" si="5"/>
        <v>1348</v>
      </c>
      <c r="I11" s="16">
        <f t="shared" si="6"/>
        <v>356</v>
      </c>
      <c r="J11" s="15">
        <f t="shared" si="7"/>
        <v>356</v>
      </c>
    </row>
    <row r="12" spans="1:10" ht="20.25" x14ac:dyDescent="0.3">
      <c r="A12" s="20">
        <v>10</v>
      </c>
      <c r="B12" s="19">
        <v>1566</v>
      </c>
      <c r="C12" s="16">
        <f t="shared" si="0"/>
        <v>1586</v>
      </c>
      <c r="D12" s="16">
        <f t="shared" si="1"/>
        <v>1588</v>
      </c>
      <c r="E12" s="16">
        <f t="shared" si="2"/>
        <v>-22</v>
      </c>
      <c r="F12" s="16">
        <f t="shared" si="3"/>
        <v>22</v>
      </c>
      <c r="G12" s="16">
        <f t="shared" si="4"/>
        <v>1478</v>
      </c>
      <c r="H12" s="16">
        <f t="shared" si="5"/>
        <v>1462</v>
      </c>
      <c r="I12" s="16">
        <f t="shared" si="6"/>
        <v>104</v>
      </c>
      <c r="J12" s="15">
        <f t="shared" si="7"/>
        <v>104</v>
      </c>
    </row>
    <row r="13" spans="1:10" ht="20.25" x14ac:dyDescent="0.3">
      <c r="A13" s="20">
        <v>11</v>
      </c>
      <c r="B13" s="19">
        <v>1548</v>
      </c>
      <c r="C13" s="16">
        <f t="shared" si="0"/>
        <v>1606</v>
      </c>
      <c r="D13" s="16">
        <f t="shared" si="1"/>
        <v>1586</v>
      </c>
      <c r="E13" s="16">
        <f t="shared" si="2"/>
        <v>-38</v>
      </c>
      <c r="F13" s="16">
        <f t="shared" si="3"/>
        <v>38</v>
      </c>
      <c r="G13" s="16">
        <f t="shared" si="4"/>
        <v>1568</v>
      </c>
      <c r="H13" s="16">
        <f t="shared" si="5"/>
        <v>1478</v>
      </c>
      <c r="I13" s="16">
        <f t="shared" si="6"/>
        <v>70</v>
      </c>
      <c r="J13" s="15">
        <f t="shared" si="7"/>
        <v>70</v>
      </c>
    </row>
    <row r="14" spans="1:10" ht="21" thickBot="1" x14ac:dyDescent="0.35">
      <c r="A14" s="20">
        <v>12</v>
      </c>
      <c r="B14" s="19">
        <v>1236</v>
      </c>
      <c r="C14" s="16">
        <f t="shared" si="0"/>
        <v>1450</v>
      </c>
      <c r="D14" s="16">
        <f t="shared" si="1"/>
        <v>1606</v>
      </c>
      <c r="E14" s="16">
        <f t="shared" si="2"/>
        <v>-370</v>
      </c>
      <c r="F14" s="16">
        <f t="shared" si="3"/>
        <v>370</v>
      </c>
      <c r="G14" s="16">
        <f t="shared" si="4"/>
        <v>1519</v>
      </c>
      <c r="H14" s="16">
        <f t="shared" si="5"/>
        <v>1568</v>
      </c>
      <c r="I14" s="16">
        <f t="shared" si="6"/>
        <v>-332</v>
      </c>
      <c r="J14" s="15">
        <f>ABS(I14)</f>
        <v>332</v>
      </c>
    </row>
    <row r="15" spans="1:10" ht="21" thickBot="1" x14ac:dyDescent="0.35">
      <c r="A15" s="14"/>
      <c r="B15" s="13"/>
      <c r="C15" s="13"/>
      <c r="D15" s="5" t="s">
        <v>17</v>
      </c>
      <c r="E15" s="5"/>
      <c r="F15" s="4">
        <f>AVERAGE(F9:F14)</f>
        <v>159.66666666666666</v>
      </c>
      <c r="G15" s="4"/>
      <c r="H15" s="3"/>
      <c r="I15" s="3"/>
      <c r="J15" s="2">
        <f>AVERAGE(J9:J14)</f>
        <v>195</v>
      </c>
    </row>
    <row r="16" spans="1:10" ht="21" thickBot="1" x14ac:dyDescent="0.35">
      <c r="A16" s="18">
        <v>13</v>
      </c>
      <c r="B16" s="13"/>
      <c r="C16" s="13"/>
      <c r="D16" s="5" t="s">
        <v>29</v>
      </c>
      <c r="E16" s="5"/>
      <c r="F16" s="12">
        <f>C14</f>
        <v>1450</v>
      </c>
      <c r="G16" s="12"/>
      <c r="H16" s="12"/>
      <c r="I16" s="12"/>
      <c r="J16" s="11">
        <f>G14</f>
        <v>1519</v>
      </c>
    </row>
    <row r="17" spans="1:12" ht="20.25" x14ac:dyDescent="0.3">
      <c r="J17" s="7"/>
      <c r="K17" s="7"/>
      <c r="L17" s="7"/>
    </row>
    <row r="18" spans="1:12" ht="20.25" x14ac:dyDescent="0.3">
      <c r="J18" s="7"/>
      <c r="K18" s="7"/>
      <c r="L18" s="7"/>
    </row>
    <row r="19" spans="1:12" ht="20.25" x14ac:dyDescent="0.25">
      <c r="A19" s="10" t="s">
        <v>35</v>
      </c>
    </row>
    <row r="20" spans="1:12" ht="40.5" x14ac:dyDescent="0.3">
      <c r="A20" s="9" t="s">
        <v>13</v>
      </c>
      <c r="B20" s="9" t="s">
        <v>34</v>
      </c>
      <c r="C20" s="8" t="s">
        <v>33</v>
      </c>
      <c r="D20" s="8" t="s">
        <v>31</v>
      </c>
      <c r="E20" s="8" t="s">
        <v>30</v>
      </c>
      <c r="F20" s="8" t="s">
        <v>23</v>
      </c>
      <c r="G20" s="8" t="s">
        <v>32</v>
      </c>
      <c r="H20" s="8" t="s">
        <v>31</v>
      </c>
      <c r="I20" s="8" t="s">
        <v>30</v>
      </c>
      <c r="J20" s="8" t="s">
        <v>23</v>
      </c>
    </row>
    <row r="21" spans="1:12" ht="20.25" x14ac:dyDescent="0.3">
      <c r="A21" s="20">
        <v>1</v>
      </c>
      <c r="B21" s="17">
        <v>1128</v>
      </c>
      <c r="C21" s="7"/>
      <c r="D21" s="7"/>
      <c r="E21" s="7"/>
      <c r="F21" s="7"/>
      <c r="G21" s="7"/>
      <c r="H21" s="7"/>
      <c r="I21" s="7"/>
      <c r="J21" s="21"/>
    </row>
    <row r="22" spans="1:12" ht="20.25" x14ac:dyDescent="0.3">
      <c r="A22" s="20">
        <v>2</v>
      </c>
      <c r="B22" s="17">
        <v>1866</v>
      </c>
      <c r="C22" s="7"/>
      <c r="D22" s="7"/>
      <c r="E22" s="7"/>
      <c r="F22" s="7"/>
      <c r="G22" s="7"/>
      <c r="H22" s="7"/>
      <c r="I22" s="7"/>
      <c r="J22" s="21"/>
    </row>
    <row r="23" spans="1:12" ht="20.25" x14ac:dyDescent="0.3">
      <c r="A23" s="20">
        <v>3</v>
      </c>
      <c r="B23" s="19">
        <v>1182</v>
      </c>
      <c r="C23" s="16">
        <f t="shared" ref="C23:C32" si="8">AVERAGE(B21:B23)</f>
        <v>1392</v>
      </c>
      <c r="D23" s="7"/>
      <c r="E23" s="7"/>
      <c r="F23" s="7"/>
      <c r="G23" s="7"/>
      <c r="H23" s="7"/>
      <c r="I23" s="7"/>
      <c r="J23" s="21"/>
    </row>
    <row r="24" spans="1:12" ht="20.25" x14ac:dyDescent="0.3">
      <c r="A24" s="20">
        <v>4</v>
      </c>
      <c r="B24" s="19">
        <v>1434</v>
      </c>
      <c r="C24" s="16">
        <f t="shared" si="8"/>
        <v>1494</v>
      </c>
      <c r="D24" s="16">
        <f t="shared" ref="D24:D32" si="9">C23</f>
        <v>1392</v>
      </c>
      <c r="E24" s="16">
        <f t="shared" ref="E24:E32" si="10">B24-D24</f>
        <v>42</v>
      </c>
      <c r="F24" s="16">
        <f t="shared" ref="F24:F32" si="11">ABS(E24)</f>
        <v>42</v>
      </c>
      <c r="G24" s="6"/>
      <c r="H24" s="7"/>
      <c r="I24" s="7"/>
      <c r="J24" s="21"/>
    </row>
    <row r="25" spans="1:12" ht="20.25" x14ac:dyDescent="0.3">
      <c r="A25" s="20">
        <v>5</v>
      </c>
      <c r="B25" s="19">
        <v>1890</v>
      </c>
      <c r="C25" s="16">
        <f t="shared" si="8"/>
        <v>1502</v>
      </c>
      <c r="D25" s="16">
        <f t="shared" si="9"/>
        <v>1494</v>
      </c>
      <c r="E25" s="16">
        <f t="shared" si="10"/>
        <v>396</v>
      </c>
      <c r="F25" s="16">
        <f t="shared" si="11"/>
        <v>396</v>
      </c>
      <c r="G25" s="6"/>
      <c r="H25" s="7"/>
      <c r="I25" s="7"/>
      <c r="J25" s="21"/>
    </row>
    <row r="26" spans="1:12" ht="20.25" x14ac:dyDescent="0.3">
      <c r="A26" s="20">
        <v>6</v>
      </c>
      <c r="B26" s="19">
        <v>1338</v>
      </c>
      <c r="C26" s="16">
        <f t="shared" si="8"/>
        <v>1554</v>
      </c>
      <c r="D26" s="16">
        <f t="shared" si="9"/>
        <v>1502</v>
      </c>
      <c r="E26" s="16">
        <f t="shared" si="10"/>
        <v>-164</v>
      </c>
      <c r="F26" s="16">
        <f t="shared" si="11"/>
        <v>164</v>
      </c>
      <c r="G26" s="16">
        <f t="shared" ref="G26:G32" si="12">AVERAGE(B21:B26)</f>
        <v>1473</v>
      </c>
      <c r="H26" s="7"/>
      <c r="I26" s="7"/>
      <c r="J26" s="21"/>
    </row>
    <row r="27" spans="1:12" ht="20.25" x14ac:dyDescent="0.3">
      <c r="A27" s="20">
        <v>7</v>
      </c>
      <c r="B27" s="19">
        <v>1104</v>
      </c>
      <c r="C27" s="16">
        <f t="shared" si="8"/>
        <v>1444</v>
      </c>
      <c r="D27" s="16">
        <f t="shared" si="9"/>
        <v>1554</v>
      </c>
      <c r="E27" s="16">
        <f t="shared" si="10"/>
        <v>-450</v>
      </c>
      <c r="F27" s="16">
        <f t="shared" si="11"/>
        <v>450</v>
      </c>
      <c r="G27" s="16">
        <f t="shared" si="12"/>
        <v>1469</v>
      </c>
      <c r="H27" s="16">
        <f t="shared" ref="H27:H32" si="13">G26</f>
        <v>1473</v>
      </c>
      <c r="I27" s="16">
        <f t="shared" ref="I27:I32" si="14">B27-H27</f>
        <v>-369</v>
      </c>
      <c r="J27" s="15">
        <f t="shared" ref="J27:J32" si="15">ABS(I27)</f>
        <v>369</v>
      </c>
    </row>
    <row r="28" spans="1:12" ht="20.25" x14ac:dyDescent="0.3">
      <c r="A28" s="20">
        <v>8</v>
      </c>
      <c r="B28" s="19">
        <v>1716</v>
      </c>
      <c r="C28" s="16">
        <f t="shared" si="8"/>
        <v>1386</v>
      </c>
      <c r="D28" s="16">
        <f t="shared" si="9"/>
        <v>1444</v>
      </c>
      <c r="E28" s="16">
        <f t="shared" si="10"/>
        <v>272</v>
      </c>
      <c r="F28" s="16">
        <f t="shared" si="11"/>
        <v>272</v>
      </c>
      <c r="G28" s="16">
        <f t="shared" si="12"/>
        <v>1444</v>
      </c>
      <c r="H28" s="16">
        <f t="shared" si="13"/>
        <v>1469</v>
      </c>
      <c r="I28" s="16">
        <f t="shared" si="14"/>
        <v>247</v>
      </c>
      <c r="J28" s="15">
        <f t="shared" si="15"/>
        <v>247</v>
      </c>
    </row>
    <row r="29" spans="1:12" ht="20.25" x14ac:dyDescent="0.3">
      <c r="A29" s="20">
        <v>9</v>
      </c>
      <c r="B29" s="19">
        <v>1650</v>
      </c>
      <c r="C29" s="16">
        <f t="shared" si="8"/>
        <v>1490</v>
      </c>
      <c r="D29" s="16">
        <f t="shared" si="9"/>
        <v>1386</v>
      </c>
      <c r="E29" s="16">
        <f t="shared" si="10"/>
        <v>264</v>
      </c>
      <c r="F29" s="16">
        <f t="shared" si="11"/>
        <v>264</v>
      </c>
      <c r="G29" s="16">
        <f t="shared" si="12"/>
        <v>1522</v>
      </c>
      <c r="H29" s="16">
        <f t="shared" si="13"/>
        <v>1444</v>
      </c>
      <c r="I29" s="16">
        <f t="shared" si="14"/>
        <v>206</v>
      </c>
      <c r="J29" s="15">
        <f t="shared" si="15"/>
        <v>206</v>
      </c>
    </row>
    <row r="30" spans="1:12" ht="20.25" x14ac:dyDescent="0.3">
      <c r="A30" s="20">
        <v>10</v>
      </c>
      <c r="B30" s="19">
        <v>1692</v>
      </c>
      <c r="C30" s="16">
        <f t="shared" si="8"/>
        <v>1686</v>
      </c>
      <c r="D30" s="16">
        <f t="shared" si="9"/>
        <v>1490</v>
      </c>
      <c r="E30" s="16">
        <f t="shared" si="10"/>
        <v>202</v>
      </c>
      <c r="F30" s="16">
        <f t="shared" si="11"/>
        <v>202</v>
      </c>
      <c r="G30" s="16">
        <f t="shared" si="12"/>
        <v>1565</v>
      </c>
      <c r="H30" s="16">
        <f t="shared" si="13"/>
        <v>1522</v>
      </c>
      <c r="I30" s="16">
        <f t="shared" si="14"/>
        <v>170</v>
      </c>
      <c r="J30" s="15">
        <f t="shared" si="15"/>
        <v>170</v>
      </c>
    </row>
    <row r="31" spans="1:12" ht="20.25" x14ac:dyDescent="0.3">
      <c r="A31" s="20">
        <v>11</v>
      </c>
      <c r="B31" s="19">
        <v>1320</v>
      </c>
      <c r="C31" s="16">
        <f t="shared" si="8"/>
        <v>1554</v>
      </c>
      <c r="D31" s="16">
        <f t="shared" si="9"/>
        <v>1686</v>
      </c>
      <c r="E31" s="16">
        <f t="shared" si="10"/>
        <v>-366</v>
      </c>
      <c r="F31" s="16">
        <f t="shared" si="11"/>
        <v>366</v>
      </c>
      <c r="G31" s="16">
        <f t="shared" si="12"/>
        <v>1470</v>
      </c>
      <c r="H31" s="16">
        <f t="shared" si="13"/>
        <v>1565</v>
      </c>
      <c r="I31" s="16">
        <f t="shared" si="14"/>
        <v>-245</v>
      </c>
      <c r="J31" s="15">
        <f t="shared" si="15"/>
        <v>245</v>
      </c>
    </row>
    <row r="32" spans="1:12" ht="21" thickBot="1" x14ac:dyDescent="0.35">
      <c r="A32" s="20">
        <v>12</v>
      </c>
      <c r="B32" s="19">
        <v>1758</v>
      </c>
      <c r="C32" s="16">
        <f t="shared" si="8"/>
        <v>1590</v>
      </c>
      <c r="D32" s="16">
        <f t="shared" si="9"/>
        <v>1554</v>
      </c>
      <c r="E32" s="16">
        <f t="shared" si="10"/>
        <v>204</v>
      </c>
      <c r="F32" s="16">
        <f t="shared" si="11"/>
        <v>204</v>
      </c>
      <c r="G32" s="16">
        <f t="shared" si="12"/>
        <v>1540</v>
      </c>
      <c r="H32" s="16">
        <f t="shared" si="13"/>
        <v>1470</v>
      </c>
      <c r="I32" s="16">
        <f t="shared" si="14"/>
        <v>288</v>
      </c>
      <c r="J32" s="15">
        <f t="shared" si="15"/>
        <v>288</v>
      </c>
    </row>
    <row r="33" spans="1:10" ht="21" thickBot="1" x14ac:dyDescent="0.35">
      <c r="A33" s="23"/>
      <c r="B33" s="22"/>
      <c r="C33" s="22"/>
      <c r="D33" s="5" t="s">
        <v>17</v>
      </c>
      <c r="E33" s="5"/>
      <c r="F33" s="4">
        <f>AVERAGE(F27:F32)</f>
        <v>293</v>
      </c>
      <c r="G33" s="4"/>
      <c r="H33" s="3"/>
      <c r="I33" s="3"/>
      <c r="J33" s="2">
        <f>AVERAGE(J27:J32)</f>
        <v>254.16666666666666</v>
      </c>
    </row>
    <row r="34" spans="1:10" ht="21" thickBot="1" x14ac:dyDescent="0.35">
      <c r="A34" s="18">
        <v>13</v>
      </c>
      <c r="B34" s="22"/>
      <c r="C34" s="22"/>
      <c r="D34" s="5" t="s">
        <v>29</v>
      </c>
      <c r="E34" s="5"/>
      <c r="F34" s="12">
        <f>C32</f>
        <v>1590</v>
      </c>
      <c r="G34" s="12"/>
      <c r="H34" s="12"/>
      <c r="I34" s="12"/>
      <c r="J34" s="11">
        <f>G32</f>
        <v>1540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zoomScale="98" zoomScaleNormal="98" workbookViewId="0">
      <selection activeCell="P69" sqref="P69"/>
    </sheetView>
  </sheetViews>
  <sheetFormatPr defaultRowHeight="12.75" x14ac:dyDescent="0.2"/>
  <cols>
    <col min="1" max="1" width="4.42578125" style="25" bestFit="1" customWidth="1"/>
    <col min="2" max="2" width="9.5703125" style="25" bestFit="1" customWidth="1"/>
    <col min="3" max="3" width="6.28515625" style="25" bestFit="1" customWidth="1"/>
    <col min="4" max="4" width="8.42578125" style="25" bestFit="1" customWidth="1"/>
    <col min="5" max="5" width="6.28515625" style="25" customWidth="1"/>
    <col min="6" max="7" width="8" style="25" bestFit="1" customWidth="1"/>
    <col min="8" max="8" width="7.140625" style="25" bestFit="1" customWidth="1"/>
    <col min="9" max="9" width="6.28515625" style="25" bestFit="1" customWidth="1"/>
    <col min="10" max="10" width="6.28515625" style="25" customWidth="1"/>
    <col min="11" max="11" width="11.5703125" style="25" bestFit="1" customWidth="1"/>
    <col min="12" max="12" width="8" style="25" bestFit="1" customWidth="1"/>
    <col min="13" max="13" width="9.140625" style="25"/>
    <col min="14" max="14" width="6.42578125" style="25" customWidth="1"/>
    <col min="15" max="23" width="4" style="25" customWidth="1"/>
    <col min="24" max="16384" width="9.140625" style="25"/>
  </cols>
  <sheetData>
    <row r="1" spans="1:24" x14ac:dyDescent="0.2">
      <c r="A1" s="24" t="str">
        <f>[2]ArdiData!A2</f>
        <v>Per.</v>
      </c>
      <c r="B1" s="142" t="s">
        <v>111</v>
      </c>
      <c r="C1" s="41" t="s">
        <v>60</v>
      </c>
      <c r="D1" s="141" t="s">
        <v>119</v>
      </c>
      <c r="E1" s="147" t="s">
        <v>118</v>
      </c>
      <c r="F1" s="147" t="s">
        <v>117</v>
      </c>
      <c r="G1" s="139" t="s">
        <v>30</v>
      </c>
      <c r="H1" s="139" t="s">
        <v>23</v>
      </c>
      <c r="I1" s="140" t="s">
        <v>17</v>
      </c>
      <c r="J1" s="140" t="s">
        <v>116</v>
      </c>
      <c r="K1" s="139" t="s">
        <v>109</v>
      </c>
      <c r="L1" s="139" t="s">
        <v>108</v>
      </c>
      <c r="M1" s="145" t="s">
        <v>115</v>
      </c>
      <c r="N1" s="138">
        <f>0.2</f>
        <v>0.2</v>
      </c>
      <c r="O1" s="25" t="str">
        <f>" F(next) ~ N ( "&amp;ROUND(F78,0)&amp;", "&amp;ROUND(1.25*I77,0)&amp;")"</f>
        <v xml:space="preserve"> F(next) ~ N ( 11080, 664)</v>
      </c>
      <c r="R1" s="137"/>
    </row>
    <row r="2" spans="1:24" x14ac:dyDescent="0.2">
      <c r="A2" s="24">
        <v>0</v>
      </c>
      <c r="B2" s="146"/>
      <c r="C2" s="41"/>
      <c r="D2" s="41">
        <f>INTERCEPT(C3:C77,A3:A77)</f>
        <v>971.1200942372725</v>
      </c>
      <c r="E2" s="41">
        <f>SLOPE(C3:C77,A3:A77)</f>
        <v>101.48836362296417</v>
      </c>
      <c r="F2" s="41"/>
      <c r="G2" s="139"/>
      <c r="H2" s="139"/>
      <c r="I2" s="140"/>
      <c r="J2" s="140"/>
      <c r="K2" s="139"/>
      <c r="L2" s="139"/>
      <c r="M2" s="145" t="s">
        <v>114</v>
      </c>
      <c r="N2" s="138">
        <v>0.6</v>
      </c>
      <c r="R2" s="137"/>
    </row>
    <row r="3" spans="1:24" x14ac:dyDescent="0.2">
      <c r="A3" s="24">
        <f>[2]ArdiData!A3</f>
        <v>1</v>
      </c>
      <c r="B3" s="136">
        <f ca="1">'0.ArdiData'!C3</f>
        <v>1730</v>
      </c>
      <c r="C3" s="135">
        <v>1113.3499253558266</v>
      </c>
      <c r="D3" s="25">
        <f t="shared" ref="D3:D34" si="0">$N$1*C3+(1-$N$1)*F3</f>
        <v>1080.7567513593549</v>
      </c>
      <c r="E3" s="135">
        <f t="shared" ref="E3:E34" si="1">$N$2*(D3-D2)+(1-$N$2)*E2</f>
        <v>106.37733972243511</v>
      </c>
      <c r="F3" s="135">
        <f t="shared" ref="F3:F34" si="2">D2+E2</f>
        <v>1072.6084578602367</v>
      </c>
      <c r="G3" s="134">
        <f t="shared" ref="G3:G34" si="3">C3-F3</f>
        <v>40.741467495589859</v>
      </c>
      <c r="H3" s="134">
        <f t="shared" ref="H3:H34" si="4">ABS(G3)</f>
        <v>40.741467495589859</v>
      </c>
      <c r="I3" s="131">
        <f>SUM(H$3:H3)/COUNT(H$3:H3)</f>
        <v>40.741467495589859</v>
      </c>
      <c r="J3" s="131">
        <f>SUM(G$3:G3)/I3</f>
        <v>1</v>
      </c>
      <c r="K3" s="133">
        <f t="shared" ref="K3:K34" si="5">(G3-$G$78)^2</f>
        <v>30.869763613761691</v>
      </c>
      <c r="L3" s="131" t="e">
        <f>SQRT(SUM(K$3:K3)/(COUNT(K$3:K3)-1))</f>
        <v>#DIV/0!</v>
      </c>
    </row>
    <row r="4" spans="1:24" x14ac:dyDescent="0.2">
      <c r="A4" s="24">
        <f>[2]ArdiData!A4</f>
        <v>2</v>
      </c>
      <c r="B4" s="136">
        <f ca="1">'0.ArdiData'!C4</f>
        <v>1841</v>
      </c>
      <c r="C4" s="135">
        <v>1222.4509615075469</v>
      </c>
      <c r="D4" s="25">
        <f t="shared" si="0"/>
        <v>1194.1974651669416</v>
      </c>
      <c r="E4" s="135">
        <f t="shared" si="1"/>
        <v>110.61536417352605</v>
      </c>
      <c r="F4" s="135">
        <f t="shared" si="2"/>
        <v>1187.1340910817901</v>
      </c>
      <c r="G4" s="134">
        <f t="shared" si="3"/>
        <v>35.316870425756861</v>
      </c>
      <c r="H4" s="134">
        <f t="shared" si="4"/>
        <v>35.316870425756861</v>
      </c>
      <c r="I4" s="131">
        <f>SUM(H$3:H4)/COUNT(H$3:H4)</f>
        <v>38.02916896067336</v>
      </c>
      <c r="J4" s="131">
        <f>SUM(G$3:G4)/I4</f>
        <v>2</v>
      </c>
      <c r="K4" s="133">
        <f t="shared" si="5"/>
        <v>1.7281576635303535E-2</v>
      </c>
      <c r="L4" s="131">
        <f>SQRT(SUM(K$3:K4)/(COUNT(K$3:K4)-1))</f>
        <v>5.5576114645049621</v>
      </c>
    </row>
    <row r="5" spans="1:24" x14ac:dyDescent="0.2">
      <c r="A5" s="24">
        <f>[2]ArdiData!A5</f>
        <v>3</v>
      </c>
      <c r="B5" s="136">
        <f ca="1">'0.ArdiData'!C5</f>
        <v>2550</v>
      </c>
      <c r="C5" s="135">
        <v>1815.9308993190284</v>
      </c>
      <c r="D5" s="25">
        <f t="shared" si="0"/>
        <v>1407.0364433361801</v>
      </c>
      <c r="E5" s="135">
        <f t="shared" si="1"/>
        <v>171.94953257095355</v>
      </c>
      <c r="F5" s="135">
        <f t="shared" si="2"/>
        <v>1304.8128293404677</v>
      </c>
      <c r="G5" s="134">
        <f t="shared" si="3"/>
        <v>511.1180699785607</v>
      </c>
      <c r="H5" s="134">
        <f t="shared" si="4"/>
        <v>511.1180699785607</v>
      </c>
      <c r="I5" s="131">
        <f>SUM(H$3:H5)/COUNT(H$3:H5)</f>
        <v>195.72546929996915</v>
      </c>
      <c r="J5" s="131">
        <f>SUM(G$3:G5)/I5</f>
        <v>3</v>
      </c>
      <c r="K5" s="133">
        <f t="shared" si="5"/>
        <v>226511.89586797569</v>
      </c>
      <c r="L5" s="131">
        <f>SQRT(SUM(K$3:K5)/(COUNT(K$3:K5)-1))</f>
        <v>336.55815464282404</v>
      </c>
      <c r="M5" s="137">
        <f>I77</f>
        <v>531.10353796997686</v>
      </c>
      <c r="N5" s="25">
        <v>0.1</v>
      </c>
      <c r="O5" s="25">
        <v>0.2</v>
      </c>
      <c r="P5" s="25">
        <v>0.30000000000000004</v>
      </c>
      <c r="Q5" s="25">
        <v>0.4</v>
      </c>
      <c r="R5" s="25">
        <v>0.5</v>
      </c>
      <c r="S5" s="25">
        <v>0.6</v>
      </c>
      <c r="T5" s="25">
        <v>0.70000000000000007</v>
      </c>
      <c r="U5" s="25">
        <v>0.8</v>
      </c>
      <c r="V5" s="25">
        <v>0.9</v>
      </c>
      <c r="W5" s="25">
        <v>1</v>
      </c>
    </row>
    <row r="6" spans="1:24" x14ac:dyDescent="0.2">
      <c r="A6" s="24">
        <f>[2]ArdiData!A6</f>
        <v>4</v>
      </c>
      <c r="B6" s="136">
        <f ca="1">'0.ArdiData'!C6</f>
        <v>2648</v>
      </c>
      <c r="C6" s="135">
        <v>1877.6018297269898</v>
      </c>
      <c r="D6" s="25">
        <f t="shared" si="0"/>
        <v>1638.7091466711051</v>
      </c>
      <c r="E6" s="135">
        <f t="shared" si="1"/>
        <v>207.78343502933643</v>
      </c>
      <c r="F6" s="135">
        <f t="shared" si="2"/>
        <v>1578.9859759071337</v>
      </c>
      <c r="G6" s="134">
        <f t="shared" si="3"/>
        <v>298.61585381985606</v>
      </c>
      <c r="H6" s="134">
        <f t="shared" si="4"/>
        <v>298.61585381985606</v>
      </c>
      <c r="I6" s="131">
        <f>SUM(H$3:H6)/COUNT(H$3:H6)</f>
        <v>221.44806542994087</v>
      </c>
      <c r="J6" s="131">
        <f>SUM(G$3:G6)/I6</f>
        <v>4</v>
      </c>
      <c r="K6" s="133">
        <f t="shared" si="5"/>
        <v>69395.598196279912</v>
      </c>
      <c r="L6" s="131">
        <f>SQRT(SUM(K$3:K6)/(COUNT(K$3:K6)-1))</f>
        <v>314.07980997905929</v>
      </c>
      <c r="M6" s="25">
        <v>0.1</v>
      </c>
      <c r="N6" s="25">
        <f t="dataTable" ref="N6:W15" dt2D="1" dtr="1" r1="N2" r2="N1"/>
        <v>550.7351753519049</v>
      </c>
      <c r="O6" s="25">
        <v>545.92424087700158</v>
      </c>
      <c r="P6" s="25">
        <v>557.43466902979628</v>
      </c>
      <c r="Q6" s="25">
        <v>557.64236708057092</v>
      </c>
      <c r="R6" s="25">
        <v>563.28649969006585</v>
      </c>
      <c r="S6" s="25">
        <v>562.22811808778431</v>
      </c>
      <c r="T6" s="25">
        <v>559.16896274797932</v>
      </c>
      <c r="U6" s="25">
        <v>559.83016439210871</v>
      </c>
      <c r="V6" s="25">
        <v>558.71107452289846</v>
      </c>
      <c r="W6" s="25">
        <v>560.03685164011904</v>
      </c>
    </row>
    <row r="7" spans="1:24" x14ac:dyDescent="0.2">
      <c r="A7" s="24">
        <f>[2]ArdiData!A7</f>
        <v>5</v>
      </c>
      <c r="B7" s="136">
        <f ca="1">'0.ArdiData'!C7</f>
        <v>2931</v>
      </c>
      <c r="C7" s="135">
        <v>1437.7413264412648</v>
      </c>
      <c r="D7" s="25">
        <f t="shared" si="0"/>
        <v>1764.7423306486062</v>
      </c>
      <c r="E7" s="135">
        <f t="shared" si="1"/>
        <v>158.73328439823518</v>
      </c>
      <c r="F7" s="135">
        <f t="shared" si="2"/>
        <v>1846.4925817004416</v>
      </c>
      <c r="G7" s="134">
        <f t="shared" si="3"/>
        <v>-408.75125525917679</v>
      </c>
      <c r="H7" s="134">
        <f t="shared" si="4"/>
        <v>408.75125525917679</v>
      </c>
      <c r="I7" s="131">
        <f>SUM(H$3:H7)/COUNT(H$3:H7)</f>
        <v>258.90870339578805</v>
      </c>
      <c r="J7" s="131">
        <f>SUM(G$3:G7)/I7</f>
        <v>1.8425066450212937</v>
      </c>
      <c r="K7" s="133">
        <f t="shared" si="5"/>
        <v>197079.76366276905</v>
      </c>
      <c r="L7" s="131">
        <f>SQRT(SUM(K$3:K7)/(COUNT(K$3:K7)-1))</f>
        <v>351.07625410023638</v>
      </c>
      <c r="M7" s="25">
        <v>0.2</v>
      </c>
      <c r="N7" s="25">
        <v>535.15569294378122</v>
      </c>
      <c r="O7" s="25">
        <v>535.63744464342676</v>
      </c>
      <c r="P7" s="25">
        <v>536.08731976931813</v>
      </c>
      <c r="Q7" s="25">
        <v>533.70413206458261</v>
      </c>
      <c r="R7" s="25">
        <v>532.62367141195762</v>
      </c>
      <c r="S7" s="25">
        <v>531.10353796997686</v>
      </c>
      <c r="T7" s="25">
        <v>533.24287404987786</v>
      </c>
      <c r="U7" s="25">
        <v>541.94221086328184</v>
      </c>
      <c r="V7" s="25">
        <v>549.46128033252398</v>
      </c>
      <c r="W7" s="25">
        <v>556.6429050993919</v>
      </c>
    </row>
    <row r="8" spans="1:24" x14ac:dyDescent="0.2">
      <c r="A8" s="24">
        <f>[2]ArdiData!A8</f>
        <v>6</v>
      </c>
      <c r="B8" s="136">
        <f ca="1">'0.ArdiData'!C8</f>
        <v>3222</v>
      </c>
      <c r="C8" s="135">
        <v>1885.961866319813</v>
      </c>
      <c r="D8" s="25">
        <f t="shared" si="0"/>
        <v>1915.9728653014358</v>
      </c>
      <c r="E8" s="135">
        <f t="shared" si="1"/>
        <v>154.23163455099186</v>
      </c>
      <c r="F8" s="135">
        <f t="shared" si="2"/>
        <v>1923.4756150468413</v>
      </c>
      <c r="G8" s="134">
        <f t="shared" si="3"/>
        <v>-37.513748727028315</v>
      </c>
      <c r="H8" s="134">
        <f t="shared" si="4"/>
        <v>37.513748727028315</v>
      </c>
      <c r="I8" s="131">
        <f>SUM(H$3:H8)/COUNT(H$3:H8)</f>
        <v>222.00954428432809</v>
      </c>
      <c r="J8" s="131">
        <f>SUM(G$3:G8)/I8</f>
        <v>1.9797673976153696</v>
      </c>
      <c r="K8" s="133">
        <f t="shared" si="5"/>
        <v>5285.1678272197551</v>
      </c>
      <c r="L8" s="131">
        <f>SQRT(SUM(K$3:K8)/(COUNT(K$3:K8)-1))</f>
        <v>315.69077040655935</v>
      </c>
      <c r="M8" s="25">
        <v>0.30000000000000004</v>
      </c>
      <c r="N8" s="25">
        <v>543.09520094814889</v>
      </c>
      <c r="O8" s="25">
        <v>545.62183608204646</v>
      </c>
      <c r="P8" s="25">
        <v>544.97823929704634</v>
      </c>
      <c r="Q8" s="25">
        <v>544.51515839904062</v>
      </c>
      <c r="R8" s="25">
        <v>549.41713333705309</v>
      </c>
      <c r="S8" s="25">
        <v>556.07135002363407</v>
      </c>
      <c r="T8" s="25">
        <v>563.47059380355847</v>
      </c>
      <c r="U8" s="25">
        <v>570.83209042353212</v>
      </c>
      <c r="V8" s="25">
        <v>577.72406314779971</v>
      </c>
      <c r="W8" s="25">
        <v>586.8231899195498</v>
      </c>
    </row>
    <row r="9" spans="1:24" x14ac:dyDescent="0.2">
      <c r="A9" s="24">
        <f>[2]ArdiData!A9</f>
        <v>7</v>
      </c>
      <c r="B9" s="136">
        <f ca="1">'0.ArdiData'!C9</f>
        <v>3359</v>
      </c>
      <c r="C9" s="135">
        <v>1911.083953307721</v>
      </c>
      <c r="D9" s="25">
        <f t="shared" si="0"/>
        <v>2038.3803905434861</v>
      </c>
      <c r="E9" s="135">
        <f t="shared" si="1"/>
        <v>135.1371689656269</v>
      </c>
      <c r="F9" s="135">
        <f t="shared" si="2"/>
        <v>2070.2044998524275</v>
      </c>
      <c r="G9" s="134">
        <f t="shared" si="3"/>
        <v>-159.12054654470649</v>
      </c>
      <c r="H9" s="134">
        <f t="shared" si="4"/>
        <v>159.12054654470649</v>
      </c>
      <c r="I9" s="131">
        <f>SUM(H$3:H9)/COUNT(H$3:H9)</f>
        <v>213.02540175009645</v>
      </c>
      <c r="J9" s="131">
        <f>SUM(G$3:G9)/I9</f>
        <v>1.3163064539965124</v>
      </c>
      <c r="K9" s="133">
        <f t="shared" si="5"/>
        <v>37754.805143255406</v>
      </c>
      <c r="L9" s="131">
        <f>SQRT(SUM(K$3:K9)/(COUNT(K$3:K9)-1))</f>
        <v>298.90302712381771</v>
      </c>
      <c r="M9" s="25">
        <v>0.4</v>
      </c>
      <c r="N9" s="25">
        <v>558.65323450126266</v>
      </c>
      <c r="O9" s="25">
        <v>561.80994985932932</v>
      </c>
      <c r="P9" s="25">
        <v>566.39400245287607</v>
      </c>
      <c r="Q9" s="25">
        <v>574.24017901531715</v>
      </c>
      <c r="R9" s="25">
        <v>583.58322170256224</v>
      </c>
      <c r="S9" s="25">
        <v>593.96115376378646</v>
      </c>
      <c r="T9" s="25">
        <v>605.19374642730793</v>
      </c>
      <c r="U9" s="25">
        <v>618.61964959320846</v>
      </c>
      <c r="V9" s="25">
        <v>632.57372870409756</v>
      </c>
      <c r="W9" s="25">
        <v>647.86278321228087</v>
      </c>
    </row>
    <row r="10" spans="1:24" x14ac:dyDescent="0.2">
      <c r="A10" s="24">
        <f>[2]ArdiData!A10</f>
        <v>8</v>
      </c>
      <c r="B10" s="136">
        <f ca="1">'0.ArdiData'!C10</f>
        <v>3236</v>
      </c>
      <c r="C10" s="135">
        <v>1960.2999710554132</v>
      </c>
      <c r="D10" s="25">
        <f t="shared" si="0"/>
        <v>2130.8740418183734</v>
      </c>
      <c r="E10" s="135">
        <f t="shared" si="1"/>
        <v>109.55105835118312</v>
      </c>
      <c r="F10" s="135">
        <f t="shared" si="2"/>
        <v>2173.5175595091132</v>
      </c>
      <c r="G10" s="134">
        <f t="shared" si="3"/>
        <v>-213.21758845370005</v>
      </c>
      <c r="H10" s="134">
        <f t="shared" si="4"/>
        <v>213.21758845370005</v>
      </c>
      <c r="I10" s="131">
        <f>SUM(H$3:H10)/COUNT(H$3:H10)</f>
        <v>213.04942508804689</v>
      </c>
      <c r="J10" s="131">
        <f>SUM(G$3:G10)/I10</f>
        <v>0.31536871177842701</v>
      </c>
      <c r="K10" s="133">
        <f t="shared" si="5"/>
        <v>61704.050145124907</v>
      </c>
      <c r="L10" s="131">
        <f>SQRT(SUM(K$3:K10)/(COUNT(K$3:K10)-1))</f>
        <v>292.22353671897309</v>
      </c>
      <c r="M10" s="25">
        <v>0.5</v>
      </c>
      <c r="N10" s="25">
        <v>576.55067189184354</v>
      </c>
      <c r="O10" s="25">
        <v>586.0674872107021</v>
      </c>
      <c r="P10" s="25">
        <v>596.85938025614735</v>
      </c>
      <c r="Q10" s="25">
        <v>608.2452342687925</v>
      </c>
      <c r="R10" s="25">
        <v>620.72862081241715</v>
      </c>
      <c r="S10" s="25">
        <v>635.09103246630514</v>
      </c>
      <c r="T10" s="25">
        <v>651.5719152751476</v>
      </c>
      <c r="U10" s="25">
        <v>669.62214036505179</v>
      </c>
      <c r="V10" s="25">
        <v>688.40864449179242</v>
      </c>
      <c r="W10" s="25">
        <v>708.23622249462221</v>
      </c>
    </row>
    <row r="11" spans="1:24" x14ac:dyDescent="0.2">
      <c r="A11" s="24">
        <f>[2]ArdiData!A11</f>
        <v>9</v>
      </c>
      <c r="B11" s="136">
        <f ca="1">'0.ArdiData'!C11</f>
        <v>4308</v>
      </c>
      <c r="C11" s="135">
        <v>2414.1948755502854</v>
      </c>
      <c r="D11" s="25">
        <f t="shared" si="0"/>
        <v>2275.1790552457023</v>
      </c>
      <c r="E11" s="135">
        <f t="shared" si="1"/>
        <v>130.40343139687062</v>
      </c>
      <c r="F11" s="135">
        <f t="shared" si="2"/>
        <v>2240.4251001695566</v>
      </c>
      <c r="G11" s="134">
        <f t="shared" si="3"/>
        <v>173.76977538072879</v>
      </c>
      <c r="H11" s="134">
        <f t="shared" si="4"/>
        <v>173.76977538072879</v>
      </c>
      <c r="I11" s="131">
        <f>SUM(H$3:H11)/COUNT(H$3:H11)</f>
        <v>208.68501956501154</v>
      </c>
      <c r="J11" s="131">
        <f>SUM(G$3:G11)/I11</f>
        <v>1.154653547332442</v>
      </c>
      <c r="K11" s="133">
        <f t="shared" si="5"/>
        <v>19205.62604660961</v>
      </c>
      <c r="L11" s="131">
        <f>SQRT(SUM(K$3:K11)/(COUNT(K$3:K11)-1))</f>
        <v>277.70663341339741</v>
      </c>
      <c r="M11" s="25">
        <v>0.6</v>
      </c>
      <c r="N11" s="25">
        <v>601.73197640472779</v>
      </c>
      <c r="O11" s="25">
        <v>614.84635274585492</v>
      </c>
      <c r="P11" s="25">
        <v>628.31857477873086</v>
      </c>
      <c r="Q11" s="25">
        <v>642.82976163555941</v>
      </c>
      <c r="R11" s="25">
        <v>659.76414955285907</v>
      </c>
      <c r="S11" s="25">
        <v>679.16767281188152</v>
      </c>
      <c r="T11" s="25">
        <v>699.23514903440298</v>
      </c>
      <c r="U11" s="25">
        <v>721.0320633738794</v>
      </c>
      <c r="V11" s="25">
        <v>742.36474365074605</v>
      </c>
      <c r="W11" s="25">
        <v>764.10211058155289</v>
      </c>
    </row>
    <row r="12" spans="1:24" x14ac:dyDescent="0.2">
      <c r="A12" s="24">
        <f>[2]ArdiData!A12</f>
        <v>10</v>
      </c>
      <c r="B12" s="136">
        <f ca="1">'0.ArdiData'!C12</f>
        <v>3473</v>
      </c>
      <c r="C12" s="135">
        <v>2386.0381627363281</v>
      </c>
      <c r="D12" s="25">
        <f t="shared" si="0"/>
        <v>2401.6736218613241</v>
      </c>
      <c r="E12" s="135">
        <f t="shared" si="1"/>
        <v>128.05811252812134</v>
      </c>
      <c r="F12" s="135">
        <f t="shared" si="2"/>
        <v>2405.5824866425728</v>
      </c>
      <c r="G12" s="134">
        <f t="shared" si="3"/>
        <v>-19.544323906244699</v>
      </c>
      <c r="H12" s="134">
        <f t="shared" si="4"/>
        <v>19.544323906244699</v>
      </c>
      <c r="I12" s="131">
        <f>SUM(H$3:H12)/COUNT(H$3:H12)</f>
        <v>189.77094999913487</v>
      </c>
      <c r="J12" s="131">
        <f>SUM(G$3:G12)/I12</f>
        <v>1.1667464077649679</v>
      </c>
      <c r="K12" s="133">
        <f t="shared" si="5"/>
        <v>2995.3438845668798</v>
      </c>
      <c r="L12" s="131">
        <f>SQRT(SUM(K$3:K12)/(COUNT(K$3:K12)-1))</f>
        <v>262.45912651496627</v>
      </c>
      <c r="M12" s="25">
        <v>0.70000000000000007</v>
      </c>
      <c r="N12" s="25">
        <v>629.21065005831656</v>
      </c>
      <c r="O12" s="25">
        <v>645.23942906193179</v>
      </c>
      <c r="P12" s="25">
        <v>662.06986612527737</v>
      </c>
      <c r="Q12" s="25">
        <v>682.13002543960101</v>
      </c>
      <c r="R12" s="25">
        <v>703.25444925722513</v>
      </c>
      <c r="S12" s="25">
        <v>725.10164777129341</v>
      </c>
      <c r="T12" s="25">
        <v>750.16699692829604</v>
      </c>
      <c r="U12" s="25">
        <v>776.09783501641016</v>
      </c>
      <c r="V12" s="25">
        <v>804.37302654616258</v>
      </c>
      <c r="W12" s="25">
        <v>834.03562631551154</v>
      </c>
    </row>
    <row r="13" spans="1:24" x14ac:dyDescent="0.2">
      <c r="A13" s="24">
        <f>[2]ArdiData!A13</f>
        <v>11</v>
      </c>
      <c r="B13" s="136">
        <f ca="1">'0.ArdiData'!C13</f>
        <v>4071</v>
      </c>
      <c r="C13" s="135">
        <v>2360.0321962860157</v>
      </c>
      <c r="D13" s="25">
        <f t="shared" si="0"/>
        <v>2495.7918267687596</v>
      </c>
      <c r="E13" s="135">
        <f t="shared" si="1"/>
        <v>107.69416795570982</v>
      </c>
      <c r="F13" s="135">
        <f t="shared" si="2"/>
        <v>2529.7317343894456</v>
      </c>
      <c r="G13" s="134">
        <f t="shared" si="3"/>
        <v>-169.69953810342986</v>
      </c>
      <c r="H13" s="134">
        <f t="shared" si="4"/>
        <v>169.69953810342986</v>
      </c>
      <c r="I13" s="131">
        <f>SUM(H$3:H13)/COUNT(H$3:H13)</f>
        <v>187.94627619043439</v>
      </c>
      <c r="J13" s="131">
        <f>SUM(G$3:G13)/I13</f>
        <v>0.27515860997323727</v>
      </c>
      <c r="K13" s="133">
        <f t="shared" si="5"/>
        <v>41977.842375325854</v>
      </c>
      <c r="L13" s="131">
        <f>SQRT(SUM(K$3:K13)/(COUNT(K$3:K13)-1))</f>
        <v>257.28213700028175</v>
      </c>
      <c r="M13" s="25">
        <v>0.8</v>
      </c>
      <c r="N13" s="25">
        <v>657.22070075513284</v>
      </c>
      <c r="O13" s="25">
        <v>677.30213188567222</v>
      </c>
      <c r="P13" s="25">
        <v>699.77016737001111</v>
      </c>
      <c r="Q13" s="25">
        <v>724.34744382008569</v>
      </c>
      <c r="R13" s="25">
        <v>752.88874728465203</v>
      </c>
      <c r="S13" s="25">
        <v>784.01669165379928</v>
      </c>
      <c r="T13" s="25">
        <v>817.63404752825033</v>
      </c>
      <c r="U13" s="25">
        <v>851.71631870952831</v>
      </c>
      <c r="V13" s="25">
        <v>887.16067665322407</v>
      </c>
      <c r="W13" s="25">
        <v>926.44086714731009</v>
      </c>
    </row>
    <row r="14" spans="1:24" x14ac:dyDescent="0.2">
      <c r="A14" s="24">
        <f>[2]ArdiData!A14</f>
        <v>12</v>
      </c>
      <c r="B14" s="136">
        <f ca="1">'0.ArdiData'!C14</f>
        <v>4225</v>
      </c>
      <c r="C14" s="135">
        <v>2374.8996096579372</v>
      </c>
      <c r="D14" s="25">
        <f t="shared" si="0"/>
        <v>2557.7687177111629</v>
      </c>
      <c r="E14" s="135">
        <f t="shared" si="1"/>
        <v>80.263801747725921</v>
      </c>
      <c r="F14" s="135">
        <f t="shared" si="2"/>
        <v>2603.4859947244695</v>
      </c>
      <c r="G14" s="134">
        <f t="shared" si="3"/>
        <v>-228.58638506653233</v>
      </c>
      <c r="H14" s="134">
        <f t="shared" si="4"/>
        <v>228.58638506653233</v>
      </c>
      <c r="I14" s="131">
        <f>SUM(H$3:H14)/COUNT(H$3:H14)</f>
        <v>191.3329519301092</v>
      </c>
      <c r="J14" s="131">
        <f>SUM(G$3:G14)/I14</f>
        <v>-0.92441655854938398</v>
      </c>
      <c r="K14" s="133">
        <f t="shared" si="5"/>
        <v>69575.560408160207</v>
      </c>
      <c r="L14" s="131">
        <f>SQRT(SUM(K$3:K14)/(COUNT(K$3:K14)-1))</f>
        <v>257.87885468012752</v>
      </c>
      <c r="M14" s="25">
        <v>0.9</v>
      </c>
      <c r="N14" s="25">
        <v>688.27366312579159</v>
      </c>
      <c r="O14" s="25">
        <v>714.65553931523834</v>
      </c>
      <c r="P14" s="25">
        <v>746.76679981640541</v>
      </c>
      <c r="Q14" s="25">
        <v>781.31220782335936</v>
      </c>
      <c r="R14" s="25">
        <v>817.45584925983178</v>
      </c>
      <c r="S14" s="25">
        <v>855.1985553280017</v>
      </c>
      <c r="T14" s="25">
        <v>894.45500789409198</v>
      </c>
      <c r="U14" s="25">
        <v>939.69424893750829</v>
      </c>
      <c r="V14" s="25">
        <v>990.03272839589806</v>
      </c>
      <c r="W14" s="25">
        <v>1045.1650423681208</v>
      </c>
    </row>
    <row r="15" spans="1:24" x14ac:dyDescent="0.2">
      <c r="A15" s="24">
        <f>[2]ArdiData!A15</f>
        <v>13</v>
      </c>
      <c r="B15" s="136">
        <f ca="1">'0.ArdiData'!C15</f>
        <v>4436</v>
      </c>
      <c r="C15" s="135">
        <v>2837.1005129516102</v>
      </c>
      <c r="D15" s="25">
        <f t="shared" si="0"/>
        <v>2677.8461181574335</v>
      </c>
      <c r="E15" s="135">
        <f t="shared" si="1"/>
        <v>104.1519609668527</v>
      </c>
      <c r="F15" s="135">
        <f t="shared" si="2"/>
        <v>2638.0325194588891</v>
      </c>
      <c r="G15" s="134">
        <f t="shared" si="3"/>
        <v>199.06799349272114</v>
      </c>
      <c r="H15" s="134">
        <f t="shared" si="4"/>
        <v>199.06799349272114</v>
      </c>
      <c r="I15" s="131">
        <f>SUM(H$3:H15)/COUNT(H$3:H15)</f>
        <v>191.92795512723322</v>
      </c>
      <c r="J15" s="131">
        <f>SUM(G$3:G15)/I15</f>
        <v>0.11565091973016774</v>
      </c>
      <c r="K15" s="133">
        <f t="shared" si="5"/>
        <v>26857.500839515669</v>
      </c>
      <c r="L15" s="131">
        <f>SQRT(SUM(K$3:K15)/(COUNT(K$3:K15)-1))</f>
        <v>251.39179936273337</v>
      </c>
      <c r="M15" s="25">
        <v>1</v>
      </c>
      <c r="N15" s="25">
        <v>728.37752944351848</v>
      </c>
      <c r="O15" s="25">
        <v>764.97352990488082</v>
      </c>
      <c r="P15" s="25">
        <v>805.59056595203356</v>
      </c>
      <c r="Q15" s="25">
        <v>847.83472916472874</v>
      </c>
      <c r="R15" s="25">
        <v>892.17262672272159</v>
      </c>
      <c r="S15" s="25">
        <v>938.57956207566258</v>
      </c>
      <c r="T15" s="25">
        <v>991.14745212991727</v>
      </c>
      <c r="U15" s="25">
        <v>1048.7980679170007</v>
      </c>
      <c r="V15" s="25">
        <v>1118.0491855627984</v>
      </c>
      <c r="W15" s="25">
        <v>1196.3574179536706</v>
      </c>
    </row>
    <row r="16" spans="1:24" x14ac:dyDescent="0.2">
      <c r="A16" s="24">
        <f>[2]ArdiData!A16</f>
        <v>14</v>
      </c>
      <c r="B16" s="136">
        <f ca="1">'0.ArdiData'!C16</f>
        <v>5351</v>
      </c>
      <c r="C16" s="135">
        <v>2930.8445360245173</v>
      </c>
      <c r="D16" s="25">
        <f t="shared" si="0"/>
        <v>2811.7673705043326</v>
      </c>
      <c r="E16" s="135">
        <f t="shared" si="1"/>
        <v>122.01353579488055</v>
      </c>
      <c r="F16" s="135">
        <f t="shared" si="2"/>
        <v>2781.9980791242861</v>
      </c>
      <c r="G16" s="134">
        <f t="shared" si="3"/>
        <v>148.84645690023126</v>
      </c>
      <c r="H16" s="134">
        <f t="shared" si="4"/>
        <v>148.84645690023126</v>
      </c>
      <c r="I16" s="131">
        <f>SUM(H$3:H16)/COUNT(H$3:H16)</f>
        <v>188.85070525387593</v>
      </c>
      <c r="J16" s="131">
        <f>SUM(G$3:G16)/I16</f>
        <v>0.90570538882917773</v>
      </c>
      <c r="K16" s="133">
        <f t="shared" si="5"/>
        <v>12918.833351688992</v>
      </c>
      <c r="L16" s="131">
        <f>SQRT(SUM(K$3:K16)/(COUNT(K$3:K16)-1))</f>
        <v>243.57795700345213</v>
      </c>
      <c r="X16" s="25">
        <f>MIN(N6:W15)</f>
        <v>531.10353796997686</v>
      </c>
    </row>
    <row r="17" spans="1:12" x14ac:dyDescent="0.2">
      <c r="A17" s="24">
        <f>[2]ArdiData!A17</f>
        <v>15</v>
      </c>
      <c r="B17" s="136">
        <f ca="1">'0.ArdiData'!C17</f>
        <v>5673</v>
      </c>
      <c r="C17" s="135">
        <v>2610.1441965075874</v>
      </c>
      <c r="D17" s="25">
        <f t="shared" si="0"/>
        <v>2869.0535643408884</v>
      </c>
      <c r="E17" s="135">
        <f t="shared" si="1"/>
        <v>83.177130619885745</v>
      </c>
      <c r="F17" s="135">
        <f t="shared" si="2"/>
        <v>2933.7809062992133</v>
      </c>
      <c r="G17" s="134">
        <f t="shared" si="3"/>
        <v>-323.63670979162589</v>
      </c>
      <c r="H17" s="134">
        <f t="shared" si="4"/>
        <v>323.63670979162589</v>
      </c>
      <c r="I17" s="131">
        <f>SUM(H$3:H17)/COUNT(H$3:H17)</f>
        <v>197.83643888972591</v>
      </c>
      <c r="J17" s="131">
        <f>SUM(G$3:G17)/I17</f>
        <v>-0.77131194442928419</v>
      </c>
      <c r="K17" s="133">
        <f t="shared" si="5"/>
        <v>128753.31438027737</v>
      </c>
      <c r="L17" s="131">
        <f>SQRT(SUM(K$3:K17)/(COUNT(K$3:K17)-1))</f>
        <v>253.55278249789669</v>
      </c>
    </row>
    <row r="18" spans="1:12" x14ac:dyDescent="0.2">
      <c r="A18" s="24">
        <f>[2]ArdiData!A18</f>
        <v>16</v>
      </c>
      <c r="B18" s="136">
        <f ca="1">'0.ArdiData'!C18</f>
        <v>4402</v>
      </c>
      <c r="C18" s="135">
        <v>3135.2317628620631</v>
      </c>
      <c r="D18" s="25">
        <f t="shared" si="0"/>
        <v>2988.8309085410319</v>
      </c>
      <c r="E18" s="135">
        <f t="shared" si="1"/>
        <v>105.1372587680404</v>
      </c>
      <c r="F18" s="135">
        <f t="shared" si="2"/>
        <v>2952.2306949607741</v>
      </c>
      <c r="G18" s="134">
        <f t="shared" si="3"/>
        <v>183.00106790128893</v>
      </c>
      <c r="H18" s="134">
        <f t="shared" si="4"/>
        <v>183.00106790128893</v>
      </c>
      <c r="I18" s="131">
        <f>SUM(H$3:H18)/COUNT(H$3:H18)</f>
        <v>196.90922820294861</v>
      </c>
      <c r="J18" s="131">
        <f>SUM(G$3:G18)/I18</f>
        <v>0.15442374041987056</v>
      </c>
      <c r="K18" s="133">
        <f t="shared" si="5"/>
        <v>21849.468420678731</v>
      </c>
      <c r="L18" s="131">
        <f>SQRT(SUM(K$3:K18)/(COUNT(K$3:K18)-1))</f>
        <v>247.91069058495489</v>
      </c>
    </row>
    <row r="19" spans="1:12" x14ac:dyDescent="0.2">
      <c r="A19" s="24">
        <f>[2]ArdiData!A19</f>
        <v>17</v>
      </c>
      <c r="B19" s="136">
        <f ca="1">'0.ArdiData'!C19</f>
        <v>5545</v>
      </c>
      <c r="C19" s="135">
        <v>2997.405744195491</v>
      </c>
      <c r="D19" s="25">
        <f t="shared" si="0"/>
        <v>3074.6556826863562</v>
      </c>
      <c r="E19" s="135">
        <f t="shared" si="1"/>
        <v>93.549767994410701</v>
      </c>
      <c r="F19" s="135">
        <f t="shared" si="2"/>
        <v>3093.9681673090722</v>
      </c>
      <c r="G19" s="134">
        <f t="shared" si="3"/>
        <v>-96.56242311358119</v>
      </c>
      <c r="H19" s="134">
        <f t="shared" si="4"/>
        <v>96.56242311358119</v>
      </c>
      <c r="I19" s="131">
        <f>SUM(H$3:H19)/COUNT(H$3:H19)</f>
        <v>191.00647496239759</v>
      </c>
      <c r="J19" s="131">
        <f>SUM(G$3:G19)/I19</f>
        <v>-0.34634932446303496</v>
      </c>
      <c r="K19" s="133">
        <f t="shared" si="5"/>
        <v>17357.491797613467</v>
      </c>
      <c r="L19" s="131">
        <f>SQRT(SUM(K$3:K19)/(COUNT(K$3:K19)-1))</f>
        <v>242.28768403906906</v>
      </c>
    </row>
    <row r="20" spans="1:12" x14ac:dyDescent="0.2">
      <c r="A20" s="24">
        <f>[2]ArdiData!A20</f>
        <v>18</v>
      </c>
      <c r="B20" s="136">
        <f ca="1">'0.ArdiData'!C20</f>
        <v>5307</v>
      </c>
      <c r="C20" s="135">
        <v>2897.6453125752814</v>
      </c>
      <c r="D20" s="25">
        <f t="shared" si="0"/>
        <v>3114.0934230596699</v>
      </c>
      <c r="E20" s="135">
        <f t="shared" si="1"/>
        <v>61.082551421752541</v>
      </c>
      <c r="F20" s="135">
        <f t="shared" si="2"/>
        <v>3168.2054506807667</v>
      </c>
      <c r="G20" s="134">
        <f t="shared" si="3"/>
        <v>-270.56013810548529</v>
      </c>
      <c r="H20" s="134">
        <f t="shared" si="4"/>
        <v>270.56013810548529</v>
      </c>
      <c r="I20" s="131">
        <f>SUM(H$3:H20)/COUNT(H$3:H20)</f>
        <v>195.42612291479134</v>
      </c>
      <c r="J20" s="131">
        <f>SUM(G$3:G20)/I20</f>
        <v>-1.7229789787294201</v>
      </c>
      <c r="K20" s="133">
        <f t="shared" si="5"/>
        <v>93480.34080708299</v>
      </c>
      <c r="L20" s="131">
        <f>SQRT(SUM(K$3:K20)/(COUNT(K$3:K20)-1))</f>
        <v>246.47318076264403</v>
      </c>
    </row>
    <row r="21" spans="1:12" x14ac:dyDescent="0.2">
      <c r="A21" s="24">
        <f>[2]ArdiData!A21</f>
        <v>19</v>
      </c>
      <c r="B21" s="136">
        <f ca="1">'0.ArdiData'!C21</f>
        <v>5786</v>
      </c>
      <c r="C21" s="135">
        <v>2451.4955445656897</v>
      </c>
      <c r="D21" s="25">
        <f t="shared" si="0"/>
        <v>3030.4398884982761</v>
      </c>
      <c r="E21" s="135">
        <f t="shared" si="1"/>
        <v>-25.759100168135276</v>
      </c>
      <c r="F21" s="135">
        <f t="shared" si="2"/>
        <v>3175.1759744814226</v>
      </c>
      <c r="G21" s="134">
        <f t="shared" si="3"/>
        <v>-723.68042991573293</v>
      </c>
      <c r="H21" s="134">
        <f t="shared" si="4"/>
        <v>723.68042991573293</v>
      </c>
      <c r="I21" s="131">
        <f>SUM(H$3:H21)/COUNT(H$3:H21)</f>
        <v>223.2289811779988</v>
      </c>
      <c r="J21" s="131">
        <f>SUM(G$3:G21)/I21</f>
        <v>-4.7502592449990608</v>
      </c>
      <c r="K21" s="133">
        <f t="shared" si="5"/>
        <v>575877.3645317466</v>
      </c>
      <c r="L21" s="131">
        <f>SQRT(SUM(K$3:K21)/(COUNT(K$3:K21)-1))</f>
        <v>298.94358950692072</v>
      </c>
    </row>
    <row r="22" spans="1:12" x14ac:dyDescent="0.2">
      <c r="A22" s="24">
        <f>[2]ArdiData!A22</f>
        <v>20</v>
      </c>
      <c r="B22" s="136">
        <f ca="1">'0.ArdiData'!C22</f>
        <v>5970</v>
      </c>
      <c r="C22" s="135">
        <v>3606.7892415047718</v>
      </c>
      <c r="D22" s="25">
        <f t="shared" si="0"/>
        <v>3125.1024789650673</v>
      </c>
      <c r="E22" s="135">
        <f t="shared" si="1"/>
        <v>46.493914212820627</v>
      </c>
      <c r="F22" s="135">
        <f t="shared" si="2"/>
        <v>3004.6807883301408</v>
      </c>
      <c r="G22" s="134">
        <f t="shared" si="3"/>
        <v>602.10845317463099</v>
      </c>
      <c r="H22" s="134">
        <f t="shared" si="4"/>
        <v>602.10845317463099</v>
      </c>
      <c r="I22" s="131">
        <f>SUM(H$3:H22)/COUNT(H$3:H22)</f>
        <v>242.1729547778304</v>
      </c>
      <c r="J22" s="131">
        <f>SUM(G$3:G22)/I22</f>
        <v>-1.8923957831637808</v>
      </c>
      <c r="K22" s="133">
        <f t="shared" si="5"/>
        <v>321401.73573135288</v>
      </c>
      <c r="L22" s="131">
        <f>SQRT(SUM(K$3:K22)/(COUNT(K$3:K22)-1))</f>
        <v>318.71556288380185</v>
      </c>
    </row>
    <row r="23" spans="1:12" x14ac:dyDescent="0.2">
      <c r="A23" s="24">
        <f>[2]ArdiData!A23</f>
        <v>21</v>
      </c>
      <c r="B23" s="136">
        <f ca="1">'0.ArdiData'!C23</f>
        <v>7221</v>
      </c>
      <c r="C23" s="135">
        <v>3329.4002934339937</v>
      </c>
      <c r="D23" s="25">
        <f t="shared" si="0"/>
        <v>3203.157173229109</v>
      </c>
      <c r="E23" s="135">
        <f t="shared" si="1"/>
        <v>65.430382243553268</v>
      </c>
      <c r="F23" s="135">
        <f t="shared" si="2"/>
        <v>3171.5963931778879</v>
      </c>
      <c r="G23" s="134">
        <f t="shared" si="3"/>
        <v>157.80390025610586</v>
      </c>
      <c r="H23" s="134">
        <f t="shared" si="4"/>
        <v>157.80390025610586</v>
      </c>
      <c r="I23" s="131">
        <f>SUM(H$3:H23)/COUNT(H$3:H23)</f>
        <v>238.15538075298642</v>
      </c>
      <c r="J23" s="131">
        <f>SUM(G$3:G23)/I23</f>
        <v>-1.2617106412281023</v>
      </c>
      <c r="K23" s="133">
        <f t="shared" si="5"/>
        <v>15035.293903732731</v>
      </c>
      <c r="L23" s="131">
        <f>SQRT(SUM(K$3:K23)/(COUNT(K$3:K23)-1))</f>
        <v>311.85316130882552</v>
      </c>
    </row>
    <row r="24" spans="1:12" x14ac:dyDescent="0.2">
      <c r="A24" s="24">
        <f>[2]ArdiData!A24</f>
        <v>22</v>
      </c>
      <c r="B24" s="136">
        <f ca="1">'0.ArdiData'!C24</f>
        <v>6829</v>
      </c>
      <c r="C24" s="135">
        <v>3271.7372704254626</v>
      </c>
      <c r="D24" s="25">
        <f t="shared" si="0"/>
        <v>3269.2174984632225</v>
      </c>
      <c r="E24" s="135">
        <f t="shared" si="1"/>
        <v>65.808348037889346</v>
      </c>
      <c r="F24" s="135">
        <f t="shared" si="2"/>
        <v>3268.5875554726622</v>
      </c>
      <c r="G24" s="134">
        <f t="shared" si="3"/>
        <v>3.1497149528004229</v>
      </c>
      <c r="H24" s="134">
        <f t="shared" si="4"/>
        <v>3.1497149528004229</v>
      </c>
      <c r="I24" s="131">
        <f>SUM(H$3:H24)/COUNT(H$3:H24)</f>
        <v>227.47330503479614</v>
      </c>
      <c r="J24" s="131">
        <f>SUM(G$3:G24)/I24</f>
        <v>-1.3071136552198528</v>
      </c>
      <c r="K24" s="133">
        <f t="shared" si="5"/>
        <v>1026.2858221996787</v>
      </c>
      <c r="L24" s="131">
        <f>SQRT(SUM(K$3:K24)/(COUNT(K$3:K24)-1))</f>
        <v>304.41780266666143</v>
      </c>
    </row>
    <row r="25" spans="1:12" x14ac:dyDescent="0.2">
      <c r="A25" s="24">
        <f>[2]ArdiData!A25</f>
        <v>23</v>
      </c>
      <c r="B25" s="136">
        <f ca="1">'0.ArdiData'!C25</f>
        <v>6851</v>
      </c>
      <c r="C25" s="135">
        <v>3370.7908457036756</v>
      </c>
      <c r="D25" s="25">
        <f t="shared" si="0"/>
        <v>3342.1788463416246</v>
      </c>
      <c r="E25" s="135">
        <f t="shared" si="1"/>
        <v>70.100147942197054</v>
      </c>
      <c r="F25" s="135">
        <f t="shared" si="2"/>
        <v>3335.025846501112</v>
      </c>
      <c r="G25" s="134">
        <f t="shared" si="3"/>
        <v>35.764999202563558</v>
      </c>
      <c r="H25" s="134">
        <f t="shared" si="4"/>
        <v>35.764999202563558</v>
      </c>
      <c r="I25" s="131">
        <f>SUM(H$3:H25)/COUNT(H$3:H25)</f>
        <v>219.13816130295993</v>
      </c>
      <c r="J25" s="131">
        <f>SUM(G$3:G25)/I25</f>
        <v>-1.1936235224899476</v>
      </c>
      <c r="K25" s="133">
        <f t="shared" si="5"/>
        <v>0.3359224669813996</v>
      </c>
      <c r="L25" s="131">
        <f>SQRT(SUM(K$3:K25)/(COUNT(K$3:K25)-1))</f>
        <v>297.4187823523373</v>
      </c>
    </row>
    <row r="26" spans="1:12" x14ac:dyDescent="0.2">
      <c r="A26" s="24">
        <f>[2]ArdiData!A26</f>
        <v>24</v>
      </c>
      <c r="B26" s="136">
        <f ca="1">'0.ArdiData'!C26</f>
        <v>7267</v>
      </c>
      <c r="C26" s="135">
        <v>3326.6171341495628</v>
      </c>
      <c r="D26" s="25">
        <f t="shared" si="0"/>
        <v>3395.1466222569702</v>
      </c>
      <c r="E26" s="135">
        <f t="shared" si="1"/>
        <v>59.820724726086155</v>
      </c>
      <c r="F26" s="135">
        <f t="shared" si="2"/>
        <v>3412.2789942838217</v>
      </c>
      <c r="G26" s="134">
        <f t="shared" si="3"/>
        <v>-85.661860134258859</v>
      </c>
      <c r="H26" s="134">
        <f t="shared" si="4"/>
        <v>85.661860134258859</v>
      </c>
      <c r="I26" s="131">
        <f>SUM(H$3:H26)/COUNT(H$3:H26)</f>
        <v>213.57664875426406</v>
      </c>
      <c r="J26" s="131">
        <f>SUM(G$3:G26)/I26</f>
        <v>-1.6257878666322869</v>
      </c>
      <c r="K26" s="133">
        <f t="shared" si="5"/>
        <v>14604.0629442604</v>
      </c>
      <c r="L26" s="131">
        <f>SQRT(SUM(K$3:K26)/(COUNT(K$3:K26)-1))</f>
        <v>291.97070796013634</v>
      </c>
    </row>
    <row r="27" spans="1:12" x14ac:dyDescent="0.2">
      <c r="A27" s="24">
        <f>[2]ArdiData!A27</f>
        <v>25</v>
      </c>
      <c r="B27" s="136">
        <f ca="1">'0.ArdiData'!C27</f>
        <v>6418</v>
      </c>
      <c r="C27" s="135">
        <v>3919.3323507327541</v>
      </c>
      <c r="D27" s="25">
        <f t="shared" si="0"/>
        <v>3547.8403477329962</v>
      </c>
      <c r="E27" s="135">
        <f t="shared" si="1"/>
        <v>115.54452517605006</v>
      </c>
      <c r="F27" s="135">
        <f t="shared" si="2"/>
        <v>3454.9673469830564</v>
      </c>
      <c r="G27" s="134">
        <f t="shared" si="3"/>
        <v>464.36500374969773</v>
      </c>
      <c r="H27" s="134">
        <f t="shared" si="4"/>
        <v>464.36500374969773</v>
      </c>
      <c r="I27" s="131">
        <f>SUM(H$3:H27)/COUNT(H$3:H27)</f>
        <v>223.60818295408143</v>
      </c>
      <c r="J27" s="131">
        <f>SUM(G$3:G27)/I27</f>
        <v>0.52383896716822487</v>
      </c>
      <c r="K27" s="133">
        <f t="shared" si="5"/>
        <v>184195.1228197864</v>
      </c>
      <c r="L27" s="131">
        <f>SQRT(SUM(K$3:K27)/(COUNT(K$3:K27)-1))</f>
        <v>298.94771643458552</v>
      </c>
    </row>
    <row r="28" spans="1:12" x14ac:dyDescent="0.2">
      <c r="A28" s="24">
        <f>[2]ArdiData!A28</f>
        <v>26</v>
      </c>
      <c r="B28" s="136">
        <f ca="1">'0.ArdiData'!C28</f>
        <v>7409</v>
      </c>
      <c r="C28" s="135">
        <v>3932.7496928280202</v>
      </c>
      <c r="D28" s="25">
        <f t="shared" si="0"/>
        <v>3717.2578368928412</v>
      </c>
      <c r="E28" s="135">
        <f t="shared" si="1"/>
        <v>147.86830356632703</v>
      </c>
      <c r="F28" s="135">
        <f t="shared" si="2"/>
        <v>3663.3848729090464</v>
      </c>
      <c r="G28" s="134">
        <f t="shared" si="3"/>
        <v>269.36481991897381</v>
      </c>
      <c r="H28" s="134">
        <f t="shared" si="4"/>
        <v>269.36481991897381</v>
      </c>
      <c r="I28" s="131">
        <f>SUM(H$3:H28)/COUNT(H$3:H28)</f>
        <v>225.36805360657729</v>
      </c>
      <c r="J28" s="131">
        <f>SUM(G$3:G28)/I28</f>
        <v>1.7149702157995805</v>
      </c>
      <c r="K28" s="133">
        <f t="shared" si="5"/>
        <v>54839.995554541114</v>
      </c>
      <c r="L28" s="131">
        <f>SQRT(SUM(K$3:K28)/(COUNT(K$3:K28)-1))</f>
        <v>296.6286356661758</v>
      </c>
    </row>
    <row r="29" spans="1:12" x14ac:dyDescent="0.2">
      <c r="A29" s="24">
        <f>[2]ArdiData!A29</f>
        <v>27</v>
      </c>
      <c r="B29" s="136">
        <f ca="1">'0.ArdiData'!C29</f>
        <v>7282</v>
      </c>
      <c r="C29" s="135">
        <v>3271.4587202821313</v>
      </c>
      <c r="D29" s="25">
        <f t="shared" si="0"/>
        <v>3746.3926564237609</v>
      </c>
      <c r="E29" s="135">
        <f t="shared" si="1"/>
        <v>76.628213145082626</v>
      </c>
      <c r="F29" s="135">
        <f t="shared" si="2"/>
        <v>3865.1261404591683</v>
      </c>
      <c r="G29" s="134">
        <f t="shared" si="3"/>
        <v>-593.667420177037</v>
      </c>
      <c r="H29" s="134">
        <f t="shared" si="4"/>
        <v>593.667420177037</v>
      </c>
      <c r="I29" s="131">
        <f>SUM(H$3:H29)/COUNT(H$3:H29)</f>
        <v>239.00877088696467</v>
      </c>
      <c r="J29" s="131">
        <f>SUM(G$3:G29)/I29</f>
        <v>-0.86677957415634099</v>
      </c>
      <c r="K29" s="133">
        <f t="shared" si="5"/>
        <v>395455.88329843793</v>
      </c>
      <c r="L29" s="131">
        <f>SQRT(SUM(K$3:K29)/(COUNT(K$3:K29)-1))</f>
        <v>315.93387640258499</v>
      </c>
    </row>
    <row r="30" spans="1:12" x14ac:dyDescent="0.2">
      <c r="A30" s="24">
        <f>[2]ArdiData!A30</f>
        <v>28</v>
      </c>
      <c r="B30" s="136">
        <f ca="1">'0.ArdiData'!C30</f>
        <v>8526</v>
      </c>
      <c r="C30" s="135">
        <v>4226.8800578487453</v>
      </c>
      <c r="D30" s="25">
        <f t="shared" si="0"/>
        <v>3903.792707224824</v>
      </c>
      <c r="E30" s="135">
        <f t="shared" si="1"/>
        <v>125.09131573867093</v>
      </c>
      <c r="F30" s="135">
        <f t="shared" si="2"/>
        <v>3823.0208695688434</v>
      </c>
      <c r="G30" s="134">
        <f t="shared" si="3"/>
        <v>403.8591882799019</v>
      </c>
      <c r="H30" s="134">
        <f t="shared" si="4"/>
        <v>403.8591882799019</v>
      </c>
      <c r="I30" s="131">
        <f>SUM(H$3:H30)/COUNT(H$3:H30)</f>
        <v>244.89628579385527</v>
      </c>
      <c r="J30" s="131">
        <f>SUM(G$3:G30)/I30</f>
        <v>0.80316149750199028</v>
      </c>
      <c r="K30" s="133">
        <f t="shared" si="5"/>
        <v>135920.35404265486</v>
      </c>
      <c r="L30" s="131">
        <f>SQRT(SUM(K$3:K30)/(COUNT(K$3:K30)-1))</f>
        <v>318.0432025609166</v>
      </c>
    </row>
    <row r="31" spans="1:12" x14ac:dyDescent="0.2">
      <c r="A31" s="24">
        <f>[2]ArdiData!A31</f>
        <v>29</v>
      </c>
      <c r="B31" s="136">
        <f ca="1">'0.ArdiData'!C31</f>
        <v>9114</v>
      </c>
      <c r="C31" s="135">
        <v>3676.4065496322846</v>
      </c>
      <c r="D31" s="25">
        <f t="shared" si="0"/>
        <v>3958.3885282972533</v>
      </c>
      <c r="E31" s="135">
        <f t="shared" si="1"/>
        <v>82.794018938925973</v>
      </c>
      <c r="F31" s="135">
        <f t="shared" si="2"/>
        <v>4028.8840229634948</v>
      </c>
      <c r="G31" s="134">
        <f t="shared" si="3"/>
        <v>-352.47747333121015</v>
      </c>
      <c r="H31" s="134">
        <f t="shared" si="4"/>
        <v>352.47747333121015</v>
      </c>
      <c r="I31" s="131">
        <f>SUM(H$3:H31)/COUNT(H$3:H31)</f>
        <v>248.60598191583304</v>
      </c>
      <c r="J31" s="131">
        <f>SUM(G$3:G31)/I31</f>
        <v>-0.62663900723468613</v>
      </c>
      <c r="K31" s="133">
        <f t="shared" si="5"/>
        <v>150282.51189974471</v>
      </c>
      <c r="L31" s="131">
        <f>SQRT(SUM(K$3:K31)/(COUNT(K$3:K31)-1))</f>
        <v>320.78989767838584</v>
      </c>
    </row>
    <row r="32" spans="1:12" x14ac:dyDescent="0.2">
      <c r="A32" s="24">
        <f>[2]ArdiData!A32</f>
        <v>30</v>
      </c>
      <c r="B32" s="136">
        <f ca="1">'0.ArdiData'!C32</f>
        <v>7448</v>
      </c>
      <c r="C32" s="135">
        <v>3709.9538102697975</v>
      </c>
      <c r="D32" s="25">
        <f t="shared" si="0"/>
        <v>3974.9367998429034</v>
      </c>
      <c r="E32" s="135">
        <f t="shared" si="1"/>
        <v>43.046570502960449</v>
      </c>
      <c r="F32" s="135">
        <f t="shared" si="2"/>
        <v>4041.1825472361793</v>
      </c>
      <c r="G32" s="134">
        <f t="shared" si="3"/>
        <v>-331.2287369663818</v>
      </c>
      <c r="H32" s="134">
        <f t="shared" si="4"/>
        <v>331.2287369663818</v>
      </c>
      <c r="I32" s="131">
        <f>SUM(H$3:H32)/COUNT(H$3:H32)</f>
        <v>251.36007375085134</v>
      </c>
      <c r="J32" s="131">
        <f>SUM(G$3:G32)/I32</f>
        <v>-1.9375190952141987</v>
      </c>
      <c r="K32" s="133">
        <f t="shared" si="5"/>
        <v>134259.32784103689</v>
      </c>
      <c r="L32" s="131">
        <f>SQRT(SUM(K$3:K32)/(COUNT(K$3:K32)-1))</f>
        <v>322.47062226585456</v>
      </c>
    </row>
    <row r="33" spans="1:12" x14ac:dyDescent="0.2">
      <c r="A33" s="24">
        <f>[2]ArdiData!A33</f>
        <v>31</v>
      </c>
      <c r="B33" s="136">
        <f ca="1">'0.ArdiData'!C33</f>
        <v>7776</v>
      </c>
      <c r="C33" s="135">
        <v>4309.3917506051803</v>
      </c>
      <c r="D33" s="25">
        <f t="shared" si="0"/>
        <v>4076.2650463977275</v>
      </c>
      <c r="E33" s="135">
        <f t="shared" si="1"/>
        <v>78.015576134078628</v>
      </c>
      <c r="F33" s="135">
        <f t="shared" si="2"/>
        <v>4017.9833703458639</v>
      </c>
      <c r="G33" s="134">
        <f t="shared" si="3"/>
        <v>291.40838025931635</v>
      </c>
      <c r="H33" s="134">
        <f t="shared" si="4"/>
        <v>291.40838025931635</v>
      </c>
      <c r="I33" s="131">
        <f>SUM(H$3:H33)/COUNT(H$3:H33)</f>
        <v>252.65195460596314</v>
      </c>
      <c r="J33" s="131">
        <f>SUM(G$3:G33)/I33</f>
        <v>-0.77421353304974849</v>
      </c>
      <c r="K33" s="133">
        <f t="shared" si="5"/>
        <v>65650.209968293508</v>
      </c>
      <c r="L33" s="131">
        <f>SQRT(SUM(K$3:K33)/(COUNT(K$3:K33)-1))</f>
        <v>320.48307154874755</v>
      </c>
    </row>
    <row r="34" spans="1:12" x14ac:dyDescent="0.2">
      <c r="A34" s="24">
        <f>[2]ArdiData!A34</f>
        <v>32</v>
      </c>
      <c r="B34" s="136">
        <f ca="1">'0.ArdiData'!C34</f>
        <v>7666</v>
      </c>
      <c r="C34" s="135">
        <v>3396.6468613345064</v>
      </c>
      <c r="D34" s="25">
        <f t="shared" si="0"/>
        <v>4002.7538702923466</v>
      </c>
      <c r="E34" s="135">
        <f t="shared" si="1"/>
        <v>-12.900475209597058</v>
      </c>
      <c r="F34" s="135">
        <f t="shared" si="2"/>
        <v>4154.2806225318063</v>
      </c>
      <c r="G34" s="134">
        <f t="shared" si="3"/>
        <v>-757.63376119729992</v>
      </c>
      <c r="H34" s="134">
        <f t="shared" si="4"/>
        <v>757.63376119729992</v>
      </c>
      <c r="I34" s="131">
        <f>SUM(H$3:H34)/COUNT(H$3:H34)</f>
        <v>268.43263606194239</v>
      </c>
      <c r="J34" s="131">
        <f>SUM(G$3:G34)/I34</f>
        <v>-3.5511342346045494</v>
      </c>
      <c r="K34" s="133">
        <f t="shared" si="5"/>
        <v>628562.23982764524</v>
      </c>
      <c r="L34" s="131">
        <f>SQRT(SUM(K$3:K34)/(COUNT(K$3:K34)-1))</f>
        <v>345.93697982423157</v>
      </c>
    </row>
    <row r="35" spans="1:12" x14ac:dyDescent="0.2">
      <c r="A35" s="24">
        <f>[2]ArdiData!A35</f>
        <v>33</v>
      </c>
      <c r="B35" s="136">
        <f ca="1">'0.ArdiData'!C35</f>
        <v>8172</v>
      </c>
      <c r="C35" s="135">
        <v>3425.2650395092878</v>
      </c>
      <c r="D35" s="25">
        <f t="shared" ref="D35:D66" si="6">$N$1*C35+(1-$N$1)*F35</f>
        <v>3876.9357239680576</v>
      </c>
      <c r="E35" s="135">
        <f t="shared" ref="E35:E66" si="7">$N$2*(D35-D34)+(1-$N$2)*E34</f>
        <v>-80.651077878412252</v>
      </c>
      <c r="F35" s="135">
        <f t="shared" ref="F35:F66" si="8">D34+E34</f>
        <v>3989.8533950827496</v>
      </c>
      <c r="G35" s="134">
        <f t="shared" ref="G35:G66" si="9">C35-F35</f>
        <v>-564.58835557346174</v>
      </c>
      <c r="H35" s="134">
        <f t="shared" ref="H35:H66" si="10">ABS(G35)</f>
        <v>564.58835557346174</v>
      </c>
      <c r="I35" s="131">
        <f>SUM(H$3:H35)/COUNT(H$3:H35)</f>
        <v>277.40705180471571</v>
      </c>
      <c r="J35" s="131">
        <f>SUM(G$3:G35)/I35</f>
        <v>-5.4714855635561284</v>
      </c>
      <c r="K35" s="133">
        <f t="shared" ref="K35:K66" si="11">(G35-$G$78)^2</f>
        <v>359728.5710878988</v>
      </c>
      <c r="L35" s="131">
        <f>SQRT(SUM(K$3:K35)/(COUNT(K$3:K35)-1))</f>
        <v>356.61484762078811</v>
      </c>
    </row>
    <row r="36" spans="1:12" x14ac:dyDescent="0.2">
      <c r="A36" s="24">
        <f>[2]ArdiData!A36</f>
        <v>34</v>
      </c>
      <c r="B36" s="136">
        <f ca="1">'0.ArdiData'!C36</f>
        <v>8499</v>
      </c>
      <c r="C36" s="135">
        <v>3382.8091450329844</v>
      </c>
      <c r="D36" s="25">
        <f t="shared" si="6"/>
        <v>3713.5895458783134</v>
      </c>
      <c r="E36" s="135">
        <f t="shared" si="7"/>
        <v>-130.2681380052114</v>
      </c>
      <c r="F36" s="135">
        <f t="shared" si="8"/>
        <v>3796.2846460896453</v>
      </c>
      <c r="G36" s="134">
        <f t="shared" si="9"/>
        <v>-413.47550105666096</v>
      </c>
      <c r="H36" s="134">
        <f t="shared" si="10"/>
        <v>413.47550105666096</v>
      </c>
      <c r="I36" s="131">
        <f>SUM(H$3:H36)/COUNT(H$3:H36)</f>
        <v>281.40906501800822</v>
      </c>
      <c r="J36" s="131">
        <f>SUM(G$3:G36)/I36</f>
        <v>-6.8629778508067609</v>
      </c>
      <c r="K36" s="133">
        <f t="shared" si="11"/>
        <v>201296.61402111541</v>
      </c>
      <c r="L36" s="131">
        <f>SQRT(SUM(K$3:K36)/(COUNT(K$3:K36)-1))</f>
        <v>359.75030900722714</v>
      </c>
    </row>
    <row r="37" spans="1:12" x14ac:dyDescent="0.2">
      <c r="A37" s="24">
        <f>[2]ArdiData!A37</f>
        <v>35</v>
      </c>
      <c r="B37" s="136">
        <f ca="1">'0.ArdiData'!C37</f>
        <v>9681</v>
      </c>
      <c r="C37" s="135">
        <v>3846.9349712677931</v>
      </c>
      <c r="D37" s="25">
        <f t="shared" si="6"/>
        <v>3636.0441205520401</v>
      </c>
      <c r="E37" s="135">
        <f t="shared" si="7"/>
        <v>-98.63451039784853</v>
      </c>
      <c r="F37" s="135">
        <f t="shared" si="8"/>
        <v>3583.3214078731021</v>
      </c>
      <c r="G37" s="134">
        <f t="shared" si="9"/>
        <v>263.61356339469103</v>
      </c>
      <c r="H37" s="134">
        <f t="shared" si="10"/>
        <v>263.61356339469103</v>
      </c>
      <c r="I37" s="131">
        <f>SUM(H$3:H37)/COUNT(H$3:H37)</f>
        <v>280.90062211448486</v>
      </c>
      <c r="J37" s="131">
        <f>SUM(G$3:G37)/I37</f>
        <v>-5.936941699475657</v>
      </c>
      <c r="K37" s="133">
        <f t="shared" si="11"/>
        <v>52179.420799527696</v>
      </c>
      <c r="L37" s="131">
        <f>SQRT(SUM(K$3:K37)/(COUNT(K$3:K37)-1))</f>
        <v>356.57887586371226</v>
      </c>
    </row>
    <row r="38" spans="1:12" x14ac:dyDescent="0.2">
      <c r="A38" s="24">
        <f>[2]ArdiData!A38</f>
        <v>36</v>
      </c>
      <c r="B38" s="136">
        <f ca="1">'0.ArdiData'!C38</f>
        <v>10025</v>
      </c>
      <c r="C38" s="135">
        <v>4335.4663999878339</v>
      </c>
      <c r="D38" s="25">
        <f t="shared" si="6"/>
        <v>3697.0209681209203</v>
      </c>
      <c r="E38" s="135">
        <f t="shared" si="7"/>
        <v>-2.8676956178112931</v>
      </c>
      <c r="F38" s="135">
        <f t="shared" si="8"/>
        <v>3537.4096101541918</v>
      </c>
      <c r="G38" s="134">
        <f t="shared" si="9"/>
        <v>798.05678983364214</v>
      </c>
      <c r="H38" s="134">
        <f t="shared" si="10"/>
        <v>798.05678983364214</v>
      </c>
      <c r="I38" s="131">
        <f>SUM(H$3:H38)/COUNT(H$3:H38)</f>
        <v>295.26607121779477</v>
      </c>
      <c r="J38" s="131">
        <f>SUM(G$3:G38)/I38</f>
        <v>-2.9452548456372956</v>
      </c>
      <c r="K38" s="133">
        <f t="shared" si="11"/>
        <v>581972.74062041682</v>
      </c>
      <c r="L38" s="131">
        <f>SQRT(SUM(K$3:K38)/(COUNT(K$3:K38)-1))</f>
        <v>374.35741366606908</v>
      </c>
    </row>
    <row r="39" spans="1:12" x14ac:dyDescent="0.2">
      <c r="A39" s="24">
        <f>[2]ArdiData!A39</f>
        <v>37</v>
      </c>
      <c r="B39" s="136">
        <f ca="1">'0.ArdiData'!C39</f>
        <v>9869</v>
      </c>
      <c r="C39" s="135">
        <v>3778.0879495342488</v>
      </c>
      <c r="D39" s="25">
        <f t="shared" si="6"/>
        <v>3710.940207909337</v>
      </c>
      <c r="E39" s="135">
        <f t="shared" si="7"/>
        <v>7.2044656259254971</v>
      </c>
      <c r="F39" s="135">
        <f t="shared" si="8"/>
        <v>3694.1532725031088</v>
      </c>
      <c r="G39" s="134">
        <f t="shared" si="9"/>
        <v>83.934677031139927</v>
      </c>
      <c r="H39" s="134">
        <f t="shared" si="10"/>
        <v>83.934677031139927</v>
      </c>
      <c r="I39" s="131">
        <f>SUM(H$3:H39)/COUNT(H$3:H39)</f>
        <v>289.55441191545276</v>
      </c>
      <c r="J39" s="131">
        <f>SUM(G$3:G39)/I39</f>
        <v>-2.7134766995184791</v>
      </c>
      <c r="K39" s="133">
        <f t="shared" si="11"/>
        <v>2376.4909370970831</v>
      </c>
      <c r="L39" s="131">
        <f>SQRT(SUM(K$3:K39)/(COUNT(K$3:K39)-1))</f>
        <v>369.21079690233609</v>
      </c>
    </row>
    <row r="40" spans="1:12" x14ac:dyDescent="0.2">
      <c r="A40" s="24">
        <f>[2]ArdiData!A40</f>
        <v>38</v>
      </c>
      <c r="B40" s="136">
        <f ca="1">'0.ArdiData'!C40</f>
        <v>9894</v>
      </c>
      <c r="C40" s="135">
        <v>4091.3217573787838</v>
      </c>
      <c r="D40" s="25">
        <f t="shared" si="6"/>
        <v>3792.780090303967</v>
      </c>
      <c r="E40" s="135">
        <f t="shared" si="7"/>
        <v>51.985715687148179</v>
      </c>
      <c r="F40" s="135">
        <f t="shared" si="8"/>
        <v>3718.1446735352624</v>
      </c>
      <c r="G40" s="134">
        <f t="shared" si="9"/>
        <v>373.17708384352136</v>
      </c>
      <c r="H40" s="134">
        <f t="shared" si="10"/>
        <v>373.17708384352136</v>
      </c>
      <c r="I40" s="131">
        <f>SUM(H$3:H40)/COUNT(H$3:H40)</f>
        <v>291.75500854513876</v>
      </c>
      <c r="J40" s="131">
        <f>SUM(G$3:G40)/I40</f>
        <v>-1.413933108428582</v>
      </c>
      <c r="K40" s="133">
        <f t="shared" si="11"/>
        <v>114238.37090131622</v>
      </c>
      <c r="L40" s="131">
        <f>SQRT(SUM(K$3:K40)/(COUNT(K$3:K40)-1))</f>
        <v>368.40182317074635</v>
      </c>
    </row>
    <row r="41" spans="1:12" x14ac:dyDescent="0.2">
      <c r="A41" s="24">
        <f>[2]ArdiData!A41</f>
        <v>39</v>
      </c>
      <c r="B41" s="136">
        <f ca="1">'0.ArdiData'!C41</f>
        <v>9953</v>
      </c>
      <c r="C41" s="135">
        <v>5031.5420497583082</v>
      </c>
      <c r="D41" s="25">
        <f t="shared" si="6"/>
        <v>4082.1210547445539</v>
      </c>
      <c r="E41" s="135">
        <f t="shared" si="7"/>
        <v>194.39886493921145</v>
      </c>
      <c r="F41" s="135">
        <f t="shared" si="8"/>
        <v>3844.765805991115</v>
      </c>
      <c r="G41" s="134">
        <f t="shared" si="9"/>
        <v>1186.7762437671931</v>
      </c>
      <c r="H41" s="134">
        <f t="shared" si="10"/>
        <v>1186.7762437671931</v>
      </c>
      <c r="I41" s="131">
        <f>SUM(H$3:H41)/COUNT(H$3:H41)</f>
        <v>314.70427098672991</v>
      </c>
      <c r="J41" s="131">
        <f>SUM(G$3:G41)/I41</f>
        <v>2.4602595166813144</v>
      </c>
      <c r="K41" s="133">
        <f t="shared" si="11"/>
        <v>1326161.4460785284</v>
      </c>
      <c r="L41" s="131">
        <f>SQRT(SUM(K$3:K41)/(COUNT(K$3:K41)-1))</f>
        <v>408.71421841625329</v>
      </c>
    </row>
    <row r="42" spans="1:12" x14ac:dyDescent="0.2">
      <c r="A42" s="24">
        <f>[2]ArdiData!A42</f>
        <v>40</v>
      </c>
      <c r="B42" s="136">
        <f ca="1">'0.ArdiData'!C42</f>
        <v>10452</v>
      </c>
      <c r="C42" s="135">
        <v>4204.3946084920954</v>
      </c>
      <c r="D42" s="25">
        <f t="shared" si="6"/>
        <v>4262.0948574454324</v>
      </c>
      <c r="E42" s="135">
        <f t="shared" si="7"/>
        <v>185.74382759621164</v>
      </c>
      <c r="F42" s="135">
        <f t="shared" si="8"/>
        <v>4276.5199196837657</v>
      </c>
      <c r="G42" s="134">
        <f t="shared" si="9"/>
        <v>-72.125311191670335</v>
      </c>
      <c r="H42" s="134">
        <f t="shared" si="10"/>
        <v>72.125311191670335</v>
      </c>
      <c r="I42" s="131">
        <f>SUM(H$3:H42)/COUNT(H$3:H42)</f>
        <v>308.63979699185342</v>
      </c>
      <c r="J42" s="131">
        <f>SUM(G$3:G42)/I42</f>
        <v>2.2749135830406861</v>
      </c>
      <c r="K42" s="133">
        <f t="shared" si="11"/>
        <v>11515.591100550831</v>
      </c>
      <c r="L42" s="131">
        <f>SQRT(SUM(K$3:K42)/(COUNT(K$3:K42)-1))</f>
        <v>403.80604191050412</v>
      </c>
    </row>
    <row r="43" spans="1:12" x14ac:dyDescent="0.2">
      <c r="A43" s="24">
        <f>[2]ArdiData!A43</f>
        <v>41</v>
      </c>
      <c r="B43" s="136">
        <f ca="1">'0.ArdiData'!C43</f>
        <v>10089</v>
      </c>
      <c r="C43" s="135">
        <v>5586.0237690188087</v>
      </c>
      <c r="D43" s="25">
        <f t="shared" si="6"/>
        <v>4675.4757018370765</v>
      </c>
      <c r="E43" s="135">
        <f t="shared" si="7"/>
        <v>322.32603767347109</v>
      </c>
      <c r="F43" s="135">
        <f t="shared" si="8"/>
        <v>4447.8386850416437</v>
      </c>
      <c r="G43" s="134">
        <f t="shared" si="9"/>
        <v>1138.185083977165</v>
      </c>
      <c r="H43" s="134">
        <f t="shared" si="10"/>
        <v>1138.185083977165</v>
      </c>
      <c r="I43" s="131">
        <f>SUM(H$3:H43)/COUNT(H$3:H43)</f>
        <v>328.87260886954397</v>
      </c>
      <c r="J43" s="131">
        <f>SUM(G$3:G43)/I43</f>
        <v>5.5958261673013379</v>
      </c>
      <c r="K43" s="133">
        <f t="shared" si="11"/>
        <v>1216608.2785542971</v>
      </c>
      <c r="L43" s="131">
        <f>SQRT(SUM(K$3:K43)/(COUNT(K$3:K43)-1))</f>
        <v>435.19885507684825</v>
      </c>
    </row>
    <row r="44" spans="1:12" x14ac:dyDescent="0.2">
      <c r="A44" s="24">
        <f>[2]ArdiData!A44</f>
        <v>42</v>
      </c>
      <c r="B44" s="136">
        <f ca="1">'0.ArdiData'!C44</f>
        <v>11505</v>
      </c>
      <c r="C44" s="135">
        <v>5777.5611763875086</v>
      </c>
      <c r="D44" s="25">
        <f t="shared" si="6"/>
        <v>5153.7536268859394</v>
      </c>
      <c r="E44" s="135">
        <f t="shared" si="7"/>
        <v>415.89717009870617</v>
      </c>
      <c r="F44" s="135">
        <f t="shared" si="8"/>
        <v>4997.8017395105471</v>
      </c>
      <c r="G44" s="134">
        <f t="shared" si="9"/>
        <v>779.75943687696144</v>
      </c>
      <c r="H44" s="134">
        <f t="shared" si="10"/>
        <v>779.75943687696144</v>
      </c>
      <c r="I44" s="131">
        <f>SUM(H$3:H44)/COUNT(H$3:H44)</f>
        <v>339.60800953638727</v>
      </c>
      <c r="J44" s="131">
        <f>SUM(G$3:G44)/I44</f>
        <v>7.7149929145504617</v>
      </c>
      <c r="K44" s="133">
        <f t="shared" si="11"/>
        <v>554390.47998805519</v>
      </c>
      <c r="L44" s="131">
        <f>SQRT(SUM(K$3:K44)/(COUNT(K$3:K44)-1))</f>
        <v>445.30921617417647</v>
      </c>
    </row>
    <row r="45" spans="1:12" x14ac:dyDescent="0.2">
      <c r="A45" s="24">
        <f>[2]ArdiData!A45</f>
        <v>43</v>
      </c>
      <c r="B45" s="136">
        <f ca="1">'0.ArdiData'!C45</f>
        <v>11048</v>
      </c>
      <c r="C45" s="135">
        <v>5672.6454679130029</v>
      </c>
      <c r="D45" s="25">
        <f t="shared" si="6"/>
        <v>5590.2497311703173</v>
      </c>
      <c r="E45" s="135">
        <f t="shared" si="7"/>
        <v>428.25653061010917</v>
      </c>
      <c r="F45" s="135">
        <f t="shared" si="8"/>
        <v>5569.6507969846452</v>
      </c>
      <c r="G45" s="134">
        <f t="shared" si="9"/>
        <v>102.99467092835766</v>
      </c>
      <c r="H45" s="134">
        <f t="shared" si="10"/>
        <v>102.99467092835766</v>
      </c>
      <c r="I45" s="131">
        <f>SUM(H$3:H45)/COUNT(H$3:H45)</f>
        <v>334.10537375480516</v>
      </c>
      <c r="J45" s="131">
        <f>SUM(G$3:G45)/I45</f>
        <v>8.1503270289348571</v>
      </c>
      <c r="K45" s="133">
        <f t="shared" si="11"/>
        <v>4598.0957299760239</v>
      </c>
      <c r="L45" s="131">
        <f>SQRT(SUM(K$3:K45)/(COUNT(K$3:K45)-1))</f>
        <v>440.10037583774471</v>
      </c>
    </row>
    <row r="46" spans="1:12" x14ac:dyDescent="0.2">
      <c r="A46" s="24">
        <f>[2]ArdiData!A46</f>
        <v>44</v>
      </c>
      <c r="B46" s="136">
        <f ca="1">'0.ArdiData'!C46</f>
        <v>11086</v>
      </c>
      <c r="C46" s="135">
        <v>4442.4749424361789</v>
      </c>
      <c r="D46" s="25">
        <f t="shared" si="6"/>
        <v>5703.2999979115775</v>
      </c>
      <c r="E46" s="135">
        <f t="shared" si="7"/>
        <v>239.1327722887998</v>
      </c>
      <c r="F46" s="135">
        <f t="shared" si="8"/>
        <v>6018.5062617804269</v>
      </c>
      <c r="G46" s="134">
        <f t="shared" si="9"/>
        <v>-1576.031319344248</v>
      </c>
      <c r="H46" s="134">
        <f t="shared" si="10"/>
        <v>1576.031319344248</v>
      </c>
      <c r="I46" s="131">
        <f>SUM(H$3:H46)/COUNT(H$3:H46)</f>
        <v>362.33096342729255</v>
      </c>
      <c r="J46" s="131">
        <f>SUM(G$3:G46)/I46</f>
        <v>3.1657154774521339</v>
      </c>
      <c r="K46" s="133">
        <f t="shared" si="11"/>
        <v>2596019.3521900512</v>
      </c>
      <c r="L46" s="131">
        <f>SQRT(SUM(K$3:K46)/(COUNT(K$3:K46)-1))</f>
        <v>499.55630700434108</v>
      </c>
    </row>
    <row r="47" spans="1:12" x14ac:dyDescent="0.2">
      <c r="A47" s="24">
        <f>[2]ArdiData!A47</f>
        <v>45</v>
      </c>
      <c r="B47" s="136">
        <f ca="1">'0.ArdiData'!C47</f>
        <v>11592</v>
      </c>
      <c r="C47" s="135">
        <v>6116.4376324786244</v>
      </c>
      <c r="D47" s="25">
        <f t="shared" si="6"/>
        <v>5977.2337426560271</v>
      </c>
      <c r="E47" s="135">
        <f t="shared" si="7"/>
        <v>260.01335576218963</v>
      </c>
      <c r="F47" s="135">
        <f t="shared" si="8"/>
        <v>5942.4327702003775</v>
      </c>
      <c r="G47" s="134">
        <f t="shared" si="9"/>
        <v>174.00486227824695</v>
      </c>
      <c r="H47" s="134">
        <f t="shared" si="10"/>
        <v>174.00486227824695</v>
      </c>
      <c r="I47" s="131">
        <f>SUM(H$3:H47)/COUNT(H$3:H47)</f>
        <v>358.14593895731372</v>
      </c>
      <c r="J47" s="131">
        <f>SUM(G$3:G47)/I47</f>
        <v>3.6885566956480855</v>
      </c>
      <c r="K47" s="133">
        <f t="shared" si="11"/>
        <v>19270.84004898545</v>
      </c>
      <c r="L47" s="131">
        <f>SQRT(SUM(K$3:K47)/(COUNT(K$3:K47)-1))</f>
        <v>494.29013623682994</v>
      </c>
    </row>
    <row r="48" spans="1:12" x14ac:dyDescent="0.2">
      <c r="A48" s="24">
        <f>[2]ArdiData!A48</f>
        <v>46</v>
      </c>
      <c r="B48" s="136">
        <f ca="1">'0.ArdiData'!C48</f>
        <v>11992</v>
      </c>
      <c r="C48" s="135">
        <v>4831.7623955679137</v>
      </c>
      <c r="D48" s="25">
        <f t="shared" si="6"/>
        <v>5956.1501578481566</v>
      </c>
      <c r="E48" s="135">
        <f t="shared" si="7"/>
        <v>91.355191420153574</v>
      </c>
      <c r="F48" s="135">
        <f t="shared" si="8"/>
        <v>6237.2470984182164</v>
      </c>
      <c r="G48" s="134">
        <f t="shared" si="9"/>
        <v>-1405.4847028503027</v>
      </c>
      <c r="H48" s="134">
        <f t="shared" si="10"/>
        <v>1405.4847028503027</v>
      </c>
      <c r="I48" s="131">
        <f>SUM(H$3:H48)/COUNT(H$3:H48)</f>
        <v>380.91417295498735</v>
      </c>
      <c r="J48" s="131">
        <f>SUM(G$3:G48)/I48</f>
        <v>-0.22168537609156186</v>
      </c>
      <c r="K48" s="133">
        <f t="shared" si="11"/>
        <v>2075530.3769851164</v>
      </c>
      <c r="L48" s="131">
        <f>SQRT(SUM(K$3:K48)/(COUNT(K$3:K48)-1))</f>
        <v>533.86912427319294</v>
      </c>
    </row>
    <row r="49" spans="1:12" x14ac:dyDescent="0.2">
      <c r="A49" s="24">
        <f>[2]ArdiData!A49</f>
        <v>47</v>
      </c>
      <c r="B49" s="136">
        <f ca="1">'0.ArdiData'!C49</f>
        <v>10588</v>
      </c>
      <c r="C49" s="135">
        <v>6206.0910692130574</v>
      </c>
      <c r="D49" s="25">
        <f t="shared" si="6"/>
        <v>6079.2224932572599</v>
      </c>
      <c r="E49" s="135">
        <f t="shared" si="7"/>
        <v>110.38547781352341</v>
      </c>
      <c r="F49" s="135">
        <f t="shared" si="8"/>
        <v>6047.5053492683101</v>
      </c>
      <c r="G49" s="134">
        <f t="shared" si="9"/>
        <v>158.58571994474732</v>
      </c>
      <c r="H49" s="134">
        <f t="shared" si="10"/>
        <v>158.58571994474732</v>
      </c>
      <c r="I49" s="131">
        <f>SUM(H$3:H49)/COUNT(H$3:H49)</f>
        <v>376.18378033774826</v>
      </c>
      <c r="J49" s="131">
        <f>SUM(G$3:G49)/I49</f>
        <v>0.19709148062696222</v>
      </c>
      <c r="K49" s="133">
        <f t="shared" si="11"/>
        <v>15227.636243918369</v>
      </c>
      <c r="L49" s="131">
        <f>SQRT(SUM(K$3:K49)/(COUNT(K$3:K49)-1))</f>
        <v>528.34768113912344</v>
      </c>
    </row>
    <row r="50" spans="1:12" x14ac:dyDescent="0.2">
      <c r="A50" s="24">
        <f>[2]ArdiData!A50</f>
        <v>48</v>
      </c>
      <c r="B50" s="136">
        <f ca="1">'0.ArdiData'!C50</f>
        <v>10988</v>
      </c>
      <c r="C50" s="135">
        <v>5086.0787376555791</v>
      </c>
      <c r="D50" s="25">
        <f t="shared" si="6"/>
        <v>5968.9021243877432</v>
      </c>
      <c r="E50" s="135">
        <f t="shared" si="7"/>
        <v>-22.03803019630061</v>
      </c>
      <c r="F50" s="135">
        <f t="shared" si="8"/>
        <v>6189.6079710707836</v>
      </c>
      <c r="G50" s="134">
        <f t="shared" si="9"/>
        <v>-1103.5292334152045</v>
      </c>
      <c r="H50" s="134">
        <f t="shared" si="10"/>
        <v>1103.5292334152045</v>
      </c>
      <c r="I50" s="131">
        <f>SUM(H$3:H50)/COUNT(H$3:H50)</f>
        <v>391.33681061019524</v>
      </c>
      <c r="J50" s="131">
        <f>SUM(G$3:G50)/I50</f>
        <v>-2.630436461000206</v>
      </c>
      <c r="K50" s="133">
        <f t="shared" si="11"/>
        <v>1296671.0414401644</v>
      </c>
      <c r="L50" s="131">
        <f>SQRT(SUM(K$3:K50)/(COUNT(K$3:K50)-1))</f>
        <v>548.45294142540206</v>
      </c>
    </row>
    <row r="51" spans="1:12" x14ac:dyDescent="0.2">
      <c r="A51" s="24">
        <f>[2]ArdiData!A51</f>
        <v>49</v>
      </c>
      <c r="B51" s="136">
        <f ca="1">'0.ArdiData'!C51</f>
        <v>12263</v>
      </c>
      <c r="C51" s="135">
        <v>5256.5559094460787</v>
      </c>
      <c r="D51" s="25">
        <f t="shared" si="6"/>
        <v>5808.8024572423701</v>
      </c>
      <c r="E51" s="135">
        <f t="shared" si="7"/>
        <v>-104.87501236574413</v>
      </c>
      <c r="F51" s="135">
        <f t="shared" si="8"/>
        <v>5946.8640941914427</v>
      </c>
      <c r="G51" s="134">
        <f t="shared" si="9"/>
        <v>-690.30818474536409</v>
      </c>
      <c r="H51" s="134">
        <f t="shared" si="10"/>
        <v>690.30818474536409</v>
      </c>
      <c r="I51" s="131">
        <f>SUM(H$3:H51)/COUNT(H$3:H51)</f>
        <v>397.43826722519873</v>
      </c>
      <c r="J51" s="131">
        <f>SUM(G$3:G51)/I51</f>
        <v>-4.3269482123912608</v>
      </c>
      <c r="K51" s="133">
        <f t="shared" si="11"/>
        <v>526340.95748953021</v>
      </c>
      <c r="L51" s="131">
        <f>SQRT(SUM(K$3:K51)/(COUNT(K$3:K51)-1))</f>
        <v>552.71998860415636</v>
      </c>
    </row>
    <row r="52" spans="1:12" x14ac:dyDescent="0.2">
      <c r="A52" s="24">
        <f>[2]ArdiData!A52</f>
        <v>50</v>
      </c>
      <c r="B52" s="136">
        <f ca="1">'0.ArdiData'!C52</f>
        <v>12243</v>
      </c>
      <c r="C52" s="135">
        <v>5988.37014518462</v>
      </c>
      <c r="D52" s="25">
        <f t="shared" si="6"/>
        <v>5760.8159849382255</v>
      </c>
      <c r="E52" s="135">
        <f t="shared" si="7"/>
        <v>-70.741888328784427</v>
      </c>
      <c r="F52" s="135">
        <f t="shared" si="8"/>
        <v>5703.9274448766264</v>
      </c>
      <c r="G52" s="134">
        <f t="shared" si="9"/>
        <v>284.44270030799362</v>
      </c>
      <c r="H52" s="134">
        <f t="shared" si="10"/>
        <v>284.44270030799362</v>
      </c>
      <c r="I52" s="131">
        <f>SUM(H$3:H52)/COUNT(H$3:H52)</f>
        <v>395.1783558868546</v>
      </c>
      <c r="J52" s="131">
        <f>SUM(G$3:G52)/I52</f>
        <v>-3.6319096889225739</v>
      </c>
      <c r="K52" s="133">
        <f t="shared" si="11"/>
        <v>62129.196265612925</v>
      </c>
      <c r="L52" s="131">
        <f>SQRT(SUM(K$3:K52)/(COUNT(K$3:K52)-1))</f>
        <v>548.20858005014838</v>
      </c>
    </row>
    <row r="53" spans="1:12" x14ac:dyDescent="0.2">
      <c r="A53" s="24">
        <f>[2]ArdiData!A53</f>
        <v>51</v>
      </c>
      <c r="B53" s="136">
        <f ca="1">'0.ArdiData'!C53</f>
        <v>13114</v>
      </c>
      <c r="C53" s="135">
        <v>6526.7676661512296</v>
      </c>
      <c r="D53" s="25">
        <f t="shared" si="6"/>
        <v>5857.4128105177988</v>
      </c>
      <c r="E53" s="135">
        <f t="shared" si="7"/>
        <v>29.661340016230206</v>
      </c>
      <c r="F53" s="135">
        <f t="shared" si="8"/>
        <v>5690.0740966094409</v>
      </c>
      <c r="G53" s="134">
        <f t="shared" si="9"/>
        <v>836.69356954178875</v>
      </c>
      <c r="H53" s="134">
        <f t="shared" si="10"/>
        <v>836.69356954178875</v>
      </c>
      <c r="I53" s="131">
        <f>SUM(H$3:H53)/COUNT(H$3:H53)</f>
        <v>403.83551693891218</v>
      </c>
      <c r="J53" s="131">
        <f>SUM(G$3:G53)/I53</f>
        <v>-1.4821839708237325</v>
      </c>
      <c r="K53" s="133">
        <f t="shared" si="11"/>
        <v>642415.32818475238</v>
      </c>
      <c r="L53" s="131">
        <f>SQRT(SUM(K$3:K53)/(COUNT(K$3:K53)-1))</f>
        <v>554.40986720970511</v>
      </c>
    </row>
    <row r="54" spans="1:12" x14ac:dyDescent="0.2">
      <c r="A54" s="24">
        <f>[2]ArdiData!A54</f>
        <v>52</v>
      </c>
      <c r="B54" s="136">
        <f ca="1">'0.ArdiData'!C54</f>
        <v>14252</v>
      </c>
      <c r="C54" s="135">
        <v>5794.3331193675949</v>
      </c>
      <c r="D54" s="25">
        <f t="shared" si="6"/>
        <v>5868.5259443007435</v>
      </c>
      <c r="E54" s="135">
        <f t="shared" si="7"/>
        <v>18.53241627625891</v>
      </c>
      <c r="F54" s="135">
        <f t="shared" si="8"/>
        <v>5887.0741505340293</v>
      </c>
      <c r="G54" s="134">
        <f t="shared" si="9"/>
        <v>-92.741031166434368</v>
      </c>
      <c r="H54" s="134">
        <f t="shared" si="10"/>
        <v>92.741031166434368</v>
      </c>
      <c r="I54" s="131">
        <f>SUM(H$3:H54)/COUNT(H$3:H54)</f>
        <v>397.85293067405684</v>
      </c>
      <c r="J54" s="131">
        <f>SUM(G$3:G54)/I54</f>
        <v>-1.7375756414597252</v>
      </c>
      <c r="K54" s="133">
        <f t="shared" si="11"/>
        <v>16365.174609239999</v>
      </c>
      <c r="L54" s="131">
        <f>SQRT(SUM(K$3:K54)/(COUNT(K$3:K54)-1))</f>
        <v>549.2397636659523</v>
      </c>
    </row>
    <row r="55" spans="1:12" x14ac:dyDescent="0.2">
      <c r="A55" s="24">
        <f>[2]ArdiData!A55</f>
        <v>53</v>
      </c>
      <c r="B55" s="136">
        <f ca="1">'0.ArdiData'!C55</f>
        <v>13936</v>
      </c>
      <c r="C55" s="135">
        <v>5545.614554778329</v>
      </c>
      <c r="D55" s="25">
        <f t="shared" si="6"/>
        <v>5818.7695994172682</v>
      </c>
      <c r="E55" s="135">
        <f t="shared" si="7"/>
        <v>-22.440840419581626</v>
      </c>
      <c r="F55" s="135">
        <f t="shared" si="8"/>
        <v>5887.0583605770025</v>
      </c>
      <c r="G55" s="134">
        <f t="shared" si="9"/>
        <v>-341.44380579867357</v>
      </c>
      <c r="H55" s="134">
        <f t="shared" si="10"/>
        <v>341.44380579867357</v>
      </c>
      <c r="I55" s="131">
        <f>SUM(H$3:H55)/COUNT(H$3:H55)</f>
        <v>396.78860756320057</v>
      </c>
      <c r="J55" s="131">
        <f>SUM(G$3:G55)/I55</f>
        <v>-2.602754583514054</v>
      </c>
      <c r="K55" s="133">
        <f t="shared" si="11"/>
        <v>141849.56695779925</v>
      </c>
      <c r="L55" s="131">
        <f>SQRT(SUM(K$3:K55)/(COUNT(K$3:K55)-1))</f>
        <v>546.43476957000348</v>
      </c>
    </row>
    <row r="56" spans="1:12" x14ac:dyDescent="0.2">
      <c r="A56" s="24">
        <f>[2]ArdiData!A56</f>
        <v>54</v>
      </c>
      <c r="B56" s="136">
        <f ca="1">'0.ArdiData'!C56</f>
        <v>13797</v>
      </c>
      <c r="C56" s="135">
        <v>6272.3581433243171</v>
      </c>
      <c r="D56" s="25">
        <f t="shared" si="6"/>
        <v>5891.5346358630131</v>
      </c>
      <c r="E56" s="135">
        <f t="shared" si="7"/>
        <v>34.682685699614325</v>
      </c>
      <c r="F56" s="135">
        <f t="shared" si="8"/>
        <v>5796.3287589976862</v>
      </c>
      <c r="G56" s="134">
        <f t="shared" si="9"/>
        <v>476.02938432663086</v>
      </c>
      <c r="H56" s="134">
        <f t="shared" si="10"/>
        <v>476.02938432663086</v>
      </c>
      <c r="I56" s="131">
        <f>SUM(H$3:H56)/COUNT(H$3:H56)</f>
        <v>398.25602935511591</v>
      </c>
      <c r="J56" s="131">
        <f>SUM(G$3:G56)/I56</f>
        <v>-1.3978796092456376</v>
      </c>
      <c r="K56" s="133">
        <f t="shared" si="11"/>
        <v>194343.40880504763</v>
      </c>
      <c r="L56" s="131">
        <f>SQRT(SUM(K$3:K56)/(COUNT(K$3:K56)-1))</f>
        <v>544.63200651078773</v>
      </c>
    </row>
    <row r="57" spans="1:12" x14ac:dyDescent="0.2">
      <c r="A57" s="24">
        <f>[2]ArdiData!A57</f>
        <v>55</v>
      </c>
      <c r="B57" s="136">
        <f ca="1">'0.ArdiData'!C57</f>
        <v>14265</v>
      </c>
      <c r="C57" s="135">
        <v>5129.4309137141636</v>
      </c>
      <c r="D57" s="25">
        <f t="shared" si="6"/>
        <v>5766.8600399929346</v>
      </c>
      <c r="E57" s="135">
        <f t="shared" si="7"/>
        <v>-60.93168324220138</v>
      </c>
      <c r="F57" s="135">
        <f t="shared" si="8"/>
        <v>5926.2173215626271</v>
      </c>
      <c r="G57" s="134">
        <f t="shared" si="9"/>
        <v>-796.78640784846357</v>
      </c>
      <c r="H57" s="134">
        <f t="shared" si="10"/>
        <v>796.78640784846357</v>
      </c>
      <c r="I57" s="131">
        <f>SUM(H$3:H57)/COUNT(H$3:H57)</f>
        <v>405.50203623681313</v>
      </c>
      <c r="J57" s="131">
        <f>SUM(G$3:G57)/I57</f>
        <v>-3.3378387026216267</v>
      </c>
      <c r="K57" s="133">
        <f t="shared" si="11"/>
        <v>692177.10738324083</v>
      </c>
      <c r="L57" s="131">
        <f>SQRT(SUM(K$3:K57)/(COUNT(K$3:K57)-1))</f>
        <v>551.31577126283844</v>
      </c>
    </row>
    <row r="58" spans="1:12" x14ac:dyDescent="0.2">
      <c r="A58" s="24">
        <f>[2]ArdiData!A58</f>
        <v>56</v>
      </c>
      <c r="B58" s="136">
        <f ca="1">'0.ArdiData'!C58</f>
        <v>14267</v>
      </c>
      <c r="C58" s="135">
        <v>5666.7623903768372</v>
      </c>
      <c r="D58" s="25">
        <f t="shared" si="6"/>
        <v>5698.0951634759549</v>
      </c>
      <c r="E58" s="135">
        <f t="shared" si="7"/>
        <v>-65.631599207068376</v>
      </c>
      <c r="F58" s="135">
        <f t="shared" si="8"/>
        <v>5705.9283567507337</v>
      </c>
      <c r="G58" s="134">
        <f t="shared" si="9"/>
        <v>-39.165966373896481</v>
      </c>
      <c r="H58" s="134">
        <f t="shared" si="10"/>
        <v>39.165966373896481</v>
      </c>
      <c r="I58" s="131">
        <f>SUM(H$3:H58)/COUNT(H$3:H58)</f>
        <v>398.96032070354676</v>
      </c>
      <c r="J58" s="131">
        <f>SUM(G$3:G58)/I58</f>
        <v>-3.4907390150005657</v>
      </c>
      <c r="K58" s="133">
        <f t="shared" si="11"/>
        <v>5528.1273196494303</v>
      </c>
      <c r="L58" s="131">
        <f>SQRT(SUM(K$3:K58)/(COUNT(K$3:K58)-1))</f>
        <v>546.37280692430852</v>
      </c>
    </row>
    <row r="59" spans="1:12" x14ac:dyDescent="0.2">
      <c r="A59" s="24">
        <f>[2]ArdiData!A59</f>
        <v>57</v>
      </c>
      <c r="B59" s="136">
        <f ca="1">'0.ArdiData'!C59</f>
        <v>14686</v>
      </c>
      <c r="C59" s="135">
        <v>6383.3602430207802</v>
      </c>
      <c r="D59" s="25">
        <f t="shared" si="6"/>
        <v>5782.6429000192647</v>
      </c>
      <c r="E59" s="135">
        <f t="shared" si="7"/>
        <v>24.476002243158554</v>
      </c>
      <c r="F59" s="135">
        <f t="shared" si="8"/>
        <v>5632.4635642688863</v>
      </c>
      <c r="G59" s="134">
        <f t="shared" si="9"/>
        <v>750.89667875189389</v>
      </c>
      <c r="H59" s="134">
        <f t="shared" si="10"/>
        <v>750.89667875189389</v>
      </c>
      <c r="I59" s="131">
        <f>SUM(H$3:H59)/COUNT(H$3:H59)</f>
        <v>405.13464277457041</v>
      </c>
      <c r="J59" s="131">
        <f>SUM(G$3:G59)/I59</f>
        <v>-1.5840898565719927</v>
      </c>
      <c r="K59" s="133">
        <f t="shared" si="11"/>
        <v>512242.61876532721</v>
      </c>
      <c r="L59" s="131">
        <f>SQRT(SUM(K$3:K59)/(COUNT(K$3:K59)-1))</f>
        <v>549.85421845272583</v>
      </c>
    </row>
    <row r="60" spans="1:12" x14ac:dyDescent="0.2">
      <c r="A60" s="24">
        <f>[2]ArdiData!A60</f>
        <v>58</v>
      </c>
      <c r="B60" s="136">
        <f ca="1">'0.ArdiData'!C60</f>
        <v>15678</v>
      </c>
      <c r="C60" s="135">
        <v>6421.0416971132518</v>
      </c>
      <c r="D60" s="25">
        <f t="shared" si="6"/>
        <v>5929.9034612325886</v>
      </c>
      <c r="E60" s="135">
        <f t="shared" si="7"/>
        <v>98.146737625257728</v>
      </c>
      <c r="F60" s="135">
        <f t="shared" si="8"/>
        <v>5807.118902262423</v>
      </c>
      <c r="G60" s="134">
        <f t="shared" si="9"/>
        <v>613.92279485082872</v>
      </c>
      <c r="H60" s="134">
        <f t="shared" si="10"/>
        <v>613.92279485082872</v>
      </c>
      <c r="I60" s="131">
        <f>SUM(H$3:H60)/COUNT(H$3:H60)</f>
        <v>408.73443850002315</v>
      </c>
      <c r="J60" s="131">
        <f>SUM(G$3:G60)/I60</f>
        <v>-6.8129525411361885E-2</v>
      </c>
      <c r="K60" s="133">
        <f t="shared" si="11"/>
        <v>334936.95944895776</v>
      </c>
      <c r="L60" s="131">
        <f>SQRT(SUM(K$3:K60)/(COUNT(K$3:K60)-1))</f>
        <v>550.3740037188652</v>
      </c>
    </row>
    <row r="61" spans="1:12" x14ac:dyDescent="0.2">
      <c r="A61" s="24">
        <f>[2]ArdiData!A61</f>
        <v>59</v>
      </c>
      <c r="B61" s="136">
        <f ca="1">'0.ArdiData'!C61</f>
        <v>14590</v>
      </c>
      <c r="C61" s="135">
        <v>6732.3029027761122</v>
      </c>
      <c r="D61" s="25">
        <f t="shared" si="6"/>
        <v>6168.9007396415</v>
      </c>
      <c r="E61" s="135">
        <f t="shared" si="7"/>
        <v>182.6570620954499</v>
      </c>
      <c r="F61" s="135">
        <f t="shared" si="8"/>
        <v>6028.0501988578462</v>
      </c>
      <c r="G61" s="134">
        <f t="shared" si="9"/>
        <v>704.25270391826598</v>
      </c>
      <c r="H61" s="134">
        <f t="shared" si="10"/>
        <v>704.25270391826598</v>
      </c>
      <c r="I61" s="131">
        <f>SUM(H$3:H61)/COUNT(H$3:H61)</f>
        <v>413.74322265965441</v>
      </c>
      <c r="J61" s="131">
        <f>SUM(G$3:G61)/I61</f>
        <v>1.6348444725108937</v>
      </c>
      <c r="K61" s="133">
        <f t="shared" si="11"/>
        <v>447651.04243269475</v>
      </c>
      <c r="L61" s="131">
        <f>SQRT(SUM(K$3:K61)/(COUNT(K$3:K61)-1))</f>
        <v>552.63645605743909</v>
      </c>
    </row>
    <row r="62" spans="1:12" x14ac:dyDescent="0.2">
      <c r="A62" s="24">
        <f>[2]ArdiData!A62</f>
        <v>60</v>
      </c>
      <c r="B62" s="136">
        <f ca="1">'0.ArdiData'!C62</f>
        <v>14966</v>
      </c>
      <c r="C62" s="135">
        <v>5383.813648815224</v>
      </c>
      <c r="D62" s="25">
        <f t="shared" si="6"/>
        <v>6158.0089711526052</v>
      </c>
      <c r="E62" s="135">
        <f t="shared" si="7"/>
        <v>66.527763744843114</v>
      </c>
      <c r="F62" s="135">
        <f t="shared" si="8"/>
        <v>6351.5578017369498</v>
      </c>
      <c r="G62" s="134">
        <f t="shared" si="9"/>
        <v>-967.7441529217258</v>
      </c>
      <c r="H62" s="134">
        <f t="shared" si="10"/>
        <v>967.7441529217258</v>
      </c>
      <c r="I62" s="131">
        <f>SUM(H$3:H62)/COUNT(H$3:H62)</f>
        <v>422.97657149735556</v>
      </c>
      <c r="J62" s="131">
        <f>SUM(G$3:G62)/I62</f>
        <v>-0.68878125161021431</v>
      </c>
      <c r="K62" s="133">
        <f t="shared" si="11"/>
        <v>1005867.7102186256</v>
      </c>
      <c r="L62" s="131">
        <f>SQRT(SUM(K$3:K62)/(COUNT(K$3:K62)-1))</f>
        <v>563.27548064890027</v>
      </c>
    </row>
    <row r="63" spans="1:12" x14ac:dyDescent="0.2">
      <c r="A63" s="24">
        <f>[2]ArdiData!A63</f>
        <v>61</v>
      </c>
      <c r="B63" s="136">
        <f ca="1">'0.ArdiData'!C63</f>
        <v>15394</v>
      </c>
      <c r="C63" s="135">
        <v>6306.029263075081</v>
      </c>
      <c r="D63" s="25">
        <f t="shared" si="6"/>
        <v>6240.8352405329751</v>
      </c>
      <c r="E63" s="135">
        <f t="shared" si="7"/>
        <v>76.306867126159204</v>
      </c>
      <c r="F63" s="135">
        <f t="shared" si="8"/>
        <v>6224.5367348974487</v>
      </c>
      <c r="G63" s="134">
        <f t="shared" si="9"/>
        <v>81.492528177632266</v>
      </c>
      <c r="H63" s="134">
        <f t="shared" si="10"/>
        <v>81.492528177632266</v>
      </c>
      <c r="I63" s="131">
        <f>SUM(H$3:H63)/COUNT(H$3:H63)</f>
        <v>417.37847242654038</v>
      </c>
      <c r="J63" s="131">
        <f>SUM(G$3:G63)/I63</f>
        <v>-0.50277102918154692</v>
      </c>
      <c r="K63" s="133">
        <f t="shared" si="11"/>
        <v>2144.3490998992256</v>
      </c>
      <c r="L63" s="131">
        <f>SQRT(SUM(K$3:K63)/(COUNT(K$3:K63)-1))</f>
        <v>558.59378663471591</v>
      </c>
    </row>
    <row r="64" spans="1:12" x14ac:dyDescent="0.2">
      <c r="A64" s="24">
        <f>[2]ArdiData!A64</f>
        <v>62</v>
      </c>
      <c r="B64" s="136">
        <f ca="1">'0.ArdiData'!C64</f>
        <v>15586</v>
      </c>
      <c r="C64" s="135">
        <v>6344.73822659077</v>
      </c>
      <c r="D64" s="25">
        <f t="shared" si="6"/>
        <v>6322.6613314454617</v>
      </c>
      <c r="E64" s="135">
        <f t="shared" si="7"/>
        <v>79.61840139795558</v>
      </c>
      <c r="F64" s="135">
        <f t="shared" si="8"/>
        <v>6317.1421076591341</v>
      </c>
      <c r="G64" s="134">
        <f t="shared" si="9"/>
        <v>27.596118931635829</v>
      </c>
      <c r="H64" s="134">
        <f t="shared" si="10"/>
        <v>27.596118931635829</v>
      </c>
      <c r="I64" s="131">
        <f>SUM(H$3:H64)/COUNT(H$3:H64)</f>
        <v>411.09166027339677</v>
      </c>
      <c r="J64" s="131">
        <f>SUM(G$3:G64)/I64</f>
        <v>-0.44333102035510163</v>
      </c>
      <c r="K64" s="133">
        <f t="shared" si="11"/>
        <v>57.597354328994768</v>
      </c>
      <c r="L64" s="131">
        <f>SQRT(SUM(K$3:K64)/(COUNT(K$3:K64)-1))</f>
        <v>553.99708091449918</v>
      </c>
    </row>
    <row r="65" spans="1:12" x14ac:dyDescent="0.2">
      <c r="A65" s="24">
        <f>[2]ArdiData!A65</f>
        <v>63</v>
      </c>
      <c r="B65" s="136">
        <f ca="1">'0.ArdiData'!C65</f>
        <v>15860</v>
      </c>
      <c r="C65" s="135">
        <v>6433.484918596806</v>
      </c>
      <c r="D65" s="25">
        <f t="shared" si="6"/>
        <v>6408.5207699940947</v>
      </c>
      <c r="E65" s="135">
        <f t="shared" si="7"/>
        <v>83.363023688362091</v>
      </c>
      <c r="F65" s="135">
        <f t="shared" si="8"/>
        <v>6402.2797328434172</v>
      </c>
      <c r="G65" s="134">
        <f t="shared" si="9"/>
        <v>31.205185753388832</v>
      </c>
      <c r="H65" s="134">
        <f t="shared" si="10"/>
        <v>31.205185753388832</v>
      </c>
      <c r="I65" s="131">
        <f>SUM(H$3:H65)/COUNT(H$3:H65)</f>
        <v>405.06171623339668</v>
      </c>
      <c r="J65" s="131">
        <f>SUM(G$3:G65)/I65</f>
        <v>-0.37289255785421366</v>
      </c>
      <c r="K65" s="133">
        <f t="shared" si="11"/>
        <v>15.842193134416243</v>
      </c>
      <c r="L65" s="131">
        <f>SQRT(SUM(K$3:K65)/(COUNT(K$3:K65)-1))</f>
        <v>549.51143325981809</v>
      </c>
    </row>
    <row r="66" spans="1:12" x14ac:dyDescent="0.2">
      <c r="A66" s="24">
        <f>[2]ArdiData!A66</f>
        <v>64</v>
      </c>
      <c r="B66" s="136">
        <f ca="1">'0.ArdiData'!C66</f>
        <v>15681</v>
      </c>
      <c r="C66" s="135">
        <v>7126.6521295344728</v>
      </c>
      <c r="D66" s="25">
        <f t="shared" si="6"/>
        <v>6618.8374608528602</v>
      </c>
      <c r="E66" s="135">
        <f t="shared" si="7"/>
        <v>159.53522399060412</v>
      </c>
      <c r="F66" s="135">
        <f t="shared" si="8"/>
        <v>6491.8837936824566</v>
      </c>
      <c r="G66" s="134">
        <f t="shared" si="9"/>
        <v>634.76833585201621</v>
      </c>
      <c r="H66" s="134">
        <f t="shared" si="10"/>
        <v>634.76833585201621</v>
      </c>
      <c r="I66" s="131">
        <f>SUM(H$3:H66)/COUNT(H$3:H66)</f>
        <v>408.65088216493757</v>
      </c>
      <c r="J66" s="131">
        <f>SUM(G$3:G66)/I66</f>
        <v>1.1837092675152703</v>
      </c>
      <c r="K66" s="133">
        <f t="shared" si="11"/>
        <v>359499.68375592289</v>
      </c>
      <c r="L66" s="131">
        <f>SQRT(SUM(K$3:K66)/(COUNT(K$3:K66)-1))</f>
        <v>550.34180189206938</v>
      </c>
    </row>
    <row r="67" spans="1:12" x14ac:dyDescent="0.2">
      <c r="A67" s="24">
        <f>[2]ArdiData!A67</f>
        <v>65</v>
      </c>
      <c r="B67" s="136">
        <f ca="1">'0.ArdiData'!C67</f>
        <v>18063</v>
      </c>
      <c r="C67" s="135">
        <v>7865.1338288516981</v>
      </c>
      <c r="D67" s="25">
        <f t="shared" ref="D67:D77" si="12">$N$1*C67+(1-$N$1)*F67</f>
        <v>6995.7249136451119</v>
      </c>
      <c r="E67" s="135">
        <f t="shared" ref="E67:E77" si="13">$N$2*(D67-D66)+(1-$N$2)*E66</f>
        <v>289.94656127159266</v>
      </c>
      <c r="F67" s="135">
        <f t="shared" ref="F67:F78" si="14">D66+E66</f>
        <v>6778.3726848434644</v>
      </c>
      <c r="G67" s="134">
        <f t="shared" ref="G67:G77" si="15">C67-F67</f>
        <v>1086.7611440082337</v>
      </c>
      <c r="H67" s="134">
        <f t="shared" ref="H67:H78" si="16">ABS(G67)</f>
        <v>1086.7611440082337</v>
      </c>
      <c r="I67" s="131">
        <f>SUM(H$3:H67)/COUNT(H$3:H67)</f>
        <v>419.0833477317575</v>
      </c>
      <c r="J67" s="131">
        <f>SUM(G$3:G67)/I67</f>
        <v>3.7474287368019708</v>
      </c>
      <c r="K67" s="133">
        <f t="shared" ref="K67:K77" si="17">(G67-$G$78)^2</f>
        <v>1105811.5222199268</v>
      </c>
      <c r="L67" s="131">
        <f>SQRT(SUM(K$3:K67)/(COUNT(K$3:K67)-1))</f>
        <v>561.62439841857861</v>
      </c>
    </row>
    <row r="68" spans="1:12" x14ac:dyDescent="0.2">
      <c r="A68" s="24">
        <f>[2]ArdiData!A68</f>
        <v>66</v>
      </c>
      <c r="B68" s="136">
        <f ca="1">'0.ArdiData'!C68</f>
        <v>17998</v>
      </c>
      <c r="C68" s="135">
        <v>7010.35704845092</v>
      </c>
      <c r="D68" s="25">
        <f t="shared" si="12"/>
        <v>7230.6085896235481</v>
      </c>
      <c r="E68" s="135">
        <f t="shared" si="13"/>
        <v>256.90883009569882</v>
      </c>
      <c r="F68" s="135">
        <f t="shared" si="14"/>
        <v>7285.6714749167049</v>
      </c>
      <c r="G68" s="134">
        <f t="shared" si="15"/>
        <v>-275.31442646578489</v>
      </c>
      <c r="H68" s="134">
        <f t="shared" si="16"/>
        <v>275.31442646578489</v>
      </c>
      <c r="I68" s="131">
        <f>SUM(H$3:H68)/COUNT(H$3:H68)</f>
        <v>416.90503074287915</v>
      </c>
      <c r="J68" s="131">
        <f>SUM(G$3:G68)/I68</f>
        <v>3.1066321066731284</v>
      </c>
      <c r="K68" s="133">
        <f t="shared" si="17"/>
        <v>96410.149075691224</v>
      </c>
      <c r="L68" s="131">
        <f>SQRT(SUM(K$3:K68)/(COUNT(K$3:K68)-1))</f>
        <v>558.61664166752325</v>
      </c>
    </row>
    <row r="69" spans="1:12" x14ac:dyDescent="0.2">
      <c r="A69" s="24">
        <f>[2]ArdiData!A69</f>
        <v>67</v>
      </c>
      <c r="B69" s="136">
        <f ca="1">'0.ArdiData'!C69</f>
        <v>18061</v>
      </c>
      <c r="C69" s="135">
        <v>9422.7261880039478</v>
      </c>
      <c r="D69" s="25">
        <f t="shared" si="12"/>
        <v>7874.5591733761876</v>
      </c>
      <c r="E69" s="135">
        <f t="shared" si="13"/>
        <v>489.13388228986321</v>
      </c>
      <c r="F69" s="135">
        <f t="shared" si="14"/>
        <v>7487.5174197192473</v>
      </c>
      <c r="G69" s="134">
        <f t="shared" si="15"/>
        <v>1935.2087682847005</v>
      </c>
      <c r="H69" s="134">
        <f t="shared" si="16"/>
        <v>1935.2087682847005</v>
      </c>
      <c r="I69" s="131">
        <f>SUM(H$3:H69)/COUNT(H$3:H69)</f>
        <v>439.56628055693619</v>
      </c>
      <c r="J69" s="131">
        <f>SUM(G$3:G69)/I69</f>
        <v>7.3490153023820293</v>
      </c>
      <c r="K69" s="133">
        <f t="shared" si="17"/>
        <v>3610088.7581698275</v>
      </c>
      <c r="L69" s="131">
        <f>SQRT(SUM(K$3:K69)/(COUNT(K$3:K69)-1))</f>
        <v>601.68330364956819</v>
      </c>
    </row>
    <row r="70" spans="1:12" x14ac:dyDescent="0.2">
      <c r="A70" s="24">
        <f>[2]ArdiData!A70</f>
        <v>68</v>
      </c>
      <c r="B70" s="136">
        <f ca="1">'0.ArdiData'!C70</f>
        <v>16974</v>
      </c>
      <c r="C70" s="135">
        <v>7040.5275765927445</v>
      </c>
      <c r="D70" s="25">
        <f t="shared" si="12"/>
        <v>8099.0599598513891</v>
      </c>
      <c r="E70" s="135">
        <f t="shared" si="13"/>
        <v>330.3540248010662</v>
      </c>
      <c r="F70" s="135">
        <f t="shared" si="14"/>
        <v>8363.69305566605</v>
      </c>
      <c r="G70" s="134">
        <f t="shared" si="15"/>
        <v>-1323.1654790733055</v>
      </c>
      <c r="H70" s="134">
        <f t="shared" si="16"/>
        <v>1323.1654790733055</v>
      </c>
      <c r="I70" s="131">
        <f>SUM(H$3:H70)/COUNT(H$3:H70)</f>
        <v>452.56038641747102</v>
      </c>
      <c r="J70" s="131">
        <f>SUM(G$3:G70)/I70</f>
        <v>4.2142748247334074</v>
      </c>
      <c r="K70" s="133">
        <f t="shared" si="17"/>
        <v>1845117.1406041181</v>
      </c>
      <c r="L70" s="131">
        <f>SQRT(SUM(K$3:K70)/(COUNT(K$3:K70)-1))</f>
        <v>619.80523904616064</v>
      </c>
    </row>
    <row r="71" spans="1:12" x14ac:dyDescent="0.2">
      <c r="A71" s="24">
        <f>[2]ArdiData!A71</f>
        <v>69</v>
      </c>
      <c r="B71" s="136">
        <f ca="1">'0.ArdiData'!C71</f>
        <v>18141</v>
      </c>
      <c r="C71" s="135">
        <v>9903.7758241325882</v>
      </c>
      <c r="D71" s="25">
        <f t="shared" si="12"/>
        <v>8724.2863525484827</v>
      </c>
      <c r="E71" s="135">
        <f t="shared" si="13"/>
        <v>507.27744553868263</v>
      </c>
      <c r="F71" s="135">
        <f t="shared" si="14"/>
        <v>8429.4139846524558</v>
      </c>
      <c r="G71" s="134">
        <f t="shared" si="15"/>
        <v>1474.3618394801324</v>
      </c>
      <c r="H71" s="134">
        <f t="shared" si="16"/>
        <v>1474.3618394801324</v>
      </c>
      <c r="I71" s="131">
        <f>SUM(H$3:H71)/COUNT(H$3:H71)</f>
        <v>467.3691031285241</v>
      </c>
      <c r="J71" s="131">
        <f>SUM(G$3:G71)/I71</f>
        <v>7.235342815763727</v>
      </c>
      <c r="K71" s="133">
        <f t="shared" si="17"/>
        <v>2071228.7922492027</v>
      </c>
      <c r="L71" s="131">
        <f>SQRT(SUM(K$3:K71)/(COUNT(K$3:K71)-1))</f>
        <v>639.50636516214115</v>
      </c>
    </row>
    <row r="72" spans="1:12" x14ac:dyDescent="0.2">
      <c r="A72" s="24">
        <f>[2]ArdiData!A72</f>
        <v>70</v>
      </c>
      <c r="B72" s="136">
        <f ca="1">'0.ArdiData'!C72</f>
        <v>18635</v>
      </c>
      <c r="C72" s="135">
        <v>7385.6932650971721</v>
      </c>
      <c r="D72" s="25">
        <f t="shared" si="12"/>
        <v>8862.3896914891666</v>
      </c>
      <c r="E72" s="135">
        <f t="shared" si="13"/>
        <v>285.77298157988338</v>
      </c>
      <c r="F72" s="135">
        <f t="shared" si="14"/>
        <v>9231.5637980871652</v>
      </c>
      <c r="G72" s="134">
        <f t="shared" si="15"/>
        <v>-1845.8705329899931</v>
      </c>
      <c r="H72" s="134">
        <f t="shared" si="16"/>
        <v>1845.8705329899931</v>
      </c>
      <c r="I72" s="131">
        <f>SUM(H$3:H72)/COUNT(H$3:H72)</f>
        <v>487.06198069797369</v>
      </c>
      <c r="J72" s="131">
        <f>SUM(G$3:G72)/I72</f>
        <v>3.1529973812371912</v>
      </c>
      <c r="K72" s="133">
        <f t="shared" si="17"/>
        <v>3538371.464477106</v>
      </c>
      <c r="L72" s="131">
        <f>SQRT(SUM(K$3:K72)/(COUNT(K$3:K72)-1))</f>
        <v>674.03416739305192</v>
      </c>
    </row>
    <row r="73" spans="1:12" x14ac:dyDescent="0.2">
      <c r="A73" s="24">
        <f>[2]ArdiData!A73</f>
        <v>71</v>
      </c>
      <c r="B73" s="136">
        <f ca="1">'0.ArdiData'!C73</f>
        <v>19341</v>
      </c>
      <c r="C73" s="135">
        <v>9011.9704290236768</v>
      </c>
      <c r="D73" s="25">
        <f t="shared" si="12"/>
        <v>9120.9242242599757</v>
      </c>
      <c r="E73" s="135">
        <f t="shared" si="13"/>
        <v>269.42991229443885</v>
      </c>
      <c r="F73" s="135">
        <f t="shared" si="14"/>
        <v>9148.1626730690496</v>
      </c>
      <c r="G73" s="134">
        <f t="shared" si="15"/>
        <v>-136.19224404537272</v>
      </c>
      <c r="H73" s="134">
        <f t="shared" si="16"/>
        <v>136.19224404537272</v>
      </c>
      <c r="I73" s="131">
        <f>SUM(H$3:H73)/COUNT(H$3:H73)</f>
        <v>482.1201534211765</v>
      </c>
      <c r="J73" s="131">
        <f>SUM(G$3:G73)/I73</f>
        <v>2.9028301257776583</v>
      </c>
      <c r="K73" s="133">
        <f t="shared" si="17"/>
        <v>29370.300654045848</v>
      </c>
      <c r="L73" s="131">
        <f>SQRT(SUM(K$3:K73)/(COUNT(K$3:K73)-1))</f>
        <v>669.51573499879032</v>
      </c>
    </row>
    <row r="74" spans="1:12" x14ac:dyDescent="0.2">
      <c r="A74" s="24">
        <f>[2]ArdiData!A74</f>
        <v>72</v>
      </c>
      <c r="B74" s="136">
        <f ca="1">'0.ArdiData'!C74</f>
        <v>22720</v>
      </c>
      <c r="C74" s="135">
        <v>10014.199326672129</v>
      </c>
      <c r="D74" s="25">
        <f t="shared" si="12"/>
        <v>9515.1231745779587</v>
      </c>
      <c r="E74" s="135">
        <f t="shared" si="13"/>
        <v>344.29133510856531</v>
      </c>
      <c r="F74" s="135">
        <f t="shared" si="14"/>
        <v>9390.3541365544152</v>
      </c>
      <c r="G74" s="134">
        <f t="shared" si="15"/>
        <v>623.84519011771408</v>
      </c>
      <c r="H74" s="134">
        <f t="shared" si="16"/>
        <v>623.84519011771408</v>
      </c>
      <c r="I74" s="131">
        <f>SUM(H$3:H74)/COUNT(H$3:H74)</f>
        <v>484.08855670862835</v>
      </c>
      <c r="J74" s="131">
        <f>SUM(G$3:G74)/I74</f>
        <v>4.179727175271994</v>
      </c>
      <c r="K74" s="133">
        <f t="shared" si="17"/>
        <v>346520.33553307143</v>
      </c>
      <c r="L74" s="131">
        <f>SQRT(SUM(K$3:K74)/(COUNT(K$3:K74)-1))</f>
        <v>668.44482842799141</v>
      </c>
    </row>
    <row r="75" spans="1:12" x14ac:dyDescent="0.2">
      <c r="A75" s="24">
        <f>[2]ArdiData!A75</f>
        <v>73</v>
      </c>
      <c r="B75" s="136">
        <f ca="1">'0.ArdiData'!C75</f>
        <v>19229</v>
      </c>
      <c r="C75" s="135">
        <v>10910.3731121908</v>
      </c>
      <c r="D75" s="25">
        <f t="shared" si="12"/>
        <v>10069.606230187379</v>
      </c>
      <c r="E75" s="135">
        <f t="shared" si="13"/>
        <v>470.40636740907826</v>
      </c>
      <c r="F75" s="135">
        <f t="shared" si="14"/>
        <v>9859.4145096865232</v>
      </c>
      <c r="G75" s="134">
        <f t="shared" si="15"/>
        <v>1050.9586025042772</v>
      </c>
      <c r="H75" s="134">
        <f t="shared" si="16"/>
        <v>1050.9586025042772</v>
      </c>
      <c r="I75" s="131">
        <f>SUM(H$3:H75)/COUNT(H$3:H75)</f>
        <v>491.85389980171948</v>
      </c>
      <c r="J75" s="131">
        <f>SUM(G$3:G75)/I75</f>
        <v>6.2504672616337391</v>
      </c>
      <c r="K75" s="133">
        <f t="shared" si="17"/>
        <v>1031795.1765479931</v>
      </c>
      <c r="L75" s="131">
        <f>SQRT(SUM(K$3:K75)/(COUNT(K$3:K75)-1))</f>
        <v>674.49474784678841</v>
      </c>
    </row>
    <row r="76" spans="1:12" x14ac:dyDescent="0.2">
      <c r="A76" s="24">
        <f>[2]ArdiData!A76</f>
        <v>74</v>
      </c>
      <c r="B76" s="136">
        <f ca="1">'0.ArdiData'!C76</f>
        <v>19741</v>
      </c>
      <c r="C76" s="135">
        <v>8358.5918304447059</v>
      </c>
      <c r="D76" s="25">
        <f t="shared" si="12"/>
        <v>10103.728444166107</v>
      </c>
      <c r="E76" s="135">
        <f t="shared" si="13"/>
        <v>208.63587535086799</v>
      </c>
      <c r="F76" s="135">
        <f t="shared" si="14"/>
        <v>10540.012597596457</v>
      </c>
      <c r="G76" s="134">
        <f t="shared" si="15"/>
        <v>-2181.4207671517506</v>
      </c>
      <c r="H76" s="134">
        <f t="shared" si="16"/>
        <v>2181.4207671517506</v>
      </c>
      <c r="I76" s="131">
        <f>SUM(H$3:H76)/COUNT(H$3:H76)</f>
        <v>514.68588449563879</v>
      </c>
      <c r="J76" s="131">
        <f>SUM(G$3:G76)/I76</f>
        <v>1.734836641072375</v>
      </c>
      <c r="K76" s="133">
        <f t="shared" si="17"/>
        <v>4913342.9490877027</v>
      </c>
      <c r="L76" s="131">
        <f>SQRT(SUM(K$3:K76)/(COUNT(K$3:K76)-1))</f>
        <v>718.34332635563669</v>
      </c>
    </row>
    <row r="77" spans="1:12" x14ac:dyDescent="0.2">
      <c r="A77" s="24">
        <f>[2]ArdiData!A77</f>
        <v>75</v>
      </c>
      <c r="B77" s="136">
        <f ca="1">'0.ArdiData'!C77</f>
        <v>21932</v>
      </c>
      <c r="C77" s="135">
        <v>12058.374214587961</v>
      </c>
      <c r="D77" s="25">
        <f t="shared" si="12"/>
        <v>10661.566298531172</v>
      </c>
      <c r="E77" s="135">
        <f t="shared" si="13"/>
        <v>418.15706275938624</v>
      </c>
      <c r="F77" s="135">
        <f t="shared" si="14"/>
        <v>10312.364319516975</v>
      </c>
      <c r="G77" s="134">
        <f t="shared" si="15"/>
        <v>1746.0098950709853</v>
      </c>
      <c r="H77" s="134">
        <f t="shared" si="16"/>
        <v>1746.0098950709853</v>
      </c>
      <c r="I77" s="131">
        <f>SUM(H$3:H77)/COUNT(H$3:H77)</f>
        <v>531.10353796997686</v>
      </c>
      <c r="J77" s="131">
        <f>SUM(G$3:G77)/I77</f>
        <v>4.9687219863444785</v>
      </c>
      <c r="K77" s="133">
        <f t="shared" si="17"/>
        <v>2926920.4152448913</v>
      </c>
      <c r="L77" s="131">
        <f>SQRT(SUM(K$3:K77)/(COUNT(K$3:K77)-1))</f>
        <v>740.67328059241811</v>
      </c>
    </row>
    <row r="78" spans="1:12" x14ac:dyDescent="0.2">
      <c r="A78" s="24">
        <f>[2]ArdiData!A78</f>
        <v>0</v>
      </c>
      <c r="B78" s="130"/>
      <c r="C78" s="130"/>
      <c r="E78" s="135"/>
      <c r="F78" s="135">
        <f t="shared" si="14"/>
        <v>11079.723361290558</v>
      </c>
      <c r="G78" s="130">
        <f>AVERAGE(G3:G77)</f>
        <v>35.185411015156845</v>
      </c>
      <c r="H78" s="130">
        <f t="shared" si="16"/>
        <v>35.185411015156845</v>
      </c>
      <c r="I78" s="131">
        <f>1.25*I77</f>
        <v>663.8794224624711</v>
      </c>
      <c r="J78" s="131"/>
      <c r="K78" s="130"/>
      <c r="L78" s="130"/>
    </row>
  </sheetData>
  <conditionalFormatting sqref="M6:M15">
    <cfRule type="expression" dxfId="10" priority="2">
      <formula>$N5=$N$16</formula>
    </cfRule>
  </conditionalFormatting>
  <conditionalFormatting sqref="N6:W15">
    <cfRule type="cellIs" dxfId="9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8" zoomScaleNormal="98" workbookViewId="0">
      <selection activeCell="N48" sqref="N48"/>
    </sheetView>
  </sheetViews>
  <sheetFormatPr defaultRowHeight="12.75" x14ac:dyDescent="0.2"/>
  <cols>
    <col min="1" max="1" width="4.42578125" style="25" bestFit="1" customWidth="1"/>
    <col min="2" max="2" width="6.28515625" style="25" bestFit="1" customWidth="1"/>
    <col min="3" max="3" width="6.7109375" style="25" bestFit="1" customWidth="1"/>
    <col min="4" max="6" width="6.28515625" style="25" customWidth="1"/>
    <col min="7" max="7" width="8.42578125" style="25" bestFit="1" customWidth="1"/>
    <col min="8" max="8" width="6.28515625" style="25" customWidth="1"/>
    <col min="9" max="10" width="8" style="25" bestFit="1" customWidth="1"/>
    <col min="11" max="11" width="7.140625" style="25" bestFit="1" customWidth="1"/>
    <col min="12" max="12" width="6.28515625" style="25" bestFit="1" customWidth="1"/>
    <col min="13" max="13" width="8" style="25" customWidth="1"/>
    <col min="14" max="14" width="9.140625" style="25"/>
    <col min="15" max="15" width="6.42578125" style="25" customWidth="1"/>
    <col min="16" max="16" width="7.28515625" style="25" customWidth="1"/>
    <col min="17" max="24" width="4" style="25" customWidth="1"/>
    <col min="25" max="25" width="4.140625" style="25" customWidth="1"/>
    <col min="26" max="16384" width="9.140625" style="25"/>
  </cols>
  <sheetData>
    <row r="1" spans="1:20" x14ac:dyDescent="0.2">
      <c r="A1" s="24" t="str">
        <f>[2]ArdiData!A2</f>
        <v>Per.</v>
      </c>
      <c r="B1" s="147" t="s">
        <v>12</v>
      </c>
      <c r="C1" s="147" t="s">
        <v>124</v>
      </c>
      <c r="D1" s="147" t="s">
        <v>30</v>
      </c>
      <c r="E1" s="147" t="s">
        <v>23</v>
      </c>
      <c r="F1" s="147" t="s">
        <v>17</v>
      </c>
      <c r="G1" s="141" t="s">
        <v>123</v>
      </c>
      <c r="H1" s="147" t="s">
        <v>118</v>
      </c>
      <c r="I1" s="147" t="s">
        <v>122</v>
      </c>
      <c r="J1" s="139" t="s">
        <v>30</v>
      </c>
      <c r="K1" s="139" t="s">
        <v>23</v>
      </c>
      <c r="L1" s="140" t="s">
        <v>17</v>
      </c>
      <c r="M1" s="140" t="s">
        <v>68</v>
      </c>
      <c r="N1" s="25">
        <v>0.5</v>
      </c>
      <c r="O1" s="145" t="s">
        <v>115</v>
      </c>
      <c r="P1" s="138">
        <v>0.5</v>
      </c>
      <c r="Q1" s="25" t="str">
        <f>" F(next) ~ N ( "&amp;ROUND(I78,0)&amp;", "&amp;ROUND(1.25*L77,0)&amp;")"</f>
        <v xml:space="preserve"> F(next) ~ N ( 0, 0)</v>
      </c>
      <c r="T1" s="137"/>
    </row>
    <row r="2" spans="1:20" x14ac:dyDescent="0.2">
      <c r="A2" s="24">
        <v>0</v>
      </c>
      <c r="B2" s="41"/>
      <c r="C2" s="41"/>
      <c r="D2" s="41"/>
      <c r="E2" s="41"/>
      <c r="F2" s="41"/>
      <c r="I2" s="41"/>
      <c r="J2" s="139"/>
      <c r="K2" s="139"/>
      <c r="L2" s="140"/>
      <c r="M2" s="140"/>
      <c r="O2" s="145" t="s">
        <v>114</v>
      </c>
      <c r="P2" s="138">
        <v>0.5</v>
      </c>
      <c r="T2" s="137"/>
    </row>
    <row r="3" spans="1:20" x14ac:dyDescent="0.2">
      <c r="A3" s="24">
        <f>[2]ArdiData!A3</f>
        <v>1</v>
      </c>
      <c r="B3" s="135">
        <f ca="1">ROUND('0.ArdiData'!C3/10,0)</f>
        <v>173</v>
      </c>
      <c r="C3" s="135">
        <f ca="1">B3</f>
        <v>173</v>
      </c>
      <c r="D3" s="41"/>
      <c r="E3" s="41"/>
      <c r="F3" s="41"/>
      <c r="G3" s="41">
        <f ca="1">INTERCEPT(B3:B23,A3:A23)</f>
        <v>165.97142857142859</v>
      </c>
      <c r="H3" s="41">
        <f ca="1">SLOPE(B3:B23,A3:A23)</f>
        <v>22.703896103896103</v>
      </c>
      <c r="I3" s="135">
        <f t="shared" ref="I3:I23" ca="1" si="0">G3+H3</f>
        <v>188.6753246753247</v>
      </c>
      <c r="J3" s="134">
        <f t="shared" ref="J3:J23" ca="1" si="1">B3-I3</f>
        <v>-15.675324675324703</v>
      </c>
      <c r="K3" s="134">
        <f t="shared" ref="K3:K23" ca="1" si="2">ABS(J3)</f>
        <v>15.675324675324703</v>
      </c>
      <c r="L3" s="131">
        <f ca="1">AVERAGE($K$3:K3)</f>
        <v>15.675324675324703</v>
      </c>
      <c r="M3" s="131">
        <f ca="1">SUM(J$3:J3)/L3</f>
        <v>-1</v>
      </c>
    </row>
    <row r="4" spans="1:20" x14ac:dyDescent="0.2">
      <c r="A4" s="24">
        <f>[2]ArdiData!A4</f>
        <v>2</v>
      </c>
      <c r="B4" s="135">
        <f ca="1">ROUND('0.ArdiData'!C4/10,0)</f>
        <v>184</v>
      </c>
      <c r="C4" s="150">
        <f t="shared" ref="C4:C23" ca="1" si="3">(1-$N$1)*C3+$N$1*B3</f>
        <v>173</v>
      </c>
      <c r="D4" s="41">
        <f t="shared" ref="D4:D23" ca="1" si="4">B4-C4</f>
        <v>11</v>
      </c>
      <c r="E4" s="41">
        <f t="shared" ref="E4:E23" ca="1" si="5">ABS(D4)</f>
        <v>11</v>
      </c>
      <c r="F4" s="41">
        <f ca="1">AVERAGE($E$4:E4)</f>
        <v>11</v>
      </c>
      <c r="G4" s="25">
        <f t="shared" ref="G4:G23" ca="1" si="6">(1-$P$1)*I3+$P$1*B3</f>
        <v>180.83766233766235</v>
      </c>
      <c r="H4" s="135">
        <f t="shared" ref="H4:H23" ca="1" si="7">(1-$P$2)*H3+$P$2*(B4-B3)</f>
        <v>16.85194805194805</v>
      </c>
      <c r="I4" s="135">
        <f t="shared" ca="1" si="0"/>
        <v>197.68961038961041</v>
      </c>
      <c r="J4" s="134">
        <f t="shared" ca="1" si="1"/>
        <v>-13.689610389610408</v>
      </c>
      <c r="K4" s="134">
        <f t="shared" ca="1" si="2"/>
        <v>13.689610389610408</v>
      </c>
      <c r="L4" s="131">
        <f ca="1">AVERAGE($K$3:K4)</f>
        <v>14.682467532467555</v>
      </c>
      <c r="M4" s="131">
        <f ca="1">SUM(J$3:J4)/L4</f>
        <v>-2</v>
      </c>
      <c r="O4" s="144">
        <f ca="1">F23</f>
        <v>58.670704555511477</v>
      </c>
    </row>
    <row r="5" spans="1:20" x14ac:dyDescent="0.2">
      <c r="A5" s="24">
        <f>[2]ArdiData!A5</f>
        <v>3</v>
      </c>
      <c r="B5" s="135">
        <f ca="1">ROUND('0.ArdiData'!C5/10,0)</f>
        <v>255</v>
      </c>
      <c r="C5" s="150">
        <f t="shared" ca="1" si="3"/>
        <v>178.5</v>
      </c>
      <c r="D5" s="41">
        <f t="shared" ca="1" si="4"/>
        <v>76.5</v>
      </c>
      <c r="E5" s="41">
        <f t="shared" ca="1" si="5"/>
        <v>76.5</v>
      </c>
      <c r="F5" s="41">
        <f ca="1">AVERAGE($E$4:E5)</f>
        <v>43.75</v>
      </c>
      <c r="G5" s="25">
        <f t="shared" ca="1" si="6"/>
        <v>190.84480519480519</v>
      </c>
      <c r="H5" s="135">
        <f t="shared" ca="1" si="7"/>
        <v>43.925974025974028</v>
      </c>
      <c r="I5" s="135">
        <f t="shared" ca="1" si="0"/>
        <v>234.77077922077922</v>
      </c>
      <c r="J5" s="134">
        <f t="shared" ca="1" si="1"/>
        <v>20.229220779220782</v>
      </c>
      <c r="K5" s="134">
        <f t="shared" ca="1" si="2"/>
        <v>20.229220779220782</v>
      </c>
      <c r="L5" s="131">
        <f ca="1">AVERAGE($K$3:K5)</f>
        <v>16.531385281385298</v>
      </c>
      <c r="M5" s="131">
        <f ca="1">SUM(J$3:J5)/L5</f>
        <v>-0.55262847790507574</v>
      </c>
      <c r="N5" s="137">
        <f>L77</f>
        <v>0</v>
      </c>
      <c r="O5" s="25">
        <f t="dataTable" ref="O5:O15" dt2D="0" dtr="0" r1="N1" ca="1"/>
        <v>215.8</v>
      </c>
    </row>
    <row r="6" spans="1:20" x14ac:dyDescent="0.2">
      <c r="A6" s="24">
        <f>[2]ArdiData!A6</f>
        <v>4</v>
      </c>
      <c r="B6" s="135">
        <f ca="1">ROUND('0.ArdiData'!C6/10,0)</f>
        <v>265</v>
      </c>
      <c r="C6" s="150">
        <f t="shared" ca="1" si="3"/>
        <v>216.75</v>
      </c>
      <c r="D6" s="41">
        <f t="shared" ca="1" si="4"/>
        <v>48.25</v>
      </c>
      <c r="E6" s="41">
        <f t="shared" ca="1" si="5"/>
        <v>48.25</v>
      </c>
      <c r="F6" s="41">
        <f ca="1">AVERAGE($E$4:E6)</f>
        <v>45.25</v>
      </c>
      <c r="G6" s="25">
        <f t="shared" ca="1" si="6"/>
        <v>244.88538961038961</v>
      </c>
      <c r="H6" s="135">
        <f t="shared" ca="1" si="7"/>
        <v>26.962987012987014</v>
      </c>
      <c r="I6" s="135">
        <f t="shared" ca="1" si="0"/>
        <v>271.84837662337662</v>
      </c>
      <c r="J6" s="134">
        <f t="shared" ca="1" si="1"/>
        <v>-6.8483766233766232</v>
      </c>
      <c r="K6" s="134">
        <f t="shared" ca="1" si="2"/>
        <v>6.8483766233766232</v>
      </c>
      <c r="L6" s="131">
        <f ca="1">AVERAGE($K$3:K6)</f>
        <v>14.110633116883129</v>
      </c>
      <c r="M6" s="131">
        <f ca="1">SUM(J$3:J6)/L6</f>
        <v>-1.1327692228044866</v>
      </c>
      <c r="N6" s="25">
        <v>0.1</v>
      </c>
      <c r="O6" s="25">
        <v>125.76556892027114</v>
      </c>
    </row>
    <row r="7" spans="1:20" x14ac:dyDescent="0.2">
      <c r="A7" s="24">
        <f>[2]ArdiData!A7</f>
        <v>5</v>
      </c>
      <c r="B7" s="135">
        <f ca="1">ROUND('0.ArdiData'!C7/10,0)</f>
        <v>293</v>
      </c>
      <c r="C7" s="150">
        <f t="shared" ca="1" si="3"/>
        <v>240.875</v>
      </c>
      <c r="D7" s="41">
        <f t="shared" ca="1" si="4"/>
        <v>52.125</v>
      </c>
      <c r="E7" s="41">
        <f t="shared" ca="1" si="5"/>
        <v>52.125</v>
      </c>
      <c r="F7" s="41">
        <f ca="1">AVERAGE($E$4:E7)</f>
        <v>46.96875</v>
      </c>
      <c r="G7" s="25">
        <f t="shared" ca="1" si="6"/>
        <v>268.42418831168834</v>
      </c>
      <c r="H7" s="135">
        <f t="shared" ca="1" si="7"/>
        <v>27.481493506493507</v>
      </c>
      <c r="I7" s="135">
        <f t="shared" ca="1" si="0"/>
        <v>295.90568181818185</v>
      </c>
      <c r="J7" s="134">
        <f t="shared" ca="1" si="1"/>
        <v>-2.9056818181818471</v>
      </c>
      <c r="K7" s="134">
        <f t="shared" ca="1" si="2"/>
        <v>2.9056818181818471</v>
      </c>
      <c r="L7" s="131">
        <f ca="1">AVERAGE($K$3:K7)</f>
        <v>11.869642857142873</v>
      </c>
      <c r="M7" s="131">
        <f ca="1">SUM(J$3:J7)/L7</f>
        <v>-1.5914356442414253</v>
      </c>
      <c r="N7" s="25">
        <v>0.2</v>
      </c>
      <c r="O7" s="25">
        <v>59.020219793052796</v>
      </c>
    </row>
    <row r="8" spans="1:20" x14ac:dyDescent="0.2">
      <c r="A8" s="24">
        <f>[2]ArdiData!A8</f>
        <v>6</v>
      </c>
      <c r="B8" s="135">
        <f ca="1">ROUND('0.ArdiData'!C8/10,0)</f>
        <v>322</v>
      </c>
      <c r="C8" s="150">
        <f t="shared" ca="1" si="3"/>
        <v>266.9375</v>
      </c>
      <c r="D8" s="41">
        <f t="shared" ca="1" si="4"/>
        <v>55.0625</v>
      </c>
      <c r="E8" s="41">
        <f t="shared" ca="1" si="5"/>
        <v>55.0625</v>
      </c>
      <c r="F8" s="41">
        <f ca="1">AVERAGE($E$4:E8)</f>
        <v>48.587499999999999</v>
      </c>
      <c r="G8" s="25">
        <f t="shared" ca="1" si="6"/>
        <v>294.45284090909092</v>
      </c>
      <c r="H8" s="135">
        <f t="shared" ca="1" si="7"/>
        <v>28.240746753246754</v>
      </c>
      <c r="I8" s="135">
        <f t="shared" ca="1" si="0"/>
        <v>322.69358766233768</v>
      </c>
      <c r="J8" s="134">
        <f t="shared" ca="1" si="1"/>
        <v>-0.6935876623376771</v>
      </c>
      <c r="K8" s="134">
        <f t="shared" ca="1" si="2"/>
        <v>0.6935876623376771</v>
      </c>
      <c r="L8" s="131">
        <f ca="1">AVERAGE($K$3:K8)</f>
        <v>10.006966991342006</v>
      </c>
      <c r="M8" s="131">
        <f ca="1">SUM(J$3:J8)/L8</f>
        <v>-1.9569726178325495</v>
      </c>
      <c r="N8" s="25">
        <v>0.30000000000000004</v>
      </c>
      <c r="O8" s="25">
        <v>30.514096606855492</v>
      </c>
    </row>
    <row r="9" spans="1:20" x14ac:dyDescent="0.2">
      <c r="A9" s="24">
        <f>[2]ArdiData!A9</f>
        <v>7</v>
      </c>
      <c r="B9" s="135">
        <f ca="1">ROUND('0.ArdiData'!C9/10,0)</f>
        <v>336</v>
      </c>
      <c r="C9" s="150">
        <f t="shared" ca="1" si="3"/>
        <v>294.46875</v>
      </c>
      <c r="D9" s="41">
        <f t="shared" ca="1" si="4"/>
        <v>41.53125</v>
      </c>
      <c r="E9" s="41">
        <f t="shared" ca="1" si="5"/>
        <v>41.53125</v>
      </c>
      <c r="F9" s="41">
        <f ca="1">AVERAGE($E$4:E9)</f>
        <v>47.411458333333336</v>
      </c>
      <c r="G9" s="25">
        <f t="shared" ca="1" si="6"/>
        <v>322.34679383116884</v>
      </c>
      <c r="H9" s="135">
        <f t="shared" ca="1" si="7"/>
        <v>21.120373376623377</v>
      </c>
      <c r="I9" s="135">
        <f t="shared" ca="1" si="0"/>
        <v>343.46716720779222</v>
      </c>
      <c r="J9" s="134">
        <f t="shared" ca="1" si="1"/>
        <v>-7.4671672077922153</v>
      </c>
      <c r="K9" s="134">
        <f t="shared" ca="1" si="2"/>
        <v>7.4671672077922153</v>
      </c>
      <c r="L9" s="131">
        <f ca="1">AVERAGE($K$3:K9)</f>
        <v>9.6441384508348929</v>
      </c>
      <c r="M9" s="131">
        <f ca="1">SUM(J$3:J9)/L9</f>
        <v>-2.8048671983821354</v>
      </c>
      <c r="N9" s="25">
        <v>0.4</v>
      </c>
      <c r="O9" s="25">
        <v>45.360835640503105</v>
      </c>
    </row>
    <row r="10" spans="1:20" x14ac:dyDescent="0.2">
      <c r="A10" s="24">
        <f>[2]ArdiData!A10</f>
        <v>8</v>
      </c>
      <c r="B10" s="135">
        <f ca="1">ROUND('0.ArdiData'!C10/10,0)</f>
        <v>324</v>
      </c>
      <c r="C10" s="150">
        <f t="shared" ca="1" si="3"/>
        <v>315.234375</v>
      </c>
      <c r="D10" s="41">
        <f t="shared" ca="1" si="4"/>
        <v>8.765625</v>
      </c>
      <c r="E10" s="41">
        <f t="shared" ca="1" si="5"/>
        <v>8.765625</v>
      </c>
      <c r="F10" s="41">
        <f ca="1">AVERAGE($E$4:E10)</f>
        <v>41.890625</v>
      </c>
      <c r="G10" s="25">
        <f t="shared" ca="1" si="6"/>
        <v>339.73358360389614</v>
      </c>
      <c r="H10" s="135">
        <f t="shared" ca="1" si="7"/>
        <v>4.5601866883116884</v>
      </c>
      <c r="I10" s="135">
        <f t="shared" ca="1" si="0"/>
        <v>344.2937702922078</v>
      </c>
      <c r="J10" s="134">
        <f t="shared" ca="1" si="1"/>
        <v>-20.293770292207796</v>
      </c>
      <c r="K10" s="134">
        <f t="shared" ca="1" si="2"/>
        <v>20.293770292207796</v>
      </c>
      <c r="L10" s="131">
        <f ca="1">AVERAGE($K$3:K10)</f>
        <v>10.975342431006506</v>
      </c>
      <c r="M10" s="131">
        <f ca="1">SUM(J$3:J10)/L10</f>
        <v>-4.3136966511275148</v>
      </c>
      <c r="N10" s="25">
        <v>0.5</v>
      </c>
      <c r="O10" s="25">
        <v>43.009969615936278</v>
      </c>
    </row>
    <row r="11" spans="1:20" x14ac:dyDescent="0.2">
      <c r="A11" s="24">
        <f>[2]ArdiData!A11</f>
        <v>9</v>
      </c>
      <c r="B11" s="135">
        <f ca="1">ROUND('0.ArdiData'!C11/10,0)</f>
        <v>431</v>
      </c>
      <c r="C11" s="150">
        <f t="shared" ca="1" si="3"/>
        <v>319.6171875</v>
      </c>
      <c r="D11" s="41">
        <f t="shared" ca="1" si="4"/>
        <v>111.3828125</v>
      </c>
      <c r="E11" s="41">
        <f t="shared" ca="1" si="5"/>
        <v>111.3828125</v>
      </c>
      <c r="F11" s="41">
        <f ca="1">AVERAGE($E$4:E11)</f>
        <v>50.5771484375</v>
      </c>
      <c r="G11" s="25">
        <f t="shared" ca="1" si="6"/>
        <v>334.1468851461039</v>
      </c>
      <c r="H11" s="135">
        <f t="shared" ca="1" si="7"/>
        <v>55.780093344155844</v>
      </c>
      <c r="I11" s="135">
        <f t="shared" ca="1" si="0"/>
        <v>389.92697849025973</v>
      </c>
      <c r="J11" s="134">
        <f t="shared" ca="1" si="1"/>
        <v>41.073021509740272</v>
      </c>
      <c r="K11" s="134">
        <f t="shared" ca="1" si="2"/>
        <v>41.073021509740272</v>
      </c>
      <c r="L11" s="131">
        <f ca="1">AVERAGE($K$3:K11)</f>
        <v>14.319528995310257</v>
      </c>
      <c r="M11" s="131">
        <f ca="1">SUM(J$3:J11)/L11</f>
        <v>-0.43795269955625643</v>
      </c>
      <c r="N11" s="25">
        <v>0.6</v>
      </c>
      <c r="O11" s="25">
        <v>47.487476982809227</v>
      </c>
    </row>
    <row r="12" spans="1:20" x14ac:dyDescent="0.2">
      <c r="A12" s="24">
        <f>[2]ArdiData!A12</f>
        <v>10</v>
      </c>
      <c r="B12" s="135">
        <f ca="1">ROUND('0.ArdiData'!C12/10,0)</f>
        <v>347</v>
      </c>
      <c r="C12" s="150">
        <f t="shared" ca="1" si="3"/>
        <v>375.30859375</v>
      </c>
      <c r="D12" s="41">
        <f t="shared" ca="1" si="4"/>
        <v>-28.30859375</v>
      </c>
      <c r="E12" s="41">
        <f t="shared" ca="1" si="5"/>
        <v>28.30859375</v>
      </c>
      <c r="F12" s="41">
        <f ca="1">AVERAGE($E$4:E12)</f>
        <v>48.102864583333336</v>
      </c>
      <c r="G12" s="25">
        <f t="shared" ca="1" si="6"/>
        <v>410.46348924512984</v>
      </c>
      <c r="H12" s="135">
        <f t="shared" ca="1" si="7"/>
        <v>-14.109953327922078</v>
      </c>
      <c r="I12" s="135">
        <f t="shared" ca="1" si="0"/>
        <v>396.35353591720775</v>
      </c>
      <c r="J12" s="134">
        <f t="shared" ca="1" si="1"/>
        <v>-49.353535917207751</v>
      </c>
      <c r="K12" s="134">
        <f t="shared" ca="1" si="2"/>
        <v>49.353535917207751</v>
      </c>
      <c r="L12" s="131">
        <f ca="1">AVERAGE($K$3:K12)</f>
        <v>17.822929687500007</v>
      </c>
      <c r="M12" s="131">
        <f ca="1">SUM(J$3:J12)/L12</f>
        <v>-3.1209690703145205</v>
      </c>
      <c r="N12" s="25">
        <v>0.70000000000000007</v>
      </c>
      <c r="O12" s="25">
        <v>26.069313440755952</v>
      </c>
    </row>
    <row r="13" spans="1:20" x14ac:dyDescent="0.2">
      <c r="A13" s="24">
        <f>[2]ArdiData!A13</f>
        <v>11</v>
      </c>
      <c r="B13" s="135">
        <f ca="1">ROUND('0.ArdiData'!C13/10,0)</f>
        <v>407</v>
      </c>
      <c r="C13" s="150">
        <f t="shared" ca="1" si="3"/>
        <v>361.154296875</v>
      </c>
      <c r="D13" s="41">
        <f t="shared" ca="1" si="4"/>
        <v>45.845703125</v>
      </c>
      <c r="E13" s="41">
        <f t="shared" ca="1" si="5"/>
        <v>45.845703125</v>
      </c>
      <c r="F13" s="41">
        <f ca="1">AVERAGE($E$4:E13)</f>
        <v>47.877148437499997</v>
      </c>
      <c r="G13" s="25">
        <f t="shared" ca="1" si="6"/>
        <v>371.67676795860388</v>
      </c>
      <c r="H13" s="135">
        <f t="shared" ca="1" si="7"/>
        <v>22.945023336038961</v>
      </c>
      <c r="I13" s="135">
        <f t="shared" ca="1" si="0"/>
        <v>394.62179129464283</v>
      </c>
      <c r="J13" s="134">
        <f t="shared" ca="1" si="1"/>
        <v>12.378208705357167</v>
      </c>
      <c r="K13" s="134">
        <f t="shared" ca="1" si="2"/>
        <v>12.378208705357167</v>
      </c>
      <c r="L13" s="131">
        <f ca="1">AVERAGE($K$3:K13)</f>
        <v>17.327955052759748</v>
      </c>
      <c r="M13" s="131">
        <f ca="1">SUM(J$3:J13)/L13</f>
        <v>-2.4957707623343066</v>
      </c>
      <c r="N13" s="25">
        <v>0.8</v>
      </c>
      <c r="O13" s="25">
        <v>35.764356849379148</v>
      </c>
    </row>
    <row r="14" spans="1:20" x14ac:dyDescent="0.2">
      <c r="A14" s="24">
        <f>[2]ArdiData!A14</f>
        <v>12</v>
      </c>
      <c r="B14" s="135">
        <f ca="1">ROUND('0.ArdiData'!C14/10,0)</f>
        <v>423</v>
      </c>
      <c r="C14" s="150">
        <f t="shared" ca="1" si="3"/>
        <v>384.0771484375</v>
      </c>
      <c r="D14" s="41">
        <f t="shared" ca="1" si="4"/>
        <v>38.9228515625</v>
      </c>
      <c r="E14" s="41">
        <f t="shared" ca="1" si="5"/>
        <v>38.9228515625</v>
      </c>
      <c r="F14" s="41">
        <f ca="1">AVERAGE($E$4:E14)</f>
        <v>47.063121448863633</v>
      </c>
      <c r="G14" s="25">
        <f t="shared" ca="1" si="6"/>
        <v>400.81089564732144</v>
      </c>
      <c r="H14" s="135">
        <f t="shared" ca="1" si="7"/>
        <v>19.472511668019479</v>
      </c>
      <c r="I14" s="135">
        <f t="shared" ca="1" si="0"/>
        <v>420.28340731534092</v>
      </c>
      <c r="J14" s="134">
        <f t="shared" ca="1" si="1"/>
        <v>2.7165926846590764</v>
      </c>
      <c r="K14" s="134">
        <f t="shared" ca="1" si="2"/>
        <v>2.7165926846590764</v>
      </c>
      <c r="L14" s="131">
        <f ca="1">AVERAGE($K$3:K14)</f>
        <v>16.110341522084692</v>
      </c>
      <c r="M14" s="131">
        <f ca="1">SUM(J$3:J14)/L14</f>
        <v>-2.5157760219733136</v>
      </c>
      <c r="N14" s="25">
        <v>0.9</v>
      </c>
      <c r="O14" s="25">
        <v>22.542578787918259</v>
      </c>
    </row>
    <row r="15" spans="1:20" x14ac:dyDescent="0.2">
      <c r="A15" s="24">
        <f>[2]ArdiData!A15</f>
        <v>13</v>
      </c>
      <c r="B15" s="135">
        <f ca="1">ROUND('0.ArdiData'!C15/10,0)</f>
        <v>444</v>
      </c>
      <c r="C15" s="150">
        <f t="shared" ca="1" si="3"/>
        <v>403.53857421875</v>
      </c>
      <c r="D15" s="41">
        <f t="shared" ca="1" si="4"/>
        <v>40.46142578125</v>
      </c>
      <c r="E15" s="41">
        <f t="shared" ca="1" si="5"/>
        <v>40.46142578125</v>
      </c>
      <c r="F15" s="41">
        <f ca="1">AVERAGE($E$4:E15)</f>
        <v>46.512980143229164</v>
      </c>
      <c r="G15" s="25">
        <f t="shared" ca="1" si="6"/>
        <v>421.64170365767046</v>
      </c>
      <c r="H15" s="135">
        <f t="shared" ca="1" si="7"/>
        <v>20.236255834009739</v>
      </c>
      <c r="I15" s="135">
        <f t="shared" ca="1" si="0"/>
        <v>441.8779594916802</v>
      </c>
      <c r="J15" s="134">
        <f t="shared" ca="1" si="1"/>
        <v>2.1220405083197988</v>
      </c>
      <c r="K15" s="134">
        <f t="shared" ca="1" si="2"/>
        <v>2.1220405083197988</v>
      </c>
      <c r="L15" s="131">
        <f ca="1">AVERAGE($K$3:K15)</f>
        <v>15.034318367179701</v>
      </c>
      <c r="M15" s="131">
        <f ca="1">SUM(J$3:J15)/L15</f>
        <v>-2.5546865152588163</v>
      </c>
      <c r="N15" s="25">
        <v>1</v>
      </c>
      <c r="O15" s="25">
        <v>23.5</v>
      </c>
    </row>
    <row r="16" spans="1:20" x14ac:dyDescent="0.2">
      <c r="A16" s="24">
        <f>[2]ArdiData!A16</f>
        <v>14</v>
      </c>
      <c r="B16" s="135">
        <f ca="1">ROUND('0.ArdiData'!C16/10,0)</f>
        <v>535</v>
      </c>
      <c r="C16" s="150">
        <f t="shared" ca="1" si="3"/>
        <v>423.769287109375</v>
      </c>
      <c r="D16" s="41">
        <f t="shared" ca="1" si="4"/>
        <v>111.230712890625</v>
      </c>
      <c r="E16" s="41">
        <f t="shared" ca="1" si="5"/>
        <v>111.230712890625</v>
      </c>
      <c r="F16" s="41">
        <f ca="1">AVERAGE($E$4:E16)</f>
        <v>51.491267277644234</v>
      </c>
      <c r="G16" s="25">
        <f t="shared" ca="1" si="6"/>
        <v>442.93897974584013</v>
      </c>
      <c r="H16" s="135">
        <f t="shared" ca="1" si="7"/>
        <v>55.61812791700487</v>
      </c>
      <c r="I16" s="135">
        <f t="shared" ca="1" si="0"/>
        <v>498.557107662845</v>
      </c>
      <c r="J16" s="134">
        <f t="shared" ca="1" si="1"/>
        <v>36.442892337155001</v>
      </c>
      <c r="K16" s="134">
        <f t="shared" ca="1" si="2"/>
        <v>36.442892337155001</v>
      </c>
      <c r="L16" s="131">
        <f ca="1">AVERAGE($K$3:K16)</f>
        <v>16.563502222177938</v>
      </c>
      <c r="M16" s="131">
        <f ca="1">SUM(J$3:J16)/L16</f>
        <v>-0.11863904355660683</v>
      </c>
      <c r="N16" s="25">
        <f>MIN(O5:O15)</f>
        <v>22.542578787918259</v>
      </c>
    </row>
    <row r="17" spans="1:26" x14ac:dyDescent="0.2">
      <c r="A17" s="24">
        <f>[2]ArdiData!A17</f>
        <v>15</v>
      </c>
      <c r="B17" s="135">
        <f ca="1">ROUND('0.ArdiData'!C17/10,0)</f>
        <v>567</v>
      </c>
      <c r="C17" s="150">
        <f t="shared" ca="1" si="3"/>
        <v>479.3846435546875</v>
      </c>
      <c r="D17" s="41">
        <f t="shared" ca="1" si="4"/>
        <v>87.6153564453125</v>
      </c>
      <c r="E17" s="41">
        <f t="shared" ca="1" si="5"/>
        <v>87.6153564453125</v>
      </c>
      <c r="F17" s="41">
        <f ca="1">AVERAGE($E$4:E17)</f>
        <v>54.071559361049104</v>
      </c>
      <c r="G17" s="25">
        <f t="shared" ca="1" si="6"/>
        <v>516.77855383142253</v>
      </c>
      <c r="H17" s="135">
        <f t="shared" ca="1" si="7"/>
        <v>43.809063958502435</v>
      </c>
      <c r="I17" s="135">
        <f t="shared" ca="1" si="0"/>
        <v>560.58761778992493</v>
      </c>
      <c r="J17" s="134">
        <f t="shared" ca="1" si="1"/>
        <v>6.4123822100750658</v>
      </c>
      <c r="K17" s="134">
        <f t="shared" ca="1" si="2"/>
        <v>6.4123822100750658</v>
      </c>
      <c r="L17" s="131">
        <f ca="1">AVERAGE($K$3:K17)</f>
        <v>15.886760888037745</v>
      </c>
      <c r="M17" s="131">
        <f ca="1">SUM(J$3:J17)/L17</f>
        <v>0.2799377531915162</v>
      </c>
      <c r="N17" s="143">
        <f ca="1">L23</f>
        <v>20.949261490533434</v>
      </c>
      <c r="O17" s="25">
        <v>0</v>
      </c>
      <c r="P17" s="25">
        <v>0.1</v>
      </c>
      <c r="Q17" s="25">
        <v>0.2</v>
      </c>
      <c r="R17" s="25">
        <v>0.3</v>
      </c>
      <c r="S17" s="25">
        <v>0.4</v>
      </c>
      <c r="T17" s="25">
        <v>0.5</v>
      </c>
      <c r="U17" s="25">
        <v>0.6</v>
      </c>
      <c r="V17" s="25">
        <v>0.7</v>
      </c>
      <c r="W17" s="25">
        <v>0.8</v>
      </c>
      <c r="X17" s="25">
        <v>0.9</v>
      </c>
      <c r="Y17" s="25">
        <v>1</v>
      </c>
    </row>
    <row r="18" spans="1:26" x14ac:dyDescent="0.2">
      <c r="A18" s="24">
        <f>[2]ArdiData!A18</f>
        <v>16</v>
      </c>
      <c r="B18" s="135">
        <f ca="1">ROUND('0.ArdiData'!C18/10,0)</f>
        <v>440</v>
      </c>
      <c r="C18" s="150">
        <f t="shared" ca="1" si="3"/>
        <v>523.19232177734375</v>
      </c>
      <c r="D18" s="41">
        <f t="shared" ca="1" si="4"/>
        <v>-83.19232177734375</v>
      </c>
      <c r="E18" s="41">
        <f t="shared" ca="1" si="5"/>
        <v>83.19232177734375</v>
      </c>
      <c r="F18" s="41">
        <f ca="1">AVERAGE($E$4:E18)</f>
        <v>56.012943522135416</v>
      </c>
      <c r="G18" s="25">
        <f t="shared" ca="1" si="6"/>
        <v>563.79380889496247</v>
      </c>
      <c r="H18" s="135">
        <f t="shared" ca="1" si="7"/>
        <v>-41.595468020748783</v>
      </c>
      <c r="I18" s="135">
        <f t="shared" ca="1" si="0"/>
        <v>522.19834087421373</v>
      </c>
      <c r="J18" s="134">
        <f t="shared" ca="1" si="1"/>
        <v>-82.198340874213727</v>
      </c>
      <c r="K18" s="134">
        <f t="shared" ca="1" si="2"/>
        <v>82.198340874213727</v>
      </c>
      <c r="L18" s="131">
        <f ca="1">AVERAGE($K$3:K18)</f>
        <v>20.031234637173746</v>
      </c>
      <c r="M18" s="131">
        <f ca="1">SUM(J$3:J18)/L18</f>
        <v>-3.8814899897101731</v>
      </c>
      <c r="N18" s="25">
        <v>0</v>
      </c>
      <c r="O18" s="25">
        <f t="dataTable" ref="O18:Y28" dt2D="1" dtr="1" r1="P2" r2="P1" ca="1"/>
        <v>25.941908884765965</v>
      </c>
      <c r="P18" s="25">
        <v>11.56989352349836</v>
      </c>
      <c r="Q18" s="25">
        <v>25.32073651410419</v>
      </c>
      <c r="R18" s="25">
        <v>16.204710379769303</v>
      </c>
      <c r="S18" s="25">
        <v>12.03851155032716</v>
      </c>
      <c r="T18" s="25">
        <v>25.51793673131376</v>
      </c>
      <c r="U18" s="25">
        <v>26.749101868033502</v>
      </c>
      <c r="V18" s="25">
        <v>9.9866921063630283</v>
      </c>
      <c r="W18" s="25">
        <v>16.18356031751021</v>
      </c>
      <c r="X18" s="25">
        <v>12.514134689778754</v>
      </c>
      <c r="Y18" s="25">
        <v>38.194805194805099</v>
      </c>
    </row>
    <row r="19" spans="1:26" x14ac:dyDescent="0.2">
      <c r="A19" s="24">
        <f>[2]ArdiData!A19</f>
        <v>17</v>
      </c>
      <c r="B19" s="135">
        <f ca="1">ROUND('0.ArdiData'!C19/10,0)</f>
        <v>555</v>
      </c>
      <c r="C19" s="150">
        <f t="shared" ca="1" si="3"/>
        <v>481.59616088867188</v>
      </c>
      <c r="D19" s="41">
        <f t="shared" ca="1" si="4"/>
        <v>73.403839111328125</v>
      </c>
      <c r="E19" s="41">
        <f t="shared" ca="1" si="5"/>
        <v>73.403839111328125</v>
      </c>
      <c r="F19" s="41">
        <f ca="1">AVERAGE($E$4:E19)</f>
        <v>57.099874496459961</v>
      </c>
      <c r="G19" s="25">
        <f t="shared" ca="1" si="6"/>
        <v>481.09917043710686</v>
      </c>
      <c r="H19" s="135">
        <f t="shared" ca="1" si="7"/>
        <v>36.702265989625609</v>
      </c>
      <c r="I19" s="135">
        <f t="shared" ca="1" si="0"/>
        <v>517.80143642673249</v>
      </c>
      <c r="J19" s="134">
        <f t="shared" ca="1" si="1"/>
        <v>37.198563573267506</v>
      </c>
      <c r="K19" s="134">
        <f t="shared" ca="1" si="2"/>
        <v>37.198563573267506</v>
      </c>
      <c r="L19" s="131">
        <f ca="1">AVERAGE($K$3:K19)</f>
        <v>21.041077515767498</v>
      </c>
      <c r="M19" s="131">
        <f ca="1">SUM(J$3:J19)/L19</f>
        <v>-1.9273002117914055</v>
      </c>
      <c r="N19" s="25">
        <v>0.1</v>
      </c>
      <c r="O19" s="25">
        <v>20.112296729739249</v>
      </c>
      <c r="P19" s="25">
        <v>22.731654587661989</v>
      </c>
      <c r="Q19" s="25">
        <v>23.041255886836005</v>
      </c>
      <c r="R19" s="25">
        <v>26.316446262535106</v>
      </c>
      <c r="S19" s="25">
        <v>11.255029495664131</v>
      </c>
      <c r="T19" s="25">
        <v>17.653762230050354</v>
      </c>
      <c r="U19" s="25">
        <v>9.4996928678688803</v>
      </c>
      <c r="V19" s="25">
        <v>4.8580038535059051</v>
      </c>
      <c r="W19" s="25">
        <v>14.132940250842228</v>
      </c>
      <c r="X19" s="25">
        <v>8.9061640185284787</v>
      </c>
      <c r="Y19" s="25">
        <v>5.1532898320095981</v>
      </c>
    </row>
    <row r="20" spans="1:26" x14ac:dyDescent="0.2">
      <c r="A20" s="24">
        <f>[2]ArdiData!A20</f>
        <v>18</v>
      </c>
      <c r="B20" s="135">
        <f ca="1">ROUND('0.ArdiData'!C20/10,0)</f>
        <v>531</v>
      </c>
      <c r="C20" s="150">
        <f t="shared" ca="1" si="3"/>
        <v>518.29808044433594</v>
      </c>
      <c r="D20" s="41">
        <f t="shared" ca="1" si="4"/>
        <v>12.701919555664063</v>
      </c>
      <c r="E20" s="41">
        <f t="shared" ca="1" si="5"/>
        <v>12.701919555664063</v>
      </c>
      <c r="F20" s="41">
        <f ca="1">AVERAGE($E$4:E20)</f>
        <v>54.488230088177851</v>
      </c>
      <c r="G20" s="25">
        <f t="shared" ca="1" si="6"/>
        <v>536.40071821336619</v>
      </c>
      <c r="H20" s="135">
        <f t="shared" ca="1" si="7"/>
        <v>6.3511329948128044</v>
      </c>
      <c r="I20" s="135">
        <f t="shared" ca="1" si="0"/>
        <v>542.751851208179</v>
      </c>
      <c r="J20" s="134">
        <f t="shared" ca="1" si="1"/>
        <v>-11.751851208179005</v>
      </c>
      <c r="K20" s="134">
        <f t="shared" ca="1" si="2"/>
        <v>11.751851208179005</v>
      </c>
      <c r="L20" s="131">
        <f ca="1">AVERAGE($K$3:K20)</f>
        <v>20.525009387568137</v>
      </c>
      <c r="M20" s="131">
        <f ca="1">SUM(J$3:J20)/L20</f>
        <v>-2.5483215804187389</v>
      </c>
      <c r="N20" s="25">
        <v>0.2</v>
      </c>
      <c r="O20" s="25">
        <v>19.979375654887995</v>
      </c>
      <c r="P20" s="25">
        <v>26.08863158290778</v>
      </c>
      <c r="Q20" s="25">
        <v>9.7865311320837876</v>
      </c>
      <c r="R20" s="25">
        <v>9.8630669837013745</v>
      </c>
      <c r="S20" s="25">
        <v>10.267432006034481</v>
      </c>
      <c r="T20" s="25">
        <v>15.327619609709778</v>
      </c>
      <c r="U20" s="25">
        <v>10.650709488268857</v>
      </c>
      <c r="V20" s="25">
        <v>6.3717230692487306</v>
      </c>
      <c r="W20" s="25">
        <v>8.3011459980956577</v>
      </c>
      <c r="X20" s="25">
        <v>8.7616425668025197</v>
      </c>
      <c r="Y20" s="25">
        <v>7.7622069152215163</v>
      </c>
    </row>
    <row r="21" spans="1:26" x14ac:dyDescent="0.2">
      <c r="A21" s="24">
        <f>[2]ArdiData!A21</f>
        <v>19</v>
      </c>
      <c r="B21" s="135">
        <f ca="1">ROUND('0.ArdiData'!C21/10,0)</f>
        <v>579</v>
      </c>
      <c r="C21" s="150">
        <f t="shared" ca="1" si="3"/>
        <v>524.64904022216797</v>
      </c>
      <c r="D21" s="41">
        <f t="shared" ca="1" si="4"/>
        <v>54.350959777832031</v>
      </c>
      <c r="E21" s="41">
        <f t="shared" ca="1" si="5"/>
        <v>54.350959777832031</v>
      </c>
      <c r="F21" s="41">
        <f ca="1">AVERAGE($E$4:E21)</f>
        <v>54.480603959825302</v>
      </c>
      <c r="G21" s="25">
        <f t="shared" ca="1" si="6"/>
        <v>536.8759256040895</v>
      </c>
      <c r="H21" s="135">
        <f t="shared" ca="1" si="7"/>
        <v>27.1755664974064</v>
      </c>
      <c r="I21" s="135">
        <f t="shared" ca="1" si="0"/>
        <v>564.05149210149591</v>
      </c>
      <c r="J21" s="134">
        <f t="shared" ca="1" si="1"/>
        <v>14.94850789850409</v>
      </c>
      <c r="K21" s="134">
        <f t="shared" ca="1" si="2"/>
        <v>14.94850789850409</v>
      </c>
      <c r="L21" s="131">
        <f ca="1">AVERAGE($K$3:K21)</f>
        <v>20.231509309196344</v>
      </c>
      <c r="M21" s="131">
        <f ca="1">SUM(J$3:J21)/L21</f>
        <v>-1.8464176790385431</v>
      </c>
      <c r="N21" s="25">
        <v>0.3</v>
      </c>
      <c r="O21" s="25">
        <v>23.147480869947977</v>
      </c>
      <c r="P21" s="25">
        <v>19.330325901292419</v>
      </c>
      <c r="Q21" s="25">
        <v>25.764687040697545</v>
      </c>
      <c r="R21" s="25">
        <v>17.698478317234397</v>
      </c>
      <c r="S21" s="25">
        <v>21.380944825241389</v>
      </c>
      <c r="T21" s="25">
        <v>19.73211766872037</v>
      </c>
      <c r="U21" s="25">
        <v>11.18170099394132</v>
      </c>
      <c r="V21" s="25">
        <v>9.0302963998861419</v>
      </c>
      <c r="W21" s="25">
        <v>7.0791133707722294</v>
      </c>
      <c r="X21" s="25">
        <v>4.9862346260823278</v>
      </c>
      <c r="Y21" s="25">
        <v>3.4530279883153305</v>
      </c>
    </row>
    <row r="22" spans="1:26" x14ac:dyDescent="0.2">
      <c r="A22" s="24">
        <f>[2]ArdiData!A22</f>
        <v>20</v>
      </c>
      <c r="B22" s="135">
        <f ca="1">ROUND('0.ArdiData'!C22/10,0)</f>
        <v>597</v>
      </c>
      <c r="C22" s="150">
        <f t="shared" ca="1" si="3"/>
        <v>551.82452011108398</v>
      </c>
      <c r="D22" s="41">
        <f t="shared" ca="1" si="4"/>
        <v>45.175479888916016</v>
      </c>
      <c r="E22" s="41">
        <f t="shared" ca="1" si="5"/>
        <v>45.175479888916016</v>
      </c>
      <c r="F22" s="41">
        <f ca="1">AVERAGE($E$4:E22)</f>
        <v>53.990860587672181</v>
      </c>
      <c r="G22" s="25">
        <f t="shared" ca="1" si="6"/>
        <v>571.52574605074801</v>
      </c>
      <c r="H22" s="135">
        <f t="shared" ca="1" si="7"/>
        <v>22.5877832487032</v>
      </c>
      <c r="I22" s="135">
        <f t="shared" ca="1" si="0"/>
        <v>594.11352929945122</v>
      </c>
      <c r="J22" s="134">
        <f t="shared" ca="1" si="1"/>
        <v>2.8864707005487844</v>
      </c>
      <c r="K22" s="134">
        <f t="shared" ca="1" si="2"/>
        <v>2.8864707005487844</v>
      </c>
      <c r="L22" s="131">
        <f ca="1">AVERAGE($K$3:K22)</f>
        <v>19.364257378763966</v>
      </c>
      <c r="M22" s="131">
        <f ca="1">SUM(J$3:J22)/L22</f>
        <v>-1.7800499697646763</v>
      </c>
      <c r="N22" s="25">
        <v>0.4</v>
      </c>
      <c r="O22" s="25">
        <v>20.964284853425479</v>
      </c>
      <c r="P22" s="25">
        <v>32.976914060807403</v>
      </c>
      <c r="Q22" s="25">
        <v>26.847603128257724</v>
      </c>
      <c r="R22" s="25">
        <v>16.126953122265459</v>
      </c>
      <c r="S22" s="25">
        <v>19.893928377752314</v>
      </c>
      <c r="T22" s="25">
        <v>13.813314265833831</v>
      </c>
      <c r="U22" s="25">
        <v>14.371761826477155</v>
      </c>
      <c r="V22" s="25">
        <v>8.009801192098811</v>
      </c>
      <c r="W22" s="25">
        <v>6.5339721274674085</v>
      </c>
      <c r="X22" s="25">
        <v>5.8422300314756752</v>
      </c>
      <c r="Y22" s="25">
        <v>1.6841518810788019</v>
      </c>
    </row>
    <row r="23" spans="1:26" x14ac:dyDescent="0.2">
      <c r="A23" s="24">
        <f>[2]ArdiData!A23</f>
        <v>21</v>
      </c>
      <c r="B23" s="135">
        <f ca="1">ROUND('0.ArdiData'!C23/10,0)</f>
        <v>722</v>
      </c>
      <c r="C23" s="150">
        <f t="shared" ca="1" si="3"/>
        <v>574.41226005554199</v>
      </c>
      <c r="D23" s="41">
        <f t="shared" ca="1" si="4"/>
        <v>147.58773994445801</v>
      </c>
      <c r="E23" s="41">
        <f t="shared" ca="1" si="5"/>
        <v>147.58773994445801</v>
      </c>
      <c r="F23" s="149">
        <f ca="1">AVERAGE($E$4:E23)</f>
        <v>58.670704555511477</v>
      </c>
      <c r="G23" s="25">
        <f t="shared" ca="1" si="6"/>
        <v>595.55676464972566</v>
      </c>
      <c r="H23" s="135">
        <f t="shared" ca="1" si="7"/>
        <v>73.793891624351602</v>
      </c>
      <c r="I23" s="135">
        <f t="shared" ca="1" si="0"/>
        <v>669.35065627407721</v>
      </c>
      <c r="J23" s="134">
        <f t="shared" ca="1" si="1"/>
        <v>52.64934372592279</v>
      </c>
      <c r="K23" s="134">
        <f t="shared" ca="1" si="2"/>
        <v>52.64934372592279</v>
      </c>
      <c r="L23" s="131">
        <f ca="1">AVERAGE($K$3:K23)</f>
        <v>20.949261490533434</v>
      </c>
      <c r="M23" s="131">
        <f ca="1">SUM(J$3:J23)/L23</f>
        <v>0.86781092367164214</v>
      </c>
      <c r="N23" s="25">
        <v>0.5</v>
      </c>
      <c r="O23" s="25">
        <v>25.237265359197938</v>
      </c>
      <c r="P23" s="25">
        <v>18.358359950673997</v>
      </c>
      <c r="Q23" s="25">
        <v>15.810069262617644</v>
      </c>
      <c r="R23" s="25">
        <v>26.538452311568406</v>
      </c>
      <c r="S23" s="25">
        <v>26.790047068035879</v>
      </c>
      <c r="T23" s="25">
        <v>12.48674904605674</v>
      </c>
      <c r="U23" s="25">
        <v>11.655662553781379</v>
      </c>
      <c r="V23" s="25">
        <v>8.7324330417228744</v>
      </c>
      <c r="W23" s="25">
        <v>8.3736565450082221</v>
      </c>
      <c r="X23" s="25">
        <v>4.5921199382698763</v>
      </c>
      <c r="Y23" s="25">
        <v>2.1822294273761864</v>
      </c>
    </row>
    <row r="24" spans="1:26" x14ac:dyDescent="0.2">
      <c r="N24" s="25">
        <v>0.6</v>
      </c>
      <c r="O24" s="25">
        <v>25.947194910267594</v>
      </c>
      <c r="P24" s="25">
        <v>18.837695448178255</v>
      </c>
      <c r="Q24" s="25">
        <v>22.190555488872047</v>
      </c>
      <c r="R24" s="25">
        <v>13.981358897513294</v>
      </c>
      <c r="S24" s="25">
        <v>14.904037380878998</v>
      </c>
      <c r="T24" s="25">
        <v>8.8280159616625919</v>
      </c>
      <c r="U24" s="25">
        <v>12.84235392818592</v>
      </c>
      <c r="V24" s="25">
        <v>4.8965576494622569</v>
      </c>
      <c r="W24" s="25">
        <v>9.7098396968730452</v>
      </c>
      <c r="X24" s="25">
        <v>4.3244180669607699</v>
      </c>
      <c r="Y24" s="25">
        <v>1.609977317182286</v>
      </c>
    </row>
    <row r="25" spans="1:26" x14ac:dyDescent="0.2">
      <c r="N25" s="25">
        <v>0.7</v>
      </c>
      <c r="O25" s="25">
        <v>38.265610268530395</v>
      </c>
      <c r="P25" s="25">
        <v>24.070046834571716</v>
      </c>
      <c r="Q25" s="25">
        <v>14.226963898620625</v>
      </c>
      <c r="R25" s="25">
        <v>18.645882970189739</v>
      </c>
      <c r="S25" s="25">
        <v>25.108747333105981</v>
      </c>
      <c r="T25" s="25">
        <v>21.240689869925074</v>
      </c>
      <c r="U25" s="25">
        <v>10.7485084550929</v>
      </c>
      <c r="V25" s="25">
        <v>11.247670261239117</v>
      </c>
      <c r="W25" s="25">
        <v>5.3156461656270748</v>
      </c>
      <c r="X25" s="25">
        <v>5.1234192213151637</v>
      </c>
      <c r="Y25" s="25">
        <v>1.0142238713561098</v>
      </c>
    </row>
    <row r="26" spans="1:26" x14ac:dyDescent="0.2">
      <c r="N26" s="25">
        <v>0.8</v>
      </c>
      <c r="O26" s="25">
        <v>38.5608179915547</v>
      </c>
      <c r="P26" s="25">
        <v>21.419173864993766</v>
      </c>
      <c r="Q26" s="25">
        <v>17.333269938078551</v>
      </c>
      <c r="R26" s="25">
        <v>29.639294856598667</v>
      </c>
      <c r="S26" s="25">
        <v>25.575644353542231</v>
      </c>
      <c r="T26" s="25">
        <v>14.354002176137747</v>
      </c>
      <c r="U26" s="25">
        <v>21.757306660107254</v>
      </c>
      <c r="V26" s="25">
        <v>16.937528764608185</v>
      </c>
      <c r="W26" s="25">
        <v>10.928222994544965</v>
      </c>
      <c r="X26" s="25">
        <v>6.5299587873027649</v>
      </c>
      <c r="Y26" s="25">
        <v>0.42929292929290563</v>
      </c>
    </row>
    <row r="27" spans="1:26" x14ac:dyDescent="0.2">
      <c r="N27" s="25">
        <v>0.9</v>
      </c>
      <c r="O27" s="25">
        <v>35.62958645323851</v>
      </c>
      <c r="P27" s="25">
        <v>22.509631241288382</v>
      </c>
      <c r="Q27" s="25">
        <v>17.383073613028458</v>
      </c>
      <c r="R27" s="25">
        <v>11.364246960699104</v>
      </c>
      <c r="S27" s="25">
        <v>12.411104064632221</v>
      </c>
      <c r="T27" s="25">
        <v>19.679206435976557</v>
      </c>
      <c r="U27" s="25">
        <v>14.237653480973382</v>
      </c>
      <c r="V27" s="25">
        <v>10.075008402647981</v>
      </c>
      <c r="W27" s="25">
        <v>9.6198960600175063</v>
      </c>
      <c r="X27" s="25">
        <v>6.9454278103301261</v>
      </c>
      <c r="Y27" s="25">
        <v>0.61751299846537899</v>
      </c>
    </row>
    <row r="28" spans="1:26" x14ac:dyDescent="0.2">
      <c r="C28" s="59" t="s">
        <v>121</v>
      </c>
      <c r="N28" s="25">
        <v>1</v>
      </c>
      <c r="O28" s="25">
        <v>18.322077922077924</v>
      </c>
      <c r="P28" s="25">
        <v>30.575240170979868</v>
      </c>
      <c r="Q28" s="25">
        <v>31.522824750471472</v>
      </c>
      <c r="R28" s="25">
        <v>25.308939547035738</v>
      </c>
      <c r="S28" s="25">
        <v>26.048192598272419</v>
      </c>
      <c r="T28" s="25">
        <v>21.000661955054721</v>
      </c>
      <c r="U28" s="25">
        <v>16.383227012180363</v>
      </c>
      <c r="V28" s="25">
        <v>9.3831456417363341</v>
      </c>
      <c r="W28" s="25">
        <v>11.149640756439677</v>
      </c>
      <c r="X28" s="25">
        <v>5.8166831676643449</v>
      </c>
      <c r="Y28" s="25">
        <v>1.6685219542362391</v>
      </c>
    </row>
    <row r="29" spans="1:26" x14ac:dyDescent="0.2">
      <c r="Z29" s="148">
        <f>MIN(O18:Y28)</f>
        <v>0.42929292929290563</v>
      </c>
    </row>
    <row r="30" spans="1:26" x14ac:dyDescent="0.2">
      <c r="G30" s="59" t="s">
        <v>120</v>
      </c>
    </row>
    <row r="31" spans="1:26" x14ac:dyDescent="0.2">
      <c r="G31" s="25">
        <v>963.15548157519095</v>
      </c>
    </row>
    <row r="32" spans="1:26" x14ac:dyDescent="0.2">
      <c r="G32" s="25">
        <v>1493.3384644848786</v>
      </c>
    </row>
    <row r="33" spans="7:7" x14ac:dyDescent="0.2">
      <c r="G33" s="25">
        <v>1264.8332605620974</v>
      </c>
    </row>
    <row r="34" spans="7:7" x14ac:dyDescent="0.2">
      <c r="G34" s="25">
        <v>1191.8832101847142</v>
      </c>
    </row>
    <row r="35" spans="7:7" x14ac:dyDescent="0.2">
      <c r="G35" s="25">
        <v>1697.9527967726167</v>
      </c>
    </row>
    <row r="36" spans="7:7" x14ac:dyDescent="0.2">
      <c r="G36" s="25">
        <v>1509.8728747997</v>
      </c>
    </row>
    <row r="37" spans="7:7" x14ac:dyDescent="0.2">
      <c r="G37" s="25">
        <v>1332.1230954034852</v>
      </c>
    </row>
    <row r="38" spans="7:7" x14ac:dyDescent="0.2">
      <c r="G38" s="25">
        <v>1425.4365999529061</v>
      </c>
    </row>
    <row r="39" spans="7:7" x14ac:dyDescent="0.2">
      <c r="G39" s="25">
        <v>1458.1009054435947</v>
      </c>
    </row>
    <row r="40" spans="7:7" x14ac:dyDescent="0.2">
      <c r="G40" s="25">
        <v>1743.5313252612307</v>
      </c>
    </row>
    <row r="41" spans="7:7" x14ac:dyDescent="0.2">
      <c r="G41" s="25">
        <v>1531.7976010456621</v>
      </c>
    </row>
    <row r="42" spans="7:7" x14ac:dyDescent="0.2">
      <c r="G42" s="25">
        <v>2044.3582999968971</v>
      </c>
    </row>
    <row r="43" spans="7:7" x14ac:dyDescent="0.2">
      <c r="G43" s="25">
        <v>1703.4172980150627</v>
      </c>
    </row>
    <row r="44" spans="7:7" x14ac:dyDescent="0.2">
      <c r="G44" s="25">
        <v>2298.0240716391145</v>
      </c>
    </row>
    <row r="45" spans="7:7" x14ac:dyDescent="0.2">
      <c r="G45" s="25">
        <v>2421.4191904794839</v>
      </c>
    </row>
    <row r="46" spans="7:7" x14ac:dyDescent="0.2">
      <c r="G46" s="25">
        <v>1873.4439960140373</v>
      </c>
    </row>
    <row r="47" spans="7:7" x14ac:dyDescent="0.2">
      <c r="G47" s="25">
        <v>1902.2676412916496</v>
      </c>
    </row>
    <row r="48" spans="7:7" x14ac:dyDescent="0.2">
      <c r="G48" s="25">
        <v>1954.6003960807061</v>
      </c>
    </row>
    <row r="49" spans="7:7" x14ac:dyDescent="0.2">
      <c r="G49" s="25">
        <v>2350.5232634011691</v>
      </c>
    </row>
    <row r="50" spans="7:7" x14ac:dyDescent="0.2">
      <c r="G50" s="25">
        <v>2377.6825272441906</v>
      </c>
    </row>
    <row r="51" spans="7:7" x14ac:dyDescent="0.2">
      <c r="G51" s="25">
        <v>3067.1892163631896</v>
      </c>
    </row>
  </sheetData>
  <conditionalFormatting sqref="N6:N15 N18:N28">
    <cfRule type="expression" dxfId="8" priority="3">
      <formula>$O5=$O$16</formula>
    </cfRule>
  </conditionalFormatting>
  <conditionalFormatting sqref="O6:O15">
    <cfRule type="cellIs" dxfId="7" priority="2" operator="equal">
      <formula>$Y$16</formula>
    </cfRule>
  </conditionalFormatting>
  <conditionalFormatting sqref="O18:Y28">
    <cfRule type="cellIs" dxfId="6" priority="1" operator="equal">
      <formula>$Z$29</formula>
    </cfRule>
  </conditionalFormatting>
  <conditionalFormatting sqref="O5:O15">
    <cfRule type="cellIs" dxfId="5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"/>
  <sheetViews>
    <sheetView workbookViewId="0">
      <selection sqref="A1:H13"/>
    </sheetView>
  </sheetViews>
  <sheetFormatPr defaultRowHeight="15" x14ac:dyDescent="0.2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 x14ac:dyDescent="0.25">
      <c r="A1" s="170" t="s">
        <v>136</v>
      </c>
      <c r="B1" s="27">
        <v>1</v>
      </c>
      <c r="C1" s="169">
        <v>8000</v>
      </c>
    </row>
    <row r="2" spans="1:7" x14ac:dyDescent="0.25">
      <c r="A2" s="158" t="s">
        <v>135</v>
      </c>
      <c r="B2" s="40">
        <v>2</v>
      </c>
      <c r="C2" s="161">
        <v>13000</v>
      </c>
    </row>
    <row r="3" spans="1:7" x14ac:dyDescent="0.25">
      <c r="A3" s="158" t="s">
        <v>134</v>
      </c>
      <c r="B3" s="40">
        <v>3</v>
      </c>
      <c r="C3" s="161">
        <v>23000</v>
      </c>
      <c r="D3">
        <f t="shared" ref="D3:D10" si="0">(C1+2*(C2+C3+C4)+C5)/8</f>
        <v>19750</v>
      </c>
      <c r="E3" s="160">
        <f t="shared" ref="E3:E10" si="1">C3/D3</f>
        <v>1.1645569620253164</v>
      </c>
      <c r="F3" s="165">
        <f t="shared" ref="F3:F10" si="2">C3/D3</f>
        <v>1.1645569620253164</v>
      </c>
    </row>
    <row r="4" spans="1:7" x14ac:dyDescent="0.25">
      <c r="A4" s="158" t="s">
        <v>133</v>
      </c>
      <c r="B4" s="40">
        <v>4</v>
      </c>
      <c r="C4" s="161">
        <v>34000</v>
      </c>
      <c r="D4">
        <f t="shared" si="0"/>
        <v>20625</v>
      </c>
      <c r="E4" s="160">
        <f t="shared" si="1"/>
        <v>1.6484848484848484</v>
      </c>
      <c r="F4" s="163">
        <f t="shared" si="2"/>
        <v>1.6484848484848484</v>
      </c>
      <c r="G4" s="168">
        <f>(F4+F8)/2</f>
        <v>1.682999486389317</v>
      </c>
    </row>
    <row r="5" spans="1:7" x14ac:dyDescent="0.25">
      <c r="A5" s="158" t="s">
        <v>132</v>
      </c>
      <c r="B5" s="40">
        <v>5</v>
      </c>
      <c r="C5" s="161">
        <v>10000</v>
      </c>
      <c r="D5">
        <f t="shared" si="0"/>
        <v>21250</v>
      </c>
      <c r="E5" s="160">
        <f t="shared" si="1"/>
        <v>0.47058823529411764</v>
      </c>
      <c r="F5" s="162">
        <f t="shared" si="2"/>
        <v>0.47058823529411764</v>
      </c>
      <c r="G5" s="167">
        <f>(F5+F9)/2</f>
        <v>0.50048748781280472</v>
      </c>
    </row>
    <row r="6" spans="1:7" x14ac:dyDescent="0.25">
      <c r="A6" s="158" t="s">
        <v>131</v>
      </c>
      <c r="B6" s="40">
        <v>6</v>
      </c>
      <c r="C6" s="161">
        <v>18000</v>
      </c>
      <c r="D6">
        <f t="shared" si="0"/>
        <v>21750</v>
      </c>
      <c r="E6" s="160">
        <f t="shared" si="1"/>
        <v>0.82758620689655171</v>
      </c>
      <c r="F6" s="159">
        <f t="shared" si="2"/>
        <v>0.82758620689655171</v>
      </c>
      <c r="G6" s="166">
        <f>(F6+F10)/2</f>
        <v>0.68322315526174737</v>
      </c>
    </row>
    <row r="7" spans="1:7" x14ac:dyDescent="0.25">
      <c r="A7" s="158" t="s">
        <v>130</v>
      </c>
      <c r="B7" s="40">
        <v>7</v>
      </c>
      <c r="C7" s="161">
        <v>23000</v>
      </c>
      <c r="D7">
        <f t="shared" si="0"/>
        <v>22500</v>
      </c>
      <c r="E7" s="160">
        <f t="shared" si="1"/>
        <v>1.0222222222222221</v>
      </c>
      <c r="F7" s="165">
        <f t="shared" si="2"/>
        <v>1.0222222222222221</v>
      </c>
      <c r="G7" s="164">
        <f>(F7+F3)/2</f>
        <v>1.0933895921237693</v>
      </c>
    </row>
    <row r="8" spans="1:7" x14ac:dyDescent="0.25">
      <c r="A8" s="158" t="s">
        <v>129</v>
      </c>
      <c r="B8" s="40">
        <v>8</v>
      </c>
      <c r="C8" s="161">
        <v>38000</v>
      </c>
      <c r="D8">
        <f t="shared" si="0"/>
        <v>22125</v>
      </c>
      <c r="E8" s="160">
        <f t="shared" si="1"/>
        <v>1.7175141242937852</v>
      </c>
      <c r="F8" s="163">
        <f t="shared" si="2"/>
        <v>1.7175141242937852</v>
      </c>
    </row>
    <row r="9" spans="1:7" x14ac:dyDescent="0.25">
      <c r="A9" s="158" t="s">
        <v>128</v>
      </c>
      <c r="B9" s="40">
        <v>9</v>
      </c>
      <c r="C9" s="161">
        <v>12000</v>
      </c>
      <c r="D9">
        <f t="shared" si="0"/>
        <v>22625</v>
      </c>
      <c r="E9" s="160">
        <f t="shared" si="1"/>
        <v>0.53038674033149169</v>
      </c>
      <c r="F9" s="162">
        <f t="shared" si="2"/>
        <v>0.53038674033149169</v>
      </c>
    </row>
    <row r="10" spans="1:7" x14ac:dyDescent="0.25">
      <c r="A10" s="158" t="s">
        <v>127</v>
      </c>
      <c r="B10" s="40">
        <v>10</v>
      </c>
      <c r="C10" s="161">
        <v>13000</v>
      </c>
      <c r="D10">
        <f t="shared" si="0"/>
        <v>24125</v>
      </c>
      <c r="E10" s="160">
        <f t="shared" si="1"/>
        <v>0.53886010362694303</v>
      </c>
      <c r="F10" s="159">
        <f t="shared" si="2"/>
        <v>0.53886010362694303</v>
      </c>
    </row>
    <row r="11" spans="1:7" x14ac:dyDescent="0.25">
      <c r="A11" s="158" t="s">
        <v>126</v>
      </c>
      <c r="B11" s="40">
        <v>11</v>
      </c>
      <c r="C11" s="157">
        <v>32000</v>
      </c>
    </row>
    <row r="12" spans="1:7" ht="15.75" thickBot="1" x14ac:dyDescent="0.3">
      <c r="A12" s="156" t="s">
        <v>125</v>
      </c>
      <c r="B12" s="53">
        <v>12</v>
      </c>
      <c r="C12" s="155">
        <v>41000</v>
      </c>
    </row>
  </sheetData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workbookViewId="0">
      <selection activeCell="AA25" sqref="AA25"/>
    </sheetView>
  </sheetViews>
  <sheetFormatPr defaultRowHeight="12.75" x14ac:dyDescent="0.2"/>
  <cols>
    <col min="1" max="1" width="4.42578125" style="25" bestFit="1" customWidth="1"/>
    <col min="2" max="5" width="9.140625" style="25"/>
    <col min="6" max="6" width="10.7109375" style="25" bestFit="1" customWidth="1"/>
    <col min="7" max="8" width="5" style="25" bestFit="1" customWidth="1"/>
    <col min="9" max="9" width="9.7109375" style="25" bestFit="1" customWidth="1"/>
    <col min="10" max="10" width="5.85546875" style="25" bestFit="1" customWidth="1"/>
    <col min="11" max="11" width="4.7109375" style="25" bestFit="1" customWidth="1"/>
    <col min="12" max="12" width="8.5703125" style="25" bestFit="1" customWidth="1"/>
    <col min="13" max="16384" width="9.140625" style="25"/>
  </cols>
  <sheetData>
    <row r="1" spans="1:17" ht="13.5" thickBot="1" x14ac:dyDescent="0.25">
      <c r="A1" s="24" t="s">
        <v>36</v>
      </c>
      <c r="B1" s="25" t="s">
        <v>37</v>
      </c>
      <c r="C1" s="25" t="s">
        <v>38</v>
      </c>
      <c r="D1" s="25" t="s">
        <v>39</v>
      </c>
      <c r="F1" s="26" t="s">
        <v>40</v>
      </c>
      <c r="G1" s="26" t="s">
        <v>41</v>
      </c>
      <c r="H1" s="26" t="s">
        <v>42</v>
      </c>
      <c r="I1" s="26" t="s">
        <v>43</v>
      </c>
      <c r="J1" s="26" t="s">
        <v>44</v>
      </c>
      <c r="K1" s="26" t="s">
        <v>45</v>
      </c>
      <c r="L1" s="26" t="s">
        <v>46</v>
      </c>
    </row>
    <row r="2" spans="1:17" ht="13.5" thickBot="1" x14ac:dyDescent="0.25">
      <c r="F2" s="27" t="str">
        <f>G2&amp;" - "&amp;H2</f>
        <v>100 - 200</v>
      </c>
      <c r="G2" s="28">
        <v>100</v>
      </c>
      <c r="H2" s="29">
        <f>G2+100</f>
        <v>200</v>
      </c>
      <c r="I2" s="30">
        <f t="shared" ref="I2:I14" si="0">COUNTIF($C$3:$C$77, "&lt;"&amp;H2)</f>
        <v>1</v>
      </c>
      <c r="J2" s="29">
        <f>I2</f>
        <v>1</v>
      </c>
      <c r="K2" s="31">
        <f>J2/$J$15</f>
        <v>1.3333333333333334E-2</v>
      </c>
      <c r="L2" s="32">
        <f>I2/$J$15</f>
        <v>1.3333333333333334E-2</v>
      </c>
      <c r="N2" s="33" t="s">
        <v>47</v>
      </c>
      <c r="O2" s="34">
        <f>AVERAGE(B$3:B$77)</f>
        <v>549.66666666666663</v>
      </c>
      <c r="P2" s="34">
        <f>AVERAGE(C$3:C$77)</f>
        <v>549.66666666666663</v>
      </c>
      <c r="Q2" s="35">
        <f>AVERAGE(D$3:D$77)</f>
        <v>549.66666666666663</v>
      </c>
    </row>
    <row r="3" spans="1:17" ht="13.5" thickBot="1" x14ac:dyDescent="0.25">
      <c r="A3" s="36">
        <v>1</v>
      </c>
      <c r="B3" s="37">
        <v>495</v>
      </c>
      <c r="C3" s="38">
        <v>176</v>
      </c>
      <c r="D3" s="39">
        <v>346</v>
      </c>
      <c r="F3" s="40" t="str">
        <f t="shared" ref="F3:F14" si="1">G3&amp;" - "&amp;H3</f>
        <v>200 - 300</v>
      </c>
      <c r="G3" s="41">
        <f>H2</f>
        <v>200</v>
      </c>
      <c r="H3" s="41">
        <f t="shared" ref="H3:H14" si="2">G3+100</f>
        <v>300</v>
      </c>
      <c r="I3" s="30">
        <f t="shared" si="0"/>
        <v>11</v>
      </c>
      <c r="J3" s="41">
        <f>I3-I2</f>
        <v>10</v>
      </c>
      <c r="K3" s="42">
        <f t="shared" ref="K3:K14" si="3">J3/$J$15</f>
        <v>0.13333333333333333</v>
      </c>
      <c r="L3" s="43">
        <f t="shared" ref="L3:L14" si="4">I3/$J$15</f>
        <v>0.14666666666666667</v>
      </c>
      <c r="N3" s="44" t="s">
        <v>48</v>
      </c>
      <c r="O3" s="45">
        <f>MAX(B$3:B$77)</f>
        <v>1330</v>
      </c>
      <c r="P3" s="45">
        <f>MAX(C$3:C$77)</f>
        <v>1330</v>
      </c>
      <c r="Q3" s="46">
        <f>MAX(D$3:D$77)</f>
        <v>1330</v>
      </c>
    </row>
    <row r="4" spans="1:17" ht="13.5" thickBot="1" x14ac:dyDescent="0.25">
      <c r="A4" s="36">
        <v>2</v>
      </c>
      <c r="B4" s="47">
        <v>204</v>
      </c>
      <c r="C4" s="48">
        <v>204</v>
      </c>
      <c r="D4" s="49">
        <v>775</v>
      </c>
      <c r="F4" s="40" t="str">
        <f t="shared" si="1"/>
        <v>300 - 400</v>
      </c>
      <c r="G4" s="41">
        <f t="shared" ref="G4:G13" si="5">H3</f>
        <v>300</v>
      </c>
      <c r="H4" s="41">
        <f t="shared" si="2"/>
        <v>400</v>
      </c>
      <c r="I4" s="30">
        <f t="shared" si="0"/>
        <v>24</v>
      </c>
      <c r="J4" s="41">
        <f t="shared" ref="J4:J14" si="6">I4-I3</f>
        <v>13</v>
      </c>
      <c r="K4" s="42">
        <f t="shared" si="3"/>
        <v>0.17333333333333334</v>
      </c>
      <c r="L4" s="43">
        <f t="shared" si="4"/>
        <v>0.32</v>
      </c>
      <c r="N4" s="44" t="s">
        <v>49</v>
      </c>
      <c r="O4" s="45">
        <f>MIN(B$3:B$77)</f>
        <v>176</v>
      </c>
      <c r="P4" s="45">
        <f>MIN(C$3:C$77)</f>
        <v>176</v>
      </c>
      <c r="Q4" s="46">
        <f>MIN(D$3:D$77)</f>
        <v>176</v>
      </c>
    </row>
    <row r="5" spans="1:17" ht="13.5" thickBot="1" x14ac:dyDescent="0.25">
      <c r="A5" s="36">
        <v>3</v>
      </c>
      <c r="B5" s="47">
        <v>318</v>
      </c>
      <c r="C5" s="48">
        <v>218</v>
      </c>
      <c r="D5" s="49">
        <v>572</v>
      </c>
      <c r="F5" s="40" t="str">
        <f t="shared" si="1"/>
        <v>400 - 500</v>
      </c>
      <c r="G5" s="41">
        <f t="shared" si="5"/>
        <v>400</v>
      </c>
      <c r="H5" s="41">
        <f t="shared" si="2"/>
        <v>500</v>
      </c>
      <c r="I5" s="30">
        <f t="shared" si="0"/>
        <v>33</v>
      </c>
      <c r="J5" s="41">
        <f t="shared" si="6"/>
        <v>9</v>
      </c>
      <c r="K5" s="42">
        <f t="shared" si="3"/>
        <v>0.12</v>
      </c>
      <c r="L5" s="43">
        <f t="shared" si="4"/>
        <v>0.44</v>
      </c>
      <c r="N5" s="44" t="s">
        <v>40</v>
      </c>
      <c r="O5" s="45">
        <f>O3-O4</f>
        <v>1154</v>
      </c>
      <c r="P5" s="45">
        <f>P3-P4</f>
        <v>1154</v>
      </c>
      <c r="Q5" s="46">
        <f>Q3-Q4</f>
        <v>1154</v>
      </c>
    </row>
    <row r="6" spans="1:17" ht="13.5" thickBot="1" x14ac:dyDescent="0.25">
      <c r="A6" s="36">
        <v>4</v>
      </c>
      <c r="B6" s="47">
        <v>802</v>
      </c>
      <c r="C6" s="48">
        <v>439</v>
      </c>
      <c r="D6" s="49">
        <v>455</v>
      </c>
      <c r="F6" s="40" t="str">
        <f t="shared" si="1"/>
        <v>500 - 600</v>
      </c>
      <c r="G6" s="41">
        <f t="shared" si="5"/>
        <v>500</v>
      </c>
      <c r="H6" s="41">
        <f t="shared" si="2"/>
        <v>600</v>
      </c>
      <c r="I6" s="30">
        <f t="shared" si="0"/>
        <v>49</v>
      </c>
      <c r="J6" s="41">
        <f t="shared" si="6"/>
        <v>16</v>
      </c>
      <c r="K6" s="42">
        <f t="shared" si="3"/>
        <v>0.21333333333333335</v>
      </c>
      <c r="L6" s="43">
        <f t="shared" si="4"/>
        <v>0.65333333333333332</v>
      </c>
      <c r="N6" s="44" t="s">
        <v>50</v>
      </c>
      <c r="O6" s="45">
        <f>_xlfn.STDEV.S(B$3:B$77)</f>
        <v>244.87626954727034</v>
      </c>
      <c r="P6" s="45">
        <f>_xlfn.STDEV.S(C$3:C$77)</f>
        <v>244.87626954727034</v>
      </c>
      <c r="Q6" s="46">
        <f>_xlfn.STDEV.S(D$3:D$77)</f>
        <v>244.87626954727034</v>
      </c>
    </row>
    <row r="7" spans="1:17" ht="13.5" thickBot="1" x14ac:dyDescent="0.25">
      <c r="A7" s="36">
        <v>5</v>
      </c>
      <c r="B7" s="47">
        <v>446</v>
      </c>
      <c r="C7" s="48">
        <v>229</v>
      </c>
      <c r="D7" s="49">
        <v>176</v>
      </c>
      <c r="F7" s="40" t="str">
        <f t="shared" si="1"/>
        <v>600 - 700</v>
      </c>
      <c r="G7" s="41">
        <f t="shared" si="5"/>
        <v>600</v>
      </c>
      <c r="H7" s="41">
        <f t="shared" si="2"/>
        <v>700</v>
      </c>
      <c r="I7" s="30">
        <f t="shared" si="0"/>
        <v>54</v>
      </c>
      <c r="J7" s="41">
        <f t="shared" si="6"/>
        <v>5</v>
      </c>
      <c r="K7" s="42">
        <f t="shared" si="3"/>
        <v>6.6666666666666666E-2</v>
      </c>
      <c r="L7" s="43">
        <f t="shared" si="4"/>
        <v>0.72</v>
      </c>
      <c r="N7" s="44" t="s">
        <v>51</v>
      </c>
      <c r="O7" s="45">
        <f>O6/O2</f>
        <v>0.44549958074094059</v>
      </c>
      <c r="P7" s="45">
        <f>P6/P2</f>
        <v>0.44549958074094059</v>
      </c>
      <c r="Q7" s="46">
        <f>Q6/Q2</f>
        <v>0.44549958074094059</v>
      </c>
    </row>
    <row r="8" spans="1:17" ht="13.5" thickBot="1" x14ac:dyDescent="0.25">
      <c r="A8" s="36">
        <v>6</v>
      </c>
      <c r="B8" s="47">
        <v>568</v>
      </c>
      <c r="C8" s="48">
        <v>249</v>
      </c>
      <c r="D8" s="49">
        <v>412</v>
      </c>
      <c r="F8" s="40" t="str">
        <f t="shared" si="1"/>
        <v>700 - 800</v>
      </c>
      <c r="G8" s="41">
        <f t="shared" si="5"/>
        <v>700</v>
      </c>
      <c r="H8" s="41">
        <f t="shared" si="2"/>
        <v>800</v>
      </c>
      <c r="I8" s="30">
        <f t="shared" si="0"/>
        <v>61</v>
      </c>
      <c r="J8" s="41">
        <f t="shared" si="6"/>
        <v>7</v>
      </c>
      <c r="K8" s="42">
        <f t="shared" si="3"/>
        <v>9.3333333333333338E-2</v>
      </c>
      <c r="L8" s="43">
        <f t="shared" si="4"/>
        <v>0.81333333333333335</v>
      </c>
      <c r="N8" s="44" t="s">
        <v>52</v>
      </c>
      <c r="O8" s="45">
        <f>O5/O2</f>
        <v>2.099454214675561</v>
      </c>
      <c r="P8" s="45">
        <f>P5/P2</f>
        <v>2.099454214675561</v>
      </c>
      <c r="Q8" s="46">
        <f>Q5/Q2</f>
        <v>2.099454214675561</v>
      </c>
    </row>
    <row r="9" spans="1:17" ht="13.5" thickBot="1" x14ac:dyDescent="0.25">
      <c r="A9" s="36">
        <v>7</v>
      </c>
      <c r="B9" s="47">
        <v>372</v>
      </c>
      <c r="C9" s="48">
        <v>227</v>
      </c>
      <c r="D9" s="49">
        <v>926</v>
      </c>
      <c r="F9" s="40" t="str">
        <f t="shared" si="1"/>
        <v>800 - 900</v>
      </c>
      <c r="G9" s="41">
        <f t="shared" si="5"/>
        <v>800</v>
      </c>
      <c r="H9" s="41">
        <f t="shared" si="2"/>
        <v>900</v>
      </c>
      <c r="I9" s="30">
        <f t="shared" si="0"/>
        <v>69</v>
      </c>
      <c r="J9" s="41">
        <f t="shared" si="6"/>
        <v>8</v>
      </c>
      <c r="K9" s="42">
        <f t="shared" si="3"/>
        <v>0.10666666666666667</v>
      </c>
      <c r="L9" s="43">
        <f t="shared" si="4"/>
        <v>0.92</v>
      </c>
      <c r="N9" s="50" t="s">
        <v>53</v>
      </c>
      <c r="O9" s="51">
        <f>SKEW(B$3:B$77)</f>
        <v>0.77576152004140142</v>
      </c>
      <c r="P9" s="51">
        <f>SKEW(C$3:C$77)</f>
        <v>0.77576152004140153</v>
      </c>
      <c r="Q9" s="52">
        <f>SKEW(D$3:D$77)</f>
        <v>0.77576152004140153</v>
      </c>
    </row>
    <row r="10" spans="1:17" ht="13.5" thickBot="1" x14ac:dyDescent="0.25">
      <c r="A10" s="36">
        <v>8</v>
      </c>
      <c r="B10" s="47">
        <v>281</v>
      </c>
      <c r="C10" s="48">
        <v>256</v>
      </c>
      <c r="D10" s="49">
        <v>710</v>
      </c>
      <c r="F10" s="40" t="str">
        <f t="shared" si="1"/>
        <v>900 - 1000</v>
      </c>
      <c r="G10" s="41">
        <f t="shared" si="5"/>
        <v>900</v>
      </c>
      <c r="H10" s="41">
        <f t="shared" si="2"/>
        <v>1000</v>
      </c>
      <c r="I10" s="30">
        <f t="shared" si="0"/>
        <v>71</v>
      </c>
      <c r="J10" s="41">
        <f t="shared" si="6"/>
        <v>2</v>
      </c>
      <c r="K10" s="42">
        <f t="shared" si="3"/>
        <v>2.6666666666666668E-2</v>
      </c>
      <c r="L10" s="43">
        <f t="shared" si="4"/>
        <v>0.94666666666666666</v>
      </c>
    </row>
    <row r="11" spans="1:17" ht="13.5" thickBot="1" x14ac:dyDescent="0.25">
      <c r="A11" s="36">
        <v>9</v>
      </c>
      <c r="B11" s="47">
        <v>676</v>
      </c>
      <c r="C11" s="48">
        <v>304</v>
      </c>
      <c r="D11" s="49">
        <v>514</v>
      </c>
      <c r="F11" s="40" t="str">
        <f t="shared" si="1"/>
        <v>1000 - 1100</v>
      </c>
      <c r="G11" s="41">
        <f t="shared" si="5"/>
        <v>1000</v>
      </c>
      <c r="H11" s="41">
        <f t="shared" si="2"/>
        <v>1100</v>
      </c>
      <c r="I11" s="30">
        <f t="shared" si="0"/>
        <v>73</v>
      </c>
      <c r="J11" s="41">
        <f t="shared" si="6"/>
        <v>2</v>
      </c>
      <c r="K11" s="42">
        <f t="shared" si="3"/>
        <v>2.6666666666666668E-2</v>
      </c>
      <c r="L11" s="43">
        <f t="shared" si="4"/>
        <v>0.97333333333333338</v>
      </c>
    </row>
    <row r="12" spans="1:17" ht="13.5" thickBot="1" x14ac:dyDescent="0.25">
      <c r="A12" s="36">
        <v>10</v>
      </c>
      <c r="B12" s="47">
        <v>755</v>
      </c>
      <c r="C12" s="48">
        <v>354</v>
      </c>
      <c r="D12" s="49">
        <v>281</v>
      </c>
      <c r="F12" s="40" t="str">
        <f t="shared" si="1"/>
        <v>1100 - 1200</v>
      </c>
      <c r="G12" s="41">
        <f t="shared" si="5"/>
        <v>1100</v>
      </c>
      <c r="H12" s="41">
        <f t="shared" si="2"/>
        <v>1200</v>
      </c>
      <c r="I12" s="30">
        <f t="shared" si="0"/>
        <v>74</v>
      </c>
      <c r="J12" s="41">
        <f t="shared" si="6"/>
        <v>1</v>
      </c>
      <c r="K12" s="42">
        <f t="shared" si="3"/>
        <v>1.3333333333333334E-2</v>
      </c>
      <c r="L12" s="43">
        <f t="shared" si="4"/>
        <v>0.98666666666666669</v>
      </c>
    </row>
    <row r="13" spans="1:17" ht="13.5" thickBot="1" x14ac:dyDescent="0.25">
      <c r="A13" s="36">
        <v>11</v>
      </c>
      <c r="B13" s="47">
        <v>503</v>
      </c>
      <c r="C13" s="48">
        <v>289</v>
      </c>
      <c r="D13" s="49">
        <v>412</v>
      </c>
      <c r="F13" s="40" t="str">
        <f t="shared" si="1"/>
        <v>1200 - 1300</v>
      </c>
      <c r="G13" s="41">
        <f t="shared" si="5"/>
        <v>1200</v>
      </c>
      <c r="H13" s="41">
        <f t="shared" si="2"/>
        <v>1300</v>
      </c>
      <c r="I13" s="30">
        <f t="shared" si="0"/>
        <v>74</v>
      </c>
      <c r="J13" s="41">
        <f t="shared" si="6"/>
        <v>0</v>
      </c>
      <c r="K13" s="42">
        <f t="shared" si="3"/>
        <v>0</v>
      </c>
      <c r="L13" s="43">
        <f t="shared" si="4"/>
        <v>0.98666666666666669</v>
      </c>
    </row>
    <row r="14" spans="1:17" ht="13.5" thickBot="1" x14ac:dyDescent="0.25">
      <c r="A14" s="36">
        <v>12</v>
      </c>
      <c r="B14" s="47">
        <v>511</v>
      </c>
      <c r="C14" s="48">
        <v>273</v>
      </c>
      <c r="D14" s="49">
        <v>939</v>
      </c>
      <c r="F14" s="53" t="str">
        <f t="shared" si="1"/>
        <v>1300 - 1400</v>
      </c>
      <c r="G14" s="54">
        <f>H13</f>
        <v>1300</v>
      </c>
      <c r="H14" s="54">
        <f t="shared" si="2"/>
        <v>1400</v>
      </c>
      <c r="I14" s="55">
        <f t="shared" si="0"/>
        <v>75</v>
      </c>
      <c r="J14" s="54">
        <f t="shared" si="6"/>
        <v>1</v>
      </c>
      <c r="K14" s="56">
        <f t="shared" si="3"/>
        <v>1.3333333333333334E-2</v>
      </c>
      <c r="L14" s="57">
        <f t="shared" si="4"/>
        <v>1</v>
      </c>
    </row>
    <row r="15" spans="1:17" x14ac:dyDescent="0.2">
      <c r="A15" s="36">
        <v>13</v>
      </c>
      <c r="B15" s="47">
        <v>229</v>
      </c>
      <c r="C15" s="48">
        <v>315</v>
      </c>
      <c r="D15" s="49">
        <v>718</v>
      </c>
      <c r="J15" s="58">
        <f>SUM(J2:J14)</f>
        <v>75</v>
      </c>
      <c r="K15" s="58">
        <f>SUM(K2:K14)</f>
        <v>0.99999999999999989</v>
      </c>
      <c r="L15" s="58"/>
    </row>
    <row r="16" spans="1:17" x14ac:dyDescent="0.2">
      <c r="A16" s="36">
        <v>14</v>
      </c>
      <c r="B16" s="47">
        <v>439</v>
      </c>
      <c r="C16" s="48">
        <v>346</v>
      </c>
      <c r="D16" s="49">
        <v>520</v>
      </c>
    </row>
    <row r="17" spans="1:4" x14ac:dyDescent="0.2">
      <c r="A17" s="36">
        <v>15</v>
      </c>
      <c r="B17" s="47">
        <v>412</v>
      </c>
      <c r="C17" s="48">
        <v>318</v>
      </c>
      <c r="D17" s="49">
        <v>289</v>
      </c>
    </row>
    <row r="18" spans="1:4" x14ac:dyDescent="0.2">
      <c r="A18" s="36">
        <v>16</v>
      </c>
      <c r="B18" s="47">
        <v>775</v>
      </c>
      <c r="C18" s="48">
        <v>330</v>
      </c>
      <c r="D18" s="49">
        <v>434</v>
      </c>
    </row>
    <row r="19" spans="1:4" x14ac:dyDescent="0.2">
      <c r="A19" s="36">
        <v>17</v>
      </c>
      <c r="B19" s="47">
        <v>330</v>
      </c>
      <c r="C19" s="48">
        <v>359</v>
      </c>
      <c r="D19" s="49">
        <v>1045</v>
      </c>
    </row>
    <row r="20" spans="1:4" x14ac:dyDescent="0.2">
      <c r="A20" s="36">
        <v>18</v>
      </c>
      <c r="B20" s="47">
        <v>289</v>
      </c>
      <c r="C20" s="48">
        <v>370</v>
      </c>
      <c r="D20" s="49">
        <v>719</v>
      </c>
    </row>
    <row r="21" spans="1:4" x14ac:dyDescent="0.2">
      <c r="A21" s="36">
        <v>19</v>
      </c>
      <c r="B21" s="47">
        <v>1045</v>
      </c>
      <c r="C21" s="48">
        <v>348</v>
      </c>
      <c r="D21" s="49">
        <v>529</v>
      </c>
    </row>
    <row r="22" spans="1:4" x14ac:dyDescent="0.2">
      <c r="A22" s="36">
        <v>20</v>
      </c>
      <c r="B22" s="47">
        <v>348</v>
      </c>
      <c r="C22" s="48">
        <v>281</v>
      </c>
      <c r="D22" s="49">
        <v>304</v>
      </c>
    </row>
    <row r="23" spans="1:4" x14ac:dyDescent="0.2">
      <c r="A23" s="36">
        <v>21</v>
      </c>
      <c r="B23" s="47">
        <v>249</v>
      </c>
      <c r="C23" s="48">
        <v>356</v>
      </c>
      <c r="D23" s="49">
        <v>439</v>
      </c>
    </row>
    <row r="24" spans="1:4" x14ac:dyDescent="0.2">
      <c r="A24" s="36">
        <v>22</v>
      </c>
      <c r="B24" s="47">
        <v>218</v>
      </c>
      <c r="C24" s="48">
        <v>372</v>
      </c>
      <c r="D24" s="49">
        <v>1045</v>
      </c>
    </row>
    <row r="25" spans="1:4" x14ac:dyDescent="0.2">
      <c r="A25" s="36">
        <v>23</v>
      </c>
      <c r="B25" s="47">
        <v>603</v>
      </c>
      <c r="C25" s="48">
        <v>377</v>
      </c>
      <c r="D25" s="49">
        <v>730</v>
      </c>
    </row>
    <row r="26" spans="1:4" x14ac:dyDescent="0.2">
      <c r="A26" s="36">
        <v>24</v>
      </c>
      <c r="B26" s="47">
        <v>412</v>
      </c>
      <c r="C26" s="48">
        <v>412</v>
      </c>
      <c r="D26" s="49">
        <v>532</v>
      </c>
    </row>
    <row r="27" spans="1:4" x14ac:dyDescent="0.2">
      <c r="A27" s="36">
        <v>25</v>
      </c>
      <c r="B27" s="47">
        <v>608</v>
      </c>
      <c r="C27" s="48">
        <v>503</v>
      </c>
      <c r="D27" s="49">
        <v>315</v>
      </c>
    </row>
    <row r="28" spans="1:4" x14ac:dyDescent="0.2">
      <c r="A28" s="36">
        <v>26</v>
      </c>
      <c r="B28" s="47">
        <v>540</v>
      </c>
      <c r="C28" s="48">
        <v>381</v>
      </c>
      <c r="D28" s="49">
        <v>446</v>
      </c>
    </row>
    <row r="29" spans="1:4" x14ac:dyDescent="0.2">
      <c r="A29" s="36">
        <v>27</v>
      </c>
      <c r="B29" s="47">
        <v>744</v>
      </c>
      <c r="C29" s="48">
        <v>434</v>
      </c>
      <c r="D29" s="49">
        <v>1133</v>
      </c>
    </row>
    <row r="30" spans="1:4" x14ac:dyDescent="0.2">
      <c r="A30" s="36">
        <v>28</v>
      </c>
      <c r="B30" s="47">
        <v>465</v>
      </c>
      <c r="C30" s="48">
        <v>229</v>
      </c>
      <c r="D30" s="49">
        <v>744</v>
      </c>
    </row>
    <row r="31" spans="1:4" x14ac:dyDescent="0.2">
      <c r="A31" s="36">
        <v>29</v>
      </c>
      <c r="B31" s="47">
        <v>577</v>
      </c>
      <c r="C31" s="48">
        <v>446</v>
      </c>
      <c r="D31" s="49">
        <v>540</v>
      </c>
    </row>
    <row r="32" spans="1:4" x14ac:dyDescent="0.2">
      <c r="A32" s="36">
        <v>30</v>
      </c>
      <c r="B32" s="47">
        <v>576</v>
      </c>
      <c r="C32" s="48">
        <v>450</v>
      </c>
      <c r="D32" s="49">
        <v>318</v>
      </c>
    </row>
    <row r="33" spans="1:4" x14ac:dyDescent="0.2">
      <c r="A33" s="36">
        <v>31</v>
      </c>
      <c r="B33" s="47">
        <v>681</v>
      </c>
      <c r="C33" s="48">
        <v>455</v>
      </c>
      <c r="D33" s="49">
        <v>450</v>
      </c>
    </row>
    <row r="34" spans="1:4" x14ac:dyDescent="0.2">
      <c r="A34" s="36">
        <v>32</v>
      </c>
      <c r="B34" s="47">
        <v>842</v>
      </c>
      <c r="C34" s="48">
        <v>465</v>
      </c>
      <c r="D34" s="49">
        <v>1330</v>
      </c>
    </row>
    <row r="35" spans="1:4" x14ac:dyDescent="0.2">
      <c r="A35" s="36">
        <v>33</v>
      </c>
      <c r="B35" s="47">
        <v>256</v>
      </c>
      <c r="C35" s="48">
        <v>495</v>
      </c>
      <c r="D35" s="49">
        <v>755</v>
      </c>
    </row>
    <row r="36" spans="1:4" x14ac:dyDescent="0.2">
      <c r="A36" s="36">
        <v>34</v>
      </c>
      <c r="B36" s="47">
        <v>851</v>
      </c>
      <c r="C36" s="48">
        <v>500</v>
      </c>
      <c r="D36" s="49">
        <v>568</v>
      </c>
    </row>
    <row r="37" spans="1:4" x14ac:dyDescent="0.2">
      <c r="A37" s="36">
        <v>35</v>
      </c>
      <c r="B37" s="47">
        <v>273</v>
      </c>
      <c r="C37" s="48">
        <v>412</v>
      </c>
      <c r="D37" s="49">
        <v>330</v>
      </c>
    </row>
    <row r="38" spans="1:4" x14ac:dyDescent="0.2">
      <c r="A38" s="36">
        <v>36</v>
      </c>
      <c r="B38" s="47">
        <v>856</v>
      </c>
      <c r="C38" s="48">
        <v>508</v>
      </c>
      <c r="D38" s="49">
        <v>348</v>
      </c>
    </row>
    <row r="39" spans="1:4" x14ac:dyDescent="0.2">
      <c r="A39" s="36">
        <v>37</v>
      </c>
      <c r="B39" s="47">
        <v>532</v>
      </c>
      <c r="C39" s="48">
        <v>511</v>
      </c>
      <c r="D39" s="49">
        <v>802</v>
      </c>
    </row>
    <row r="40" spans="1:4" x14ac:dyDescent="0.2">
      <c r="A40" s="36">
        <v>38</v>
      </c>
      <c r="B40" s="47">
        <v>508</v>
      </c>
      <c r="C40" s="48">
        <v>612</v>
      </c>
      <c r="D40" s="49">
        <v>576</v>
      </c>
    </row>
    <row r="41" spans="1:4" x14ac:dyDescent="0.2">
      <c r="A41" s="36">
        <v>39</v>
      </c>
      <c r="B41" s="47">
        <v>434</v>
      </c>
      <c r="C41" s="48">
        <v>511</v>
      </c>
      <c r="D41" s="49">
        <v>465</v>
      </c>
    </row>
    <row r="42" spans="1:4" x14ac:dyDescent="0.2">
      <c r="A42" s="36">
        <v>40</v>
      </c>
      <c r="B42" s="47">
        <v>597</v>
      </c>
      <c r="C42" s="48">
        <v>514</v>
      </c>
      <c r="D42" s="49">
        <v>204</v>
      </c>
    </row>
    <row r="43" spans="1:4" x14ac:dyDescent="0.2">
      <c r="A43" s="36">
        <v>41</v>
      </c>
      <c r="B43" s="47">
        <v>315</v>
      </c>
      <c r="C43" s="48">
        <v>520</v>
      </c>
      <c r="D43" s="49">
        <v>354</v>
      </c>
    </row>
    <row r="44" spans="1:4" x14ac:dyDescent="0.2">
      <c r="A44" s="36">
        <v>42</v>
      </c>
      <c r="B44" s="47">
        <v>1045</v>
      </c>
      <c r="C44" s="48">
        <v>710</v>
      </c>
      <c r="D44" s="49">
        <v>836</v>
      </c>
    </row>
    <row r="45" spans="1:4" x14ac:dyDescent="0.2">
      <c r="A45" s="36">
        <v>43</v>
      </c>
      <c r="B45" s="47">
        <v>370</v>
      </c>
      <c r="C45" s="48">
        <v>532</v>
      </c>
      <c r="D45" s="49">
        <v>577</v>
      </c>
    </row>
    <row r="46" spans="1:4" x14ac:dyDescent="0.2">
      <c r="A46" s="36">
        <v>44</v>
      </c>
      <c r="B46" s="47">
        <v>354</v>
      </c>
      <c r="C46" s="48">
        <v>540</v>
      </c>
      <c r="D46" s="49">
        <v>495</v>
      </c>
    </row>
    <row r="47" spans="1:4" x14ac:dyDescent="0.2">
      <c r="A47" s="36">
        <v>45</v>
      </c>
      <c r="B47" s="47">
        <v>500</v>
      </c>
      <c r="C47" s="48">
        <v>568</v>
      </c>
      <c r="D47" s="49">
        <v>218</v>
      </c>
    </row>
    <row r="48" spans="1:4" x14ac:dyDescent="0.2">
      <c r="A48" s="36">
        <v>46</v>
      </c>
      <c r="B48" s="47">
        <v>520</v>
      </c>
      <c r="C48" s="48">
        <v>572</v>
      </c>
      <c r="D48" s="49">
        <v>356</v>
      </c>
    </row>
    <row r="49" spans="1:4" x14ac:dyDescent="0.2">
      <c r="A49" s="36">
        <v>47</v>
      </c>
      <c r="B49" s="47">
        <v>356</v>
      </c>
      <c r="C49" s="48">
        <v>576</v>
      </c>
      <c r="D49" s="49">
        <v>842</v>
      </c>
    </row>
    <row r="50" spans="1:4" x14ac:dyDescent="0.2">
      <c r="A50" s="36">
        <v>48</v>
      </c>
      <c r="B50" s="47">
        <v>572</v>
      </c>
      <c r="C50" s="48">
        <v>577</v>
      </c>
      <c r="D50" s="49">
        <v>597</v>
      </c>
    </row>
    <row r="51" spans="1:4" x14ac:dyDescent="0.2">
      <c r="A51" s="36">
        <v>49</v>
      </c>
      <c r="B51" s="47">
        <v>514</v>
      </c>
      <c r="C51" s="48">
        <v>836</v>
      </c>
      <c r="D51" s="49">
        <v>500</v>
      </c>
    </row>
    <row r="52" spans="1:4" x14ac:dyDescent="0.2">
      <c r="A52" s="36">
        <v>50</v>
      </c>
      <c r="B52" s="47">
        <v>842</v>
      </c>
      <c r="C52" s="48">
        <v>603</v>
      </c>
      <c r="D52" s="49">
        <v>227</v>
      </c>
    </row>
    <row r="53" spans="1:4" x14ac:dyDescent="0.2">
      <c r="A53" s="36">
        <v>51</v>
      </c>
      <c r="B53" s="47">
        <v>176</v>
      </c>
      <c r="C53" s="48">
        <v>608</v>
      </c>
      <c r="D53" s="49">
        <v>359</v>
      </c>
    </row>
    <row r="54" spans="1:4" x14ac:dyDescent="0.2">
      <c r="A54" s="36">
        <v>52</v>
      </c>
      <c r="B54" s="47">
        <v>730</v>
      </c>
      <c r="C54" s="48">
        <v>511</v>
      </c>
      <c r="D54" s="49">
        <v>842</v>
      </c>
    </row>
    <row r="55" spans="1:4" x14ac:dyDescent="0.2">
      <c r="A55" s="36">
        <v>53</v>
      </c>
      <c r="B55" s="47">
        <v>377</v>
      </c>
      <c r="C55" s="48">
        <v>676</v>
      </c>
      <c r="D55" s="49">
        <v>603</v>
      </c>
    </row>
    <row r="56" spans="1:4" x14ac:dyDescent="0.2">
      <c r="A56" s="36">
        <v>54</v>
      </c>
      <c r="B56" s="47">
        <v>866</v>
      </c>
      <c r="C56" s="48">
        <v>681</v>
      </c>
      <c r="D56" s="49">
        <v>503</v>
      </c>
    </row>
    <row r="57" spans="1:4" x14ac:dyDescent="0.2">
      <c r="A57" s="36">
        <v>55</v>
      </c>
      <c r="B57" s="47">
        <v>939</v>
      </c>
      <c r="C57" s="48">
        <v>529</v>
      </c>
      <c r="D57" s="49">
        <v>229</v>
      </c>
    </row>
    <row r="58" spans="1:4" x14ac:dyDescent="0.2">
      <c r="A58" s="36">
        <v>56</v>
      </c>
      <c r="B58" s="47">
        <v>926</v>
      </c>
      <c r="C58" s="48">
        <v>718</v>
      </c>
      <c r="D58" s="49">
        <v>370</v>
      </c>
    </row>
    <row r="59" spans="1:4" x14ac:dyDescent="0.2">
      <c r="A59" s="36">
        <v>57</v>
      </c>
      <c r="B59" s="47">
        <v>229</v>
      </c>
      <c r="C59" s="48">
        <v>719</v>
      </c>
      <c r="D59" s="49">
        <v>843</v>
      </c>
    </row>
    <row r="60" spans="1:4" x14ac:dyDescent="0.2">
      <c r="A60" s="36">
        <v>58</v>
      </c>
      <c r="B60" s="47">
        <v>304</v>
      </c>
      <c r="C60" s="48">
        <v>730</v>
      </c>
      <c r="D60" s="49">
        <v>608</v>
      </c>
    </row>
    <row r="61" spans="1:4" x14ac:dyDescent="0.2">
      <c r="A61" s="36">
        <v>59</v>
      </c>
      <c r="B61" s="47">
        <v>450</v>
      </c>
      <c r="C61" s="48">
        <v>866</v>
      </c>
      <c r="D61" s="49">
        <v>508</v>
      </c>
    </row>
    <row r="62" spans="1:4" x14ac:dyDescent="0.2">
      <c r="A62" s="36">
        <v>60</v>
      </c>
      <c r="B62" s="47">
        <v>843</v>
      </c>
      <c r="C62" s="48">
        <v>755</v>
      </c>
      <c r="D62" s="49">
        <v>229</v>
      </c>
    </row>
    <row r="63" spans="1:4" x14ac:dyDescent="0.2">
      <c r="A63" s="36">
        <v>61</v>
      </c>
      <c r="B63" s="47">
        <v>1330</v>
      </c>
      <c r="C63" s="48">
        <v>775</v>
      </c>
      <c r="D63" s="49">
        <v>372</v>
      </c>
    </row>
    <row r="64" spans="1:4" x14ac:dyDescent="0.2">
      <c r="A64" s="36">
        <v>62</v>
      </c>
      <c r="B64" s="47">
        <v>455</v>
      </c>
      <c r="C64" s="48">
        <v>802</v>
      </c>
      <c r="D64" s="49">
        <v>851</v>
      </c>
    </row>
    <row r="65" spans="1:5" x14ac:dyDescent="0.2">
      <c r="A65" s="36">
        <v>63</v>
      </c>
      <c r="B65" s="47">
        <v>359</v>
      </c>
      <c r="C65" s="48">
        <v>597</v>
      </c>
      <c r="D65" s="49">
        <v>612</v>
      </c>
    </row>
    <row r="66" spans="1:5" x14ac:dyDescent="0.2">
      <c r="A66" s="36">
        <v>64</v>
      </c>
      <c r="B66" s="47">
        <v>1133</v>
      </c>
      <c r="C66" s="48">
        <v>842</v>
      </c>
      <c r="D66" s="49">
        <v>511</v>
      </c>
    </row>
    <row r="67" spans="1:5" x14ac:dyDescent="0.2">
      <c r="A67" s="36">
        <v>65</v>
      </c>
      <c r="B67" s="47">
        <v>710</v>
      </c>
      <c r="C67" s="48">
        <v>851</v>
      </c>
      <c r="D67" s="49">
        <v>249</v>
      </c>
    </row>
    <row r="68" spans="1:5" x14ac:dyDescent="0.2">
      <c r="A68" s="36">
        <v>66</v>
      </c>
      <c r="B68" s="47">
        <v>719</v>
      </c>
      <c r="C68" s="48">
        <v>843</v>
      </c>
      <c r="D68" s="49">
        <v>377</v>
      </c>
    </row>
    <row r="69" spans="1:5" x14ac:dyDescent="0.2">
      <c r="A69" s="36">
        <v>67</v>
      </c>
      <c r="B69" s="47">
        <v>346</v>
      </c>
      <c r="C69" s="48">
        <v>842</v>
      </c>
      <c r="D69" s="49">
        <v>856</v>
      </c>
    </row>
    <row r="70" spans="1:5" x14ac:dyDescent="0.2">
      <c r="A70" s="36">
        <v>68</v>
      </c>
      <c r="B70" s="47">
        <v>511</v>
      </c>
      <c r="C70" s="48">
        <v>856</v>
      </c>
      <c r="D70" s="49">
        <v>676</v>
      </c>
    </row>
    <row r="71" spans="1:5" x14ac:dyDescent="0.2">
      <c r="A71" s="36">
        <v>69</v>
      </c>
      <c r="B71" s="47">
        <v>718</v>
      </c>
      <c r="C71" s="48">
        <v>744</v>
      </c>
      <c r="D71" s="49">
        <v>511</v>
      </c>
    </row>
    <row r="72" spans="1:5" x14ac:dyDescent="0.2">
      <c r="A72" s="36">
        <v>70</v>
      </c>
      <c r="B72" s="47">
        <v>381</v>
      </c>
      <c r="C72" s="48">
        <v>926</v>
      </c>
      <c r="D72" s="49">
        <v>256</v>
      </c>
    </row>
    <row r="73" spans="1:5" x14ac:dyDescent="0.2">
      <c r="A73" s="36">
        <v>71</v>
      </c>
      <c r="B73" s="47">
        <v>529</v>
      </c>
      <c r="C73" s="48">
        <v>939</v>
      </c>
      <c r="D73" s="49">
        <v>381</v>
      </c>
    </row>
    <row r="74" spans="1:5" x14ac:dyDescent="0.2">
      <c r="A74" s="36">
        <v>72</v>
      </c>
      <c r="B74" s="47">
        <v>227</v>
      </c>
      <c r="C74" s="48">
        <v>1045</v>
      </c>
      <c r="D74" s="49">
        <v>866</v>
      </c>
    </row>
    <row r="75" spans="1:5" x14ac:dyDescent="0.2">
      <c r="A75" s="36">
        <v>73</v>
      </c>
      <c r="B75" s="47">
        <v>612</v>
      </c>
      <c r="C75" s="48">
        <v>1330</v>
      </c>
      <c r="D75" s="49">
        <v>681</v>
      </c>
    </row>
    <row r="76" spans="1:5" x14ac:dyDescent="0.2">
      <c r="A76" s="36">
        <v>74</v>
      </c>
      <c r="B76" s="47">
        <v>836</v>
      </c>
      <c r="C76" s="48">
        <v>1133</v>
      </c>
      <c r="D76" s="49">
        <v>511</v>
      </c>
    </row>
    <row r="77" spans="1:5" x14ac:dyDescent="0.2">
      <c r="A77" s="36">
        <v>75</v>
      </c>
      <c r="B77" s="47">
        <v>511</v>
      </c>
      <c r="C77" s="48">
        <v>1045</v>
      </c>
      <c r="D77" s="49">
        <v>273</v>
      </c>
    </row>
    <row r="80" spans="1:5" x14ac:dyDescent="0.2">
      <c r="E80" s="59"/>
    </row>
  </sheetData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52"/>
  <sheetViews>
    <sheetView zoomScale="96" zoomScaleNormal="96" workbookViewId="0">
      <selection activeCell="N19" sqref="N19"/>
    </sheetView>
  </sheetViews>
  <sheetFormatPr defaultRowHeight="15" x14ac:dyDescent="0.25"/>
  <cols>
    <col min="2" max="3" width="4.85546875" customWidth="1"/>
    <col min="4" max="4" width="7.28515625" customWidth="1"/>
    <col min="5" max="5" width="4.85546875" customWidth="1"/>
    <col min="7" max="7" width="2.7109375" customWidth="1"/>
  </cols>
  <sheetData>
    <row r="1" spans="2:10" x14ac:dyDescent="0.25">
      <c r="B1" s="1" t="s">
        <v>69</v>
      </c>
      <c r="C1" s="1" t="s">
        <v>12</v>
      </c>
      <c r="D1" s="1" t="s">
        <v>70</v>
      </c>
      <c r="E1" s="1" t="s">
        <v>23</v>
      </c>
      <c r="F1" s="1" t="s">
        <v>17</v>
      </c>
      <c r="H1" s="89">
        <v>3.3201298835361014E-2</v>
      </c>
      <c r="I1" t="str">
        <f>C1&amp;" vs "&amp;D1</f>
        <v>At vs Ft (ES)</v>
      </c>
    </row>
    <row r="2" spans="2:10" x14ac:dyDescent="0.25">
      <c r="B2" s="90">
        <v>1</v>
      </c>
      <c r="C2" s="91">
        <v>26</v>
      </c>
      <c r="D2" s="92">
        <f>C2</f>
        <v>26</v>
      </c>
      <c r="E2" s="93">
        <f t="shared" ref="E2:E51" si="0">ABS(C2-D2)</f>
        <v>0</v>
      </c>
      <c r="F2" s="94">
        <f>AVERAGE($E$2:E2)</f>
        <v>0</v>
      </c>
    </row>
    <row r="3" spans="2:10" ht="15.75" thickBot="1" x14ac:dyDescent="0.3">
      <c r="B3" s="90">
        <v>2</v>
      </c>
      <c r="C3" s="91">
        <v>22</v>
      </c>
      <c r="D3" s="95">
        <f t="shared" ref="D3:D51" si="1">(1-$H$1)*D2+$H$1*C2</f>
        <v>26</v>
      </c>
      <c r="E3" s="93">
        <f t="shared" si="0"/>
        <v>4</v>
      </c>
      <c r="F3" s="94">
        <f>AVERAGE($E$2:E3)</f>
        <v>2</v>
      </c>
      <c r="H3" s="90"/>
      <c r="I3" s="96">
        <f>F51</f>
        <v>14.534630314876784</v>
      </c>
    </row>
    <row r="4" spans="2:10" x14ac:dyDescent="0.25">
      <c r="B4" s="90">
        <v>3</v>
      </c>
      <c r="C4" s="91">
        <v>11</v>
      </c>
      <c r="D4" s="95">
        <f t="shared" si="1"/>
        <v>25.867194804658556</v>
      </c>
      <c r="E4" s="93">
        <f t="shared" si="0"/>
        <v>14.867194804658556</v>
      </c>
      <c r="F4" s="94">
        <f>AVERAGE($E$2:E4)</f>
        <v>6.2890649348861851</v>
      </c>
      <c r="H4" s="97">
        <v>0.1</v>
      </c>
      <c r="I4" s="98">
        <f t="dataTable" ref="I4:I13" dt2D="0" dtr="0" r1="H1"/>
        <v>14.578554657225675</v>
      </c>
      <c r="J4">
        <f>H4</f>
        <v>0.1</v>
      </c>
    </row>
    <row r="5" spans="2:10" x14ac:dyDescent="0.25">
      <c r="B5" s="90">
        <v>4</v>
      </c>
      <c r="C5" s="91">
        <v>3</v>
      </c>
      <c r="D5" s="95">
        <f t="shared" si="1"/>
        <v>25.373584627105558</v>
      </c>
      <c r="E5" s="93">
        <f t="shared" si="0"/>
        <v>22.373584627105558</v>
      </c>
      <c r="F5" s="94">
        <f>AVERAGE($E$2:E5)</f>
        <v>10.310194857941028</v>
      </c>
      <c r="H5" s="99">
        <f>H4+0.1</f>
        <v>0.2</v>
      </c>
      <c r="I5" s="100">
        <v>14.929098580075674</v>
      </c>
      <c r="J5">
        <f t="shared" ref="J5:J13" si="2">H5</f>
        <v>0.2</v>
      </c>
    </row>
    <row r="6" spans="2:10" x14ac:dyDescent="0.25">
      <c r="B6" s="90">
        <v>5</v>
      </c>
      <c r="C6" s="91">
        <v>28</v>
      </c>
      <c r="D6" s="95">
        <f t="shared" si="1"/>
        <v>24.630752557882786</v>
      </c>
      <c r="E6" s="93">
        <f t="shared" si="0"/>
        <v>3.3692474421172136</v>
      </c>
      <c r="F6" s="94">
        <f>AVERAGE($E$2:E6)</f>
        <v>8.9220053747762655</v>
      </c>
      <c r="H6" s="99">
        <f t="shared" ref="H6:H12" si="3">H5+0.1</f>
        <v>0.30000000000000004</v>
      </c>
      <c r="I6" s="100">
        <v>15.470062654408364</v>
      </c>
      <c r="J6">
        <f t="shared" si="2"/>
        <v>0.30000000000000004</v>
      </c>
    </row>
    <row r="7" spans="2:10" x14ac:dyDescent="0.25">
      <c r="B7" s="90">
        <v>6</v>
      </c>
      <c r="C7" s="91">
        <v>13</v>
      </c>
      <c r="D7" s="95">
        <f t="shared" si="1"/>
        <v>24.742615949058795</v>
      </c>
      <c r="E7" s="93">
        <f t="shared" si="0"/>
        <v>11.742615949058795</v>
      </c>
      <c r="F7" s="94">
        <f>AVERAGE($E$2:E7)</f>
        <v>9.3921071371566871</v>
      </c>
      <c r="H7" s="99">
        <f t="shared" si="3"/>
        <v>0.4</v>
      </c>
      <c r="I7" s="100">
        <v>16.111206141505487</v>
      </c>
      <c r="J7">
        <f t="shared" si="2"/>
        <v>0.4</v>
      </c>
    </row>
    <row r="8" spans="2:10" x14ac:dyDescent="0.25">
      <c r="B8" s="90">
        <v>7</v>
      </c>
      <c r="C8" s="91">
        <v>8</v>
      </c>
      <c r="D8" s="95">
        <f t="shared" si="1"/>
        <v>24.352745847825215</v>
      </c>
      <c r="E8" s="93">
        <f t="shared" si="0"/>
        <v>16.352745847825215</v>
      </c>
      <c r="F8" s="94">
        <f>AVERAGE($E$2:E8)</f>
        <v>10.386484095823619</v>
      </c>
      <c r="H8" s="99">
        <f t="shared" si="3"/>
        <v>0.5</v>
      </c>
      <c r="I8" s="100">
        <v>16.653022484399251</v>
      </c>
      <c r="J8">
        <f t="shared" si="2"/>
        <v>0.5</v>
      </c>
    </row>
    <row r="9" spans="2:10" x14ac:dyDescent="0.25">
      <c r="B9" s="90">
        <v>8</v>
      </c>
      <c r="C9" s="91">
        <v>7</v>
      </c>
      <c r="D9" s="95">
        <f t="shared" si="1"/>
        <v>23.809813446152859</v>
      </c>
      <c r="E9" s="93">
        <f t="shared" si="0"/>
        <v>16.809813446152859</v>
      </c>
      <c r="F9" s="94">
        <f>AVERAGE($E$2:E9)</f>
        <v>11.189400264614774</v>
      </c>
      <c r="H9" s="99">
        <f t="shared" si="3"/>
        <v>0.6</v>
      </c>
      <c r="I9" s="100">
        <v>17.108600755693789</v>
      </c>
      <c r="J9">
        <f t="shared" si="2"/>
        <v>0.6</v>
      </c>
    </row>
    <row r="10" spans="2:10" x14ac:dyDescent="0.25">
      <c r="B10" s="90">
        <v>9</v>
      </c>
      <c r="C10" s="91">
        <v>32</v>
      </c>
      <c r="D10" s="95">
        <f t="shared" si="1"/>
        <v>23.251705806560466</v>
      </c>
      <c r="E10" s="93">
        <f t="shared" si="0"/>
        <v>8.7482941934395342</v>
      </c>
      <c r="F10" s="94">
        <f>AVERAGE($E$2:E10)</f>
        <v>10.918166256706414</v>
      </c>
      <c r="H10" s="99">
        <f t="shared" si="3"/>
        <v>0.7</v>
      </c>
      <c r="I10" s="100">
        <v>17.486861527124294</v>
      </c>
      <c r="J10">
        <f t="shared" si="2"/>
        <v>0.7</v>
      </c>
    </row>
    <row r="11" spans="2:10" x14ac:dyDescent="0.25">
      <c r="B11" s="90">
        <v>10</v>
      </c>
      <c r="C11" s="91">
        <v>41</v>
      </c>
      <c r="D11" s="95">
        <f t="shared" si="1"/>
        <v>23.542160536376507</v>
      </c>
      <c r="E11" s="93">
        <f t="shared" si="0"/>
        <v>17.457839463623493</v>
      </c>
      <c r="F11" s="94">
        <f>AVERAGE($E$2:E11)</f>
        <v>11.572133577398123</v>
      </c>
      <c r="H11" s="99">
        <f t="shared" si="3"/>
        <v>0.79999999999999993</v>
      </c>
      <c r="I11" s="100">
        <v>17.904713947207959</v>
      </c>
      <c r="J11">
        <f t="shared" si="2"/>
        <v>0.79999999999999993</v>
      </c>
    </row>
    <row r="12" spans="2:10" x14ac:dyDescent="0.25">
      <c r="B12" s="90">
        <v>11</v>
      </c>
      <c r="C12" s="91">
        <v>9</v>
      </c>
      <c r="D12" s="95">
        <f t="shared" si="1"/>
        <v>24.121783481428029</v>
      </c>
      <c r="E12" s="93">
        <f t="shared" si="0"/>
        <v>15.121783481428029</v>
      </c>
      <c r="F12" s="94">
        <f>AVERAGE($E$2:E12)</f>
        <v>11.894829023219023</v>
      </c>
      <c r="H12" s="99">
        <f t="shared" si="3"/>
        <v>0.89999999999999991</v>
      </c>
      <c r="I12" s="100">
        <v>18.518364686657335</v>
      </c>
      <c r="J12">
        <f t="shared" si="2"/>
        <v>0.89999999999999991</v>
      </c>
    </row>
    <row r="13" spans="2:10" ht="15.75" thickBot="1" x14ac:dyDescent="0.3">
      <c r="B13" s="90">
        <v>12</v>
      </c>
      <c r="C13" s="91">
        <v>14</v>
      </c>
      <c r="D13" s="95">
        <f t="shared" si="1"/>
        <v>23.619720629137511</v>
      </c>
      <c r="E13" s="93">
        <f t="shared" si="0"/>
        <v>9.619720629137511</v>
      </c>
      <c r="F13" s="94">
        <f>AVERAGE($E$2:E13)</f>
        <v>11.705236657045562</v>
      </c>
      <c r="H13" s="101">
        <f>H12+0.1</f>
        <v>0.99999999999999989</v>
      </c>
      <c r="I13" s="102">
        <v>19.28</v>
      </c>
      <c r="J13">
        <f t="shared" si="2"/>
        <v>0.99999999999999989</v>
      </c>
    </row>
    <row r="14" spans="2:10" x14ac:dyDescent="0.25">
      <c r="B14" s="90">
        <v>13</v>
      </c>
      <c r="C14" s="91">
        <v>35</v>
      </c>
      <c r="D14" s="95">
        <f t="shared" si="1"/>
        <v>23.30033340981683</v>
      </c>
      <c r="E14" s="93">
        <f t="shared" si="0"/>
        <v>11.69966659018317</v>
      </c>
      <c r="F14" s="94">
        <f>AVERAGE($E$2:E14)</f>
        <v>11.70480819036384</v>
      </c>
      <c r="H14" s="90">
        <f>VLOOKUP(I14,I4:J13,2)</f>
        <v>0.1</v>
      </c>
      <c r="I14" s="90">
        <f>MIN(I4:I13)</f>
        <v>14.578554657225675</v>
      </c>
    </row>
    <row r="15" spans="2:10" x14ac:dyDescent="0.25">
      <c r="B15" s="90">
        <v>14</v>
      </c>
      <c r="C15" s="91">
        <v>39</v>
      </c>
      <c r="D15" s="95">
        <f t="shared" si="1"/>
        <v>23.688777536551591</v>
      </c>
      <c r="E15" s="93">
        <f t="shared" si="0"/>
        <v>15.311222463448409</v>
      </c>
      <c r="F15" s="94">
        <f>AVERAGE($E$2:E15)</f>
        <v>11.962409209869881</v>
      </c>
      <c r="H15" s="90"/>
    </row>
    <row r="16" spans="2:10" x14ac:dyDescent="0.25">
      <c r="B16" s="90">
        <v>15</v>
      </c>
      <c r="C16" s="91">
        <v>28</v>
      </c>
      <c r="D16" s="95">
        <f t="shared" si="1"/>
        <v>24.197130009095233</v>
      </c>
      <c r="E16" s="93">
        <f t="shared" si="0"/>
        <v>3.8028699909047674</v>
      </c>
      <c r="F16" s="94">
        <f>AVERAGE($E$2:E16)</f>
        <v>11.41843992860554</v>
      </c>
    </row>
    <row r="17" spans="2:6" x14ac:dyDescent="0.25">
      <c r="B17" s="90">
        <v>16</v>
      </c>
      <c r="C17" s="91">
        <v>19</v>
      </c>
      <c r="D17" s="95">
        <f t="shared" si="1"/>
        <v>24.323390232095289</v>
      </c>
      <c r="E17" s="93">
        <f t="shared" si="0"/>
        <v>5.3233902320952886</v>
      </c>
      <c r="F17" s="94">
        <f>AVERAGE($E$2:E17)</f>
        <v>11.037499322573648</v>
      </c>
    </row>
    <row r="18" spans="2:6" x14ac:dyDescent="0.25">
      <c r="B18" s="90">
        <v>17</v>
      </c>
      <c r="C18" s="91">
        <v>68</v>
      </c>
      <c r="D18" s="95">
        <f t="shared" si="1"/>
        <v>24.14664676218225</v>
      </c>
      <c r="E18" s="93">
        <f t="shared" si="0"/>
        <v>43.85335323781775</v>
      </c>
      <c r="F18" s="94">
        <f>AVERAGE($E$2:E18)</f>
        <v>12.967843670529183</v>
      </c>
    </row>
    <row r="19" spans="2:6" x14ac:dyDescent="0.25">
      <c r="B19" s="90">
        <v>18</v>
      </c>
      <c r="C19" s="91">
        <v>16</v>
      </c>
      <c r="D19" s="95">
        <f t="shared" si="1"/>
        <v>25.60263504796368</v>
      </c>
      <c r="E19" s="93">
        <f t="shared" si="0"/>
        <v>9.6026350479636804</v>
      </c>
      <c r="F19" s="94">
        <f>AVERAGE($E$2:E19)</f>
        <v>12.780887635942211</v>
      </c>
    </row>
    <row r="20" spans="2:6" x14ac:dyDescent="0.25">
      <c r="B20" s="90">
        <v>19</v>
      </c>
      <c r="C20" s="91">
        <v>27</v>
      </c>
      <c r="D20" s="95">
        <f t="shared" si="1"/>
        <v>25.283815092129323</v>
      </c>
      <c r="E20" s="93">
        <f t="shared" si="0"/>
        <v>1.7161849078706766</v>
      </c>
      <c r="F20" s="94">
        <f>AVERAGE($E$2:E20)</f>
        <v>12.198534860780551</v>
      </c>
    </row>
    <row r="21" spans="2:6" x14ac:dyDescent="0.25">
      <c r="B21" s="90">
        <v>20</v>
      </c>
      <c r="C21" s="91">
        <v>10</v>
      </c>
      <c r="D21" s="95">
        <f t="shared" si="1"/>
        <v>25.340794660112273</v>
      </c>
      <c r="E21" s="93">
        <f t="shared" si="0"/>
        <v>15.340794660112273</v>
      </c>
      <c r="F21" s="94">
        <f>AVERAGE($E$2:E21)</f>
        <v>12.355647850747136</v>
      </c>
    </row>
    <row r="22" spans="2:6" x14ac:dyDescent="0.25">
      <c r="B22" s="90">
        <v>21</v>
      </c>
      <c r="C22" s="91">
        <v>27</v>
      </c>
      <c r="D22" s="95">
        <f t="shared" si="1"/>
        <v>24.831460352229975</v>
      </c>
      <c r="E22" s="93">
        <f t="shared" si="0"/>
        <v>2.1685396477700252</v>
      </c>
      <c r="F22" s="94">
        <f>AVERAGE($E$2:E22)</f>
        <v>11.870547460129179</v>
      </c>
    </row>
    <row r="23" spans="2:6" x14ac:dyDescent="0.25">
      <c r="B23" s="90">
        <v>22</v>
      </c>
      <c r="C23" s="91">
        <v>38</v>
      </c>
      <c r="D23" s="95">
        <f t="shared" si="1"/>
        <v>24.903458685111914</v>
      </c>
      <c r="E23" s="93">
        <f t="shared" si="0"/>
        <v>13.096541314888086</v>
      </c>
      <c r="F23" s="94">
        <f>AVERAGE($E$2:E23)</f>
        <v>11.926274453527311</v>
      </c>
    </row>
    <row r="24" spans="2:6" x14ac:dyDescent="0.25">
      <c r="B24" s="90">
        <v>23</v>
      </c>
      <c r="C24" s="91">
        <v>38</v>
      </c>
      <c r="D24" s="95">
        <f t="shared" si="1"/>
        <v>25.338280867017165</v>
      </c>
      <c r="E24" s="93">
        <f t="shared" si="0"/>
        <v>12.661719132982835</v>
      </c>
      <c r="F24" s="94">
        <f>AVERAGE($E$2:E24)</f>
        <v>11.958250309155813</v>
      </c>
    </row>
    <row r="25" spans="2:6" x14ac:dyDescent="0.25">
      <c r="B25" s="90">
        <v>24</v>
      </c>
      <c r="C25" s="91">
        <v>32</v>
      </c>
      <c r="D25" s="95">
        <f t="shared" si="1"/>
        <v>25.758666387720734</v>
      </c>
      <c r="E25" s="93">
        <f t="shared" si="0"/>
        <v>6.2413336122792664</v>
      </c>
      <c r="F25" s="94">
        <f>AVERAGE($E$2:E25)</f>
        <v>11.720045446785958</v>
      </c>
    </row>
    <row r="26" spans="2:6" x14ac:dyDescent="0.25">
      <c r="B26" s="90">
        <v>25</v>
      </c>
      <c r="C26" s="91">
        <v>36</v>
      </c>
      <c r="D26" s="95">
        <f t="shared" si="1"/>
        <v>25.965886770113201</v>
      </c>
      <c r="E26" s="93">
        <f t="shared" si="0"/>
        <v>10.034113229886799</v>
      </c>
      <c r="F26" s="94">
        <f>AVERAGE($E$2:E26)</f>
        <v>11.652608158109992</v>
      </c>
    </row>
    <row r="27" spans="2:6" x14ac:dyDescent="0.25">
      <c r="B27" s="90">
        <v>26</v>
      </c>
      <c r="C27" s="91">
        <v>53</v>
      </c>
      <c r="D27" s="95">
        <f t="shared" si="1"/>
        <v>26.299032362006521</v>
      </c>
      <c r="E27" s="93">
        <f t="shared" si="0"/>
        <v>26.700967637993479</v>
      </c>
      <c r="F27" s="94">
        <f>AVERAGE($E$2:E27)</f>
        <v>12.231391215028587</v>
      </c>
    </row>
    <row r="28" spans="2:6" x14ac:dyDescent="0.25">
      <c r="B28" s="90">
        <v>27</v>
      </c>
      <c r="C28" s="91">
        <v>45</v>
      </c>
      <c r="D28" s="95">
        <f t="shared" si="1"/>
        <v>27.185539167748846</v>
      </c>
      <c r="E28" s="93">
        <f t="shared" si="0"/>
        <v>17.814460832251154</v>
      </c>
      <c r="F28" s="94">
        <f>AVERAGE($E$2:E28)</f>
        <v>12.438171571222016</v>
      </c>
    </row>
    <row r="29" spans="2:6" x14ac:dyDescent="0.25">
      <c r="B29" s="90">
        <v>28</v>
      </c>
      <c r="C29" s="91">
        <v>23</v>
      </c>
      <c r="D29" s="95">
        <f t="shared" si="1"/>
        <v>27.777002405431251</v>
      </c>
      <c r="E29" s="93">
        <f t="shared" si="0"/>
        <v>4.7770024054312508</v>
      </c>
      <c r="F29" s="94">
        <f>AVERAGE($E$2:E29)</f>
        <v>12.164558386729487</v>
      </c>
    </row>
    <row r="30" spans="2:6" x14ac:dyDescent="0.25">
      <c r="B30" s="90">
        <v>29</v>
      </c>
      <c r="C30" s="91">
        <v>16</v>
      </c>
      <c r="D30" s="95">
        <f t="shared" si="1"/>
        <v>27.618399721031288</v>
      </c>
      <c r="E30" s="93">
        <f t="shared" si="0"/>
        <v>11.618399721031288</v>
      </c>
      <c r="F30" s="94">
        <f>AVERAGE($E$2:E30)</f>
        <v>12.145725329291619</v>
      </c>
    </row>
    <row r="31" spans="2:6" x14ac:dyDescent="0.25">
      <c r="B31" s="90">
        <v>30</v>
      </c>
      <c r="C31" s="91">
        <v>20</v>
      </c>
      <c r="D31" s="95">
        <f t="shared" si="1"/>
        <v>27.23265375990465</v>
      </c>
      <c r="E31" s="93">
        <f t="shared" si="0"/>
        <v>7.2326537599046503</v>
      </c>
      <c r="F31" s="94">
        <f>AVERAGE($E$2:E31)</f>
        <v>11.981956276978719</v>
      </c>
    </row>
    <row r="32" spans="2:6" x14ac:dyDescent="0.25">
      <c r="B32" s="90">
        <v>31</v>
      </c>
      <c r="C32" s="91">
        <v>29</v>
      </c>
      <c r="D32" s="95">
        <f t="shared" si="1"/>
        <v>26.992520261049357</v>
      </c>
      <c r="E32" s="93">
        <f t="shared" si="0"/>
        <v>2.0074797389506429</v>
      </c>
      <c r="F32" s="94">
        <f>AVERAGE($E$2:E32)</f>
        <v>11.660198969300394</v>
      </c>
    </row>
    <row r="33" spans="2:6" x14ac:dyDescent="0.25">
      <c r="B33" s="90">
        <v>32</v>
      </c>
      <c r="C33" s="91">
        <v>78</v>
      </c>
      <c r="D33" s="95">
        <f t="shared" si="1"/>
        <v>27.059171195768187</v>
      </c>
      <c r="E33" s="93">
        <f t="shared" si="0"/>
        <v>50.940828804231813</v>
      </c>
      <c r="F33" s="94">
        <f>AVERAGE($E$2:E33)</f>
        <v>12.887718651642</v>
      </c>
    </row>
    <row r="34" spans="2:6" x14ac:dyDescent="0.25">
      <c r="B34" s="90">
        <v>33</v>
      </c>
      <c r="C34" s="91">
        <v>3</v>
      </c>
      <c r="D34" s="95">
        <f t="shared" si="1"/>
        <v>28.750472875818453</v>
      </c>
      <c r="E34" s="93">
        <f t="shared" si="0"/>
        <v>25.750472875818453</v>
      </c>
      <c r="F34" s="94">
        <f>AVERAGE($E$2:E34)</f>
        <v>13.27749908267765</v>
      </c>
    </row>
    <row r="35" spans="2:6" x14ac:dyDescent="0.25">
      <c r="B35" s="90">
        <v>34</v>
      </c>
      <c r="C35" s="91">
        <v>31</v>
      </c>
      <c r="D35" s="95">
        <f t="shared" si="1"/>
        <v>27.895523730716544</v>
      </c>
      <c r="E35" s="93">
        <f t="shared" si="0"/>
        <v>3.104476269283456</v>
      </c>
      <c r="F35" s="94">
        <f>AVERAGE($E$2:E35)</f>
        <v>12.978292529342527</v>
      </c>
    </row>
    <row r="36" spans="2:6" x14ac:dyDescent="0.25">
      <c r="B36" s="90">
        <v>35</v>
      </c>
      <c r="C36" s="91">
        <v>12</v>
      </c>
      <c r="D36" s="95">
        <f t="shared" si="1"/>
        <v>27.998596375060309</v>
      </c>
      <c r="E36" s="93">
        <f t="shared" si="0"/>
        <v>15.998596375060309</v>
      </c>
      <c r="F36" s="94">
        <f>AVERAGE($E$2:E36)</f>
        <v>13.064586924934463</v>
      </c>
    </row>
    <row r="37" spans="2:6" x14ac:dyDescent="0.25">
      <c r="B37" s="90">
        <v>36</v>
      </c>
      <c r="C37" s="91">
        <v>55</v>
      </c>
      <c r="D37" s="95">
        <f t="shared" si="1"/>
        <v>27.467422195865606</v>
      </c>
      <c r="E37" s="93">
        <f t="shared" si="0"/>
        <v>27.532577804134394</v>
      </c>
      <c r="F37" s="94">
        <f>AVERAGE($E$2:E37)</f>
        <v>13.466475560467794</v>
      </c>
    </row>
    <row r="38" spans="2:6" x14ac:dyDescent="0.25">
      <c r="B38" s="90">
        <v>37</v>
      </c>
      <c r="C38" s="91">
        <v>20</v>
      </c>
      <c r="D38" s="95">
        <f t="shared" si="1"/>
        <v>28.381539539248497</v>
      </c>
      <c r="E38" s="93">
        <f t="shared" si="0"/>
        <v>8.3815395392484966</v>
      </c>
      <c r="F38" s="94">
        <f>AVERAGE($E$2:E38)</f>
        <v>13.329044857191597</v>
      </c>
    </row>
    <row r="39" spans="2:6" x14ac:dyDescent="0.25">
      <c r="B39" s="90">
        <v>38</v>
      </c>
      <c r="C39" s="91">
        <v>6</v>
      </c>
      <c r="D39" s="95">
        <f t="shared" si="1"/>
        <v>28.10326154030551</v>
      </c>
      <c r="E39" s="93">
        <f t="shared" si="0"/>
        <v>22.10326154030551</v>
      </c>
      <c r="F39" s="94">
        <f>AVERAGE($E$2:E39)</f>
        <v>13.559945296220912</v>
      </c>
    </row>
    <row r="40" spans="2:6" x14ac:dyDescent="0.25">
      <c r="B40" s="90">
        <v>39</v>
      </c>
      <c r="C40" s="91">
        <v>59</v>
      </c>
      <c r="D40" s="95">
        <f t="shared" si="1"/>
        <v>27.369404548669685</v>
      </c>
      <c r="E40" s="93">
        <f t="shared" si="0"/>
        <v>31.630595451330315</v>
      </c>
      <c r="F40" s="94">
        <f>AVERAGE($E$2:E40)</f>
        <v>14.023295300198075</v>
      </c>
    </row>
    <row r="41" spans="2:6" x14ac:dyDescent="0.25">
      <c r="B41" s="90">
        <v>40</v>
      </c>
      <c r="C41" s="91">
        <v>51</v>
      </c>
      <c r="D41" s="95">
        <f t="shared" si="1"/>
        <v>28.419581400589713</v>
      </c>
      <c r="E41" s="93">
        <f t="shared" si="0"/>
        <v>22.580418599410287</v>
      </c>
      <c r="F41" s="94">
        <f>AVERAGE($E$2:E41)</f>
        <v>14.237223382678383</v>
      </c>
    </row>
    <row r="42" spans="2:6" x14ac:dyDescent="0.25">
      <c r="B42" s="90">
        <v>41</v>
      </c>
      <c r="C42" s="91">
        <v>2</v>
      </c>
      <c r="D42" s="95">
        <f t="shared" si="1"/>
        <v>29.169280626336278</v>
      </c>
      <c r="E42" s="93">
        <f t="shared" si="0"/>
        <v>27.169280626336278</v>
      </c>
      <c r="F42" s="94">
        <f>AVERAGE($E$2:E42)</f>
        <v>14.552639413011503</v>
      </c>
    </row>
    <row r="43" spans="2:6" x14ac:dyDescent="0.25">
      <c r="B43" s="90">
        <v>42</v>
      </c>
      <c r="C43" s="91">
        <v>67</v>
      </c>
      <c r="D43" s="95">
        <f t="shared" si="1"/>
        <v>28.267225221119503</v>
      </c>
      <c r="E43" s="93">
        <f t="shared" si="0"/>
        <v>38.732774778880497</v>
      </c>
      <c r="F43" s="94">
        <f>AVERAGE($E$2:E43)</f>
        <v>15.12835692172267</v>
      </c>
    </row>
    <row r="44" spans="2:6" x14ac:dyDescent="0.25">
      <c r="B44" s="90">
        <v>43</v>
      </c>
      <c r="C44" s="91">
        <v>65</v>
      </c>
      <c r="D44" s="95">
        <f t="shared" si="1"/>
        <v>29.553203651275847</v>
      </c>
      <c r="E44" s="93">
        <f t="shared" si="0"/>
        <v>35.446796348724149</v>
      </c>
      <c r="F44" s="94">
        <f>AVERAGE($E$2:E44)</f>
        <v>15.600878768862241</v>
      </c>
    </row>
    <row r="45" spans="2:6" x14ac:dyDescent="0.25">
      <c r="B45" s="90">
        <v>44</v>
      </c>
      <c r="C45" s="91">
        <v>43</v>
      </c>
      <c r="D45" s="95">
        <f t="shared" si="1"/>
        <v>30.730083329606021</v>
      </c>
      <c r="E45" s="93">
        <f t="shared" si="0"/>
        <v>12.269916670393979</v>
      </c>
      <c r="F45" s="94">
        <f>AVERAGE($E$2:E45)</f>
        <v>15.525175084806143</v>
      </c>
    </row>
    <row r="46" spans="2:6" x14ac:dyDescent="0.25">
      <c r="B46" s="90">
        <v>45</v>
      </c>
      <c r="C46" s="91">
        <v>27</v>
      </c>
      <c r="D46" s="95">
        <f t="shared" si="1"/>
        <v>31.137460499664748</v>
      </c>
      <c r="E46" s="93">
        <f t="shared" si="0"/>
        <v>4.1374604996647477</v>
      </c>
      <c r="F46" s="94">
        <f>AVERAGE($E$2:E46)</f>
        <v>15.27211476069189</v>
      </c>
    </row>
    <row r="47" spans="2:6" x14ac:dyDescent="0.25">
      <c r="B47" s="90">
        <v>46</v>
      </c>
      <c r="C47" s="91">
        <v>31</v>
      </c>
      <c r="D47" s="95">
        <f t="shared" si="1"/>
        <v>31.000091437195877</v>
      </c>
      <c r="E47" s="93">
        <f t="shared" si="0"/>
        <v>9.1437195877119848E-5</v>
      </c>
      <c r="F47" s="94">
        <f>AVERAGE($E$2:E47)</f>
        <v>14.940114253659369</v>
      </c>
    </row>
    <row r="48" spans="2:6" x14ac:dyDescent="0.25">
      <c r="B48" s="90">
        <v>47</v>
      </c>
      <c r="C48" s="91">
        <v>43</v>
      </c>
      <c r="D48" s="95">
        <f t="shared" si="1"/>
        <v>31.000088401362213</v>
      </c>
      <c r="E48" s="93">
        <f t="shared" si="0"/>
        <v>11.999911598637787</v>
      </c>
      <c r="F48" s="94">
        <f>AVERAGE($E$2:E48)</f>
        <v>14.877556750361038</v>
      </c>
    </row>
    <row r="49" spans="2:6" x14ac:dyDescent="0.25">
      <c r="B49" s="90">
        <v>48</v>
      </c>
      <c r="C49" s="91">
        <v>15</v>
      </c>
      <c r="D49" s="95">
        <f t="shared" si="1"/>
        <v>31.3985010523465</v>
      </c>
      <c r="E49" s="93">
        <f t="shared" si="0"/>
        <v>16.3985010523465</v>
      </c>
      <c r="F49" s="94">
        <f>AVERAGE($E$2:E49)</f>
        <v>14.909243089985736</v>
      </c>
    </row>
    <row r="50" spans="2:6" x14ac:dyDescent="0.25">
      <c r="B50" s="90">
        <v>49</v>
      </c>
      <c r="C50" s="91">
        <v>37</v>
      </c>
      <c r="D50" s="95">
        <f t="shared" si="1"/>
        <v>30.854049518455561</v>
      </c>
      <c r="E50" s="93">
        <f t="shared" si="0"/>
        <v>6.145950481544439</v>
      </c>
      <c r="F50" s="94">
        <f>AVERAGE($E$2:E50)</f>
        <v>14.730400383691016</v>
      </c>
    </row>
    <row r="51" spans="2:6" x14ac:dyDescent="0.25">
      <c r="B51" s="90">
        <v>50</v>
      </c>
      <c r="C51" s="91">
        <v>36</v>
      </c>
      <c r="D51" s="95">
        <f t="shared" si="1"/>
        <v>31.058103057020649</v>
      </c>
      <c r="E51" s="93">
        <f t="shared" si="0"/>
        <v>4.9418969429793513</v>
      </c>
      <c r="F51" s="103">
        <f>AVERAGE($E$2:E51)</f>
        <v>14.534630314876784</v>
      </c>
    </row>
    <row r="52" spans="2:6" ht="15.75" customHeight="1" x14ac:dyDescent="0.25">
      <c r="B52" s="90">
        <v>51</v>
      </c>
    </row>
  </sheetData>
  <conditionalFormatting sqref="I4:I13">
    <cfRule type="cellIs" dxfId="4" priority="1" operator="equal">
      <formula>$I$14</formula>
    </cfRule>
  </conditionalFormatting>
  <conditionalFormatting sqref="H4:H13">
    <cfRule type="cellIs" dxfId="3" priority="2" operator="equal">
      <formula>$H$14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zoomScale="96" zoomScaleNormal="96" workbookViewId="0">
      <selection activeCell="N19" sqref="N19"/>
    </sheetView>
  </sheetViews>
  <sheetFormatPr defaultRowHeight="15" x14ac:dyDescent="0.25"/>
  <cols>
    <col min="2" max="3" width="4.85546875" customWidth="1"/>
    <col min="4" max="4" width="7.28515625" customWidth="1"/>
    <col min="5" max="5" width="4.85546875" customWidth="1"/>
    <col min="7" max="7" width="2.7109375" customWidth="1"/>
  </cols>
  <sheetData>
    <row r="1" spans="2:10" x14ac:dyDescent="0.25">
      <c r="B1" s="1" t="s">
        <v>69</v>
      </c>
      <c r="C1" s="1" t="s">
        <v>12</v>
      </c>
      <c r="D1" s="1" t="s">
        <v>70</v>
      </c>
      <c r="E1" s="1" t="s">
        <v>23</v>
      </c>
      <c r="F1" s="1" t="s">
        <v>17</v>
      </c>
      <c r="H1" s="89">
        <v>3.3201298835361014E-2</v>
      </c>
      <c r="I1" t="str">
        <f>C1&amp;" vs "&amp;D1</f>
        <v>At vs Ft (ES)</v>
      </c>
    </row>
    <row r="2" spans="2:10" x14ac:dyDescent="0.25">
      <c r="B2" s="90">
        <v>1</v>
      </c>
      <c r="C2" s="91">
        <v>26</v>
      </c>
      <c r="D2" s="92">
        <f>C2</f>
        <v>26</v>
      </c>
      <c r="E2" s="93">
        <f t="shared" ref="E2:E33" si="0">ABS(C2-D2)</f>
        <v>0</v>
      </c>
      <c r="F2" s="94">
        <f>AVERAGE($E$2:E2)</f>
        <v>0</v>
      </c>
    </row>
    <row r="3" spans="2:10" ht="15.75" thickBot="1" x14ac:dyDescent="0.3">
      <c r="B3" s="90">
        <v>2</v>
      </c>
      <c r="C3" s="91">
        <v>22</v>
      </c>
      <c r="D3" s="95">
        <f t="shared" ref="D3:D34" si="1">(1-$H$1)*D2+$H$1*C2</f>
        <v>26</v>
      </c>
      <c r="E3" s="93">
        <f t="shared" si="0"/>
        <v>4</v>
      </c>
      <c r="F3" s="94">
        <f>AVERAGE($E$2:E3)</f>
        <v>2</v>
      </c>
      <c r="H3" s="90"/>
      <c r="I3" s="96">
        <f>F51</f>
        <v>14.534630314876784</v>
      </c>
    </row>
    <row r="4" spans="2:10" x14ac:dyDescent="0.25">
      <c r="B4" s="90">
        <v>3</v>
      </c>
      <c r="C4" s="91">
        <v>11</v>
      </c>
      <c r="D4" s="95">
        <f t="shared" si="1"/>
        <v>25.867194804658556</v>
      </c>
      <c r="E4" s="93">
        <f t="shared" si="0"/>
        <v>14.867194804658556</v>
      </c>
      <c r="F4" s="94">
        <f>AVERAGE($E$2:E4)</f>
        <v>6.2890649348861851</v>
      </c>
      <c r="H4" s="97">
        <v>0.1</v>
      </c>
      <c r="I4" s="98">
        <f t="dataTable" ref="I4:I13" dt2D="0" dtr="0" r1="H1"/>
        <v>14.578554657225675</v>
      </c>
      <c r="J4">
        <f>H4</f>
        <v>0.1</v>
      </c>
    </row>
    <row r="5" spans="2:10" x14ac:dyDescent="0.25">
      <c r="B5" s="90">
        <v>4</v>
      </c>
      <c r="C5" s="91">
        <v>3</v>
      </c>
      <c r="D5" s="95">
        <f t="shared" si="1"/>
        <v>25.373584627105558</v>
      </c>
      <c r="E5" s="93">
        <f t="shared" si="0"/>
        <v>22.373584627105558</v>
      </c>
      <c r="F5" s="94">
        <f>AVERAGE($E$2:E5)</f>
        <v>10.310194857941028</v>
      </c>
      <c r="H5" s="99">
        <f>H4+0.1</f>
        <v>0.2</v>
      </c>
      <c r="I5" s="100">
        <v>14.929098580075674</v>
      </c>
      <c r="J5">
        <f t="shared" ref="J5:J13" si="2">H5</f>
        <v>0.2</v>
      </c>
    </row>
    <row r="6" spans="2:10" x14ac:dyDescent="0.25">
      <c r="B6" s="90">
        <v>5</v>
      </c>
      <c r="C6" s="91">
        <v>28</v>
      </c>
      <c r="D6" s="95">
        <f t="shared" si="1"/>
        <v>24.630752557882786</v>
      </c>
      <c r="E6" s="93">
        <f t="shared" si="0"/>
        <v>3.3692474421172136</v>
      </c>
      <c r="F6" s="94">
        <f>AVERAGE($E$2:E6)</f>
        <v>8.9220053747762655</v>
      </c>
      <c r="H6" s="99">
        <f t="shared" ref="H6:H12" si="3">H5+0.1</f>
        <v>0.30000000000000004</v>
      </c>
      <c r="I6" s="100">
        <v>15.470062654408364</v>
      </c>
      <c r="J6">
        <f t="shared" si="2"/>
        <v>0.30000000000000004</v>
      </c>
    </row>
    <row r="7" spans="2:10" x14ac:dyDescent="0.25">
      <c r="B7" s="90">
        <v>6</v>
      </c>
      <c r="C7" s="91">
        <v>13</v>
      </c>
      <c r="D7" s="95">
        <f t="shared" si="1"/>
        <v>24.742615949058795</v>
      </c>
      <c r="E7" s="93">
        <f t="shared" si="0"/>
        <v>11.742615949058795</v>
      </c>
      <c r="F7" s="94">
        <f>AVERAGE($E$2:E7)</f>
        <v>9.3921071371566871</v>
      </c>
      <c r="H7" s="99">
        <f t="shared" si="3"/>
        <v>0.4</v>
      </c>
      <c r="I7" s="100">
        <v>16.111206141505487</v>
      </c>
      <c r="J7">
        <f t="shared" si="2"/>
        <v>0.4</v>
      </c>
    </row>
    <row r="8" spans="2:10" x14ac:dyDescent="0.25">
      <c r="B8" s="90">
        <v>7</v>
      </c>
      <c r="C8" s="91">
        <v>8</v>
      </c>
      <c r="D8" s="95">
        <f t="shared" si="1"/>
        <v>24.352745847825215</v>
      </c>
      <c r="E8" s="93">
        <f t="shared" si="0"/>
        <v>16.352745847825215</v>
      </c>
      <c r="F8" s="94">
        <f>AVERAGE($E$2:E8)</f>
        <v>10.386484095823619</v>
      </c>
      <c r="H8" s="99">
        <f t="shared" si="3"/>
        <v>0.5</v>
      </c>
      <c r="I8" s="100">
        <v>16.653022484399251</v>
      </c>
      <c r="J8">
        <f t="shared" si="2"/>
        <v>0.5</v>
      </c>
    </row>
    <row r="9" spans="2:10" x14ac:dyDescent="0.25">
      <c r="B9" s="90">
        <v>8</v>
      </c>
      <c r="C9" s="91">
        <v>7</v>
      </c>
      <c r="D9" s="95">
        <f t="shared" si="1"/>
        <v>23.809813446152859</v>
      </c>
      <c r="E9" s="93">
        <f t="shared" si="0"/>
        <v>16.809813446152859</v>
      </c>
      <c r="F9" s="94">
        <f>AVERAGE($E$2:E9)</f>
        <v>11.189400264614774</v>
      </c>
      <c r="H9" s="99">
        <f t="shared" si="3"/>
        <v>0.6</v>
      </c>
      <c r="I9" s="100">
        <v>17.108600755693789</v>
      </c>
      <c r="J9">
        <f t="shared" si="2"/>
        <v>0.6</v>
      </c>
    </row>
    <row r="10" spans="2:10" x14ac:dyDescent="0.25">
      <c r="B10" s="90">
        <v>9</v>
      </c>
      <c r="C10" s="91">
        <v>32</v>
      </c>
      <c r="D10" s="95">
        <f t="shared" si="1"/>
        <v>23.251705806560466</v>
      </c>
      <c r="E10" s="93">
        <f t="shared" si="0"/>
        <v>8.7482941934395342</v>
      </c>
      <c r="F10" s="94">
        <f>AVERAGE($E$2:E10)</f>
        <v>10.918166256706414</v>
      </c>
      <c r="H10" s="99">
        <f t="shared" si="3"/>
        <v>0.7</v>
      </c>
      <c r="I10" s="100">
        <v>17.486861527124294</v>
      </c>
      <c r="J10">
        <f t="shared" si="2"/>
        <v>0.7</v>
      </c>
    </row>
    <row r="11" spans="2:10" x14ac:dyDescent="0.25">
      <c r="B11" s="90">
        <v>10</v>
      </c>
      <c r="C11" s="91">
        <v>41</v>
      </c>
      <c r="D11" s="95">
        <f t="shared" si="1"/>
        <v>23.542160536376507</v>
      </c>
      <c r="E11" s="93">
        <f t="shared" si="0"/>
        <v>17.457839463623493</v>
      </c>
      <c r="F11" s="94">
        <f>AVERAGE($E$2:E11)</f>
        <v>11.572133577398123</v>
      </c>
      <c r="H11" s="99">
        <f t="shared" si="3"/>
        <v>0.79999999999999993</v>
      </c>
      <c r="I11" s="100">
        <v>17.904713947207959</v>
      </c>
      <c r="J11">
        <f t="shared" si="2"/>
        <v>0.79999999999999993</v>
      </c>
    </row>
    <row r="12" spans="2:10" x14ac:dyDescent="0.25">
      <c r="B12" s="90">
        <v>11</v>
      </c>
      <c r="C12" s="91">
        <v>9</v>
      </c>
      <c r="D12" s="95">
        <f t="shared" si="1"/>
        <v>24.121783481428029</v>
      </c>
      <c r="E12" s="93">
        <f t="shared" si="0"/>
        <v>15.121783481428029</v>
      </c>
      <c r="F12" s="94">
        <f>AVERAGE($E$2:E12)</f>
        <v>11.894829023219023</v>
      </c>
      <c r="H12" s="99">
        <f t="shared" si="3"/>
        <v>0.89999999999999991</v>
      </c>
      <c r="I12" s="100">
        <v>18.518364686657335</v>
      </c>
      <c r="J12">
        <f t="shared" si="2"/>
        <v>0.89999999999999991</v>
      </c>
    </row>
    <row r="13" spans="2:10" ht="15.75" thickBot="1" x14ac:dyDescent="0.3">
      <c r="B13" s="90">
        <v>12</v>
      </c>
      <c r="C13" s="91">
        <v>14</v>
      </c>
      <c r="D13" s="95">
        <f t="shared" si="1"/>
        <v>23.619720629137511</v>
      </c>
      <c r="E13" s="93">
        <f t="shared" si="0"/>
        <v>9.619720629137511</v>
      </c>
      <c r="F13" s="94">
        <f>AVERAGE($E$2:E13)</f>
        <v>11.705236657045562</v>
      </c>
      <c r="H13" s="101">
        <f>H12+0.1</f>
        <v>0.99999999999999989</v>
      </c>
      <c r="I13" s="102">
        <v>19.28</v>
      </c>
      <c r="J13">
        <f t="shared" si="2"/>
        <v>0.99999999999999989</v>
      </c>
    </row>
    <row r="14" spans="2:10" x14ac:dyDescent="0.25">
      <c r="B14" s="90">
        <v>13</v>
      </c>
      <c r="C14" s="91">
        <v>35</v>
      </c>
      <c r="D14" s="95">
        <f t="shared" si="1"/>
        <v>23.30033340981683</v>
      </c>
      <c r="E14" s="93">
        <f t="shared" si="0"/>
        <v>11.69966659018317</v>
      </c>
      <c r="F14" s="94">
        <f>AVERAGE($E$2:E14)</f>
        <v>11.70480819036384</v>
      </c>
      <c r="H14" s="90">
        <f>VLOOKUP(I14,I4:J13,2)</f>
        <v>0.1</v>
      </c>
      <c r="I14" s="90">
        <f>MIN(I4:I13)</f>
        <v>14.578554657225675</v>
      </c>
    </row>
    <row r="15" spans="2:10" x14ac:dyDescent="0.25">
      <c r="B15" s="90">
        <v>14</v>
      </c>
      <c r="C15" s="91">
        <v>39</v>
      </c>
      <c r="D15" s="95">
        <f t="shared" si="1"/>
        <v>23.688777536551591</v>
      </c>
      <c r="E15" s="93">
        <f t="shared" si="0"/>
        <v>15.311222463448409</v>
      </c>
      <c r="F15" s="94">
        <f>AVERAGE($E$2:E15)</f>
        <v>11.962409209869881</v>
      </c>
      <c r="H15" s="90"/>
    </row>
    <row r="16" spans="2:10" x14ac:dyDescent="0.25">
      <c r="B16" s="90">
        <v>15</v>
      </c>
      <c r="C16" s="91">
        <v>28</v>
      </c>
      <c r="D16" s="95">
        <f t="shared" si="1"/>
        <v>24.197130009095233</v>
      </c>
      <c r="E16" s="93">
        <f t="shared" si="0"/>
        <v>3.8028699909047674</v>
      </c>
      <c r="F16" s="94">
        <f>AVERAGE($E$2:E16)</f>
        <v>11.41843992860554</v>
      </c>
    </row>
    <row r="17" spans="2:6" x14ac:dyDescent="0.25">
      <c r="B17" s="90">
        <v>16</v>
      </c>
      <c r="C17" s="91">
        <v>19</v>
      </c>
      <c r="D17" s="95">
        <f t="shared" si="1"/>
        <v>24.323390232095289</v>
      </c>
      <c r="E17" s="93">
        <f t="shared" si="0"/>
        <v>5.3233902320952886</v>
      </c>
      <c r="F17" s="94">
        <f>AVERAGE($E$2:E17)</f>
        <v>11.037499322573648</v>
      </c>
    </row>
    <row r="18" spans="2:6" x14ac:dyDescent="0.25">
      <c r="B18" s="90">
        <v>17</v>
      </c>
      <c r="C18" s="91">
        <v>68</v>
      </c>
      <c r="D18" s="95">
        <f t="shared" si="1"/>
        <v>24.14664676218225</v>
      </c>
      <c r="E18" s="93">
        <f t="shared" si="0"/>
        <v>43.85335323781775</v>
      </c>
      <c r="F18" s="94">
        <f>AVERAGE($E$2:E18)</f>
        <v>12.967843670529183</v>
      </c>
    </row>
    <row r="19" spans="2:6" x14ac:dyDescent="0.25">
      <c r="B19" s="90">
        <v>18</v>
      </c>
      <c r="C19" s="91">
        <v>16</v>
      </c>
      <c r="D19" s="95">
        <f t="shared" si="1"/>
        <v>25.60263504796368</v>
      </c>
      <c r="E19" s="93">
        <f t="shared" si="0"/>
        <v>9.6026350479636804</v>
      </c>
      <c r="F19" s="94">
        <f>AVERAGE($E$2:E19)</f>
        <v>12.780887635942211</v>
      </c>
    </row>
    <row r="20" spans="2:6" x14ac:dyDescent="0.25">
      <c r="B20" s="90">
        <v>19</v>
      </c>
      <c r="C20" s="91">
        <v>27</v>
      </c>
      <c r="D20" s="95">
        <f t="shared" si="1"/>
        <v>25.283815092129323</v>
      </c>
      <c r="E20" s="93">
        <f t="shared" si="0"/>
        <v>1.7161849078706766</v>
      </c>
      <c r="F20" s="94">
        <f>AVERAGE($E$2:E20)</f>
        <v>12.198534860780551</v>
      </c>
    </row>
    <row r="21" spans="2:6" x14ac:dyDescent="0.25">
      <c r="B21" s="90">
        <v>20</v>
      </c>
      <c r="C21" s="91">
        <v>10</v>
      </c>
      <c r="D21" s="95">
        <f t="shared" si="1"/>
        <v>25.340794660112273</v>
      </c>
      <c r="E21" s="93">
        <f t="shared" si="0"/>
        <v>15.340794660112273</v>
      </c>
      <c r="F21" s="94">
        <f>AVERAGE($E$2:E21)</f>
        <v>12.355647850747136</v>
      </c>
    </row>
    <row r="22" spans="2:6" x14ac:dyDescent="0.25">
      <c r="B22" s="90">
        <v>21</v>
      </c>
      <c r="C22" s="91">
        <v>27</v>
      </c>
      <c r="D22" s="95">
        <f t="shared" si="1"/>
        <v>24.831460352229975</v>
      </c>
      <c r="E22" s="93">
        <f t="shared" si="0"/>
        <v>2.1685396477700252</v>
      </c>
      <c r="F22" s="94">
        <f>AVERAGE($E$2:E22)</f>
        <v>11.870547460129179</v>
      </c>
    </row>
    <row r="23" spans="2:6" x14ac:dyDescent="0.25">
      <c r="B23" s="90">
        <v>22</v>
      </c>
      <c r="C23" s="91">
        <v>38</v>
      </c>
      <c r="D23" s="95">
        <f t="shared" si="1"/>
        <v>24.903458685111914</v>
      </c>
      <c r="E23" s="93">
        <f t="shared" si="0"/>
        <v>13.096541314888086</v>
      </c>
      <c r="F23" s="94">
        <f>AVERAGE($E$2:E23)</f>
        <v>11.926274453527311</v>
      </c>
    </row>
    <row r="24" spans="2:6" x14ac:dyDescent="0.25">
      <c r="B24" s="90">
        <v>23</v>
      </c>
      <c r="C24" s="91">
        <v>38</v>
      </c>
      <c r="D24" s="95">
        <f t="shared" si="1"/>
        <v>25.338280867017165</v>
      </c>
      <c r="E24" s="93">
        <f t="shared" si="0"/>
        <v>12.661719132982835</v>
      </c>
      <c r="F24" s="94">
        <f>AVERAGE($E$2:E24)</f>
        <v>11.958250309155813</v>
      </c>
    </row>
    <row r="25" spans="2:6" x14ac:dyDescent="0.25">
      <c r="B25" s="90">
        <v>24</v>
      </c>
      <c r="C25" s="91">
        <v>32</v>
      </c>
      <c r="D25" s="95">
        <f t="shared" si="1"/>
        <v>25.758666387720734</v>
      </c>
      <c r="E25" s="93">
        <f t="shared" si="0"/>
        <v>6.2413336122792664</v>
      </c>
      <c r="F25" s="94">
        <f>AVERAGE($E$2:E25)</f>
        <v>11.720045446785958</v>
      </c>
    </row>
    <row r="26" spans="2:6" x14ac:dyDescent="0.25">
      <c r="B26" s="90">
        <v>25</v>
      </c>
      <c r="C26" s="91">
        <v>36</v>
      </c>
      <c r="D26" s="95">
        <f t="shared" si="1"/>
        <v>25.965886770113201</v>
      </c>
      <c r="E26" s="93">
        <f t="shared" si="0"/>
        <v>10.034113229886799</v>
      </c>
      <c r="F26" s="94">
        <f>AVERAGE($E$2:E26)</f>
        <v>11.652608158109992</v>
      </c>
    </row>
    <row r="27" spans="2:6" x14ac:dyDescent="0.25">
      <c r="B27" s="90">
        <v>26</v>
      </c>
      <c r="C27" s="91">
        <v>53</v>
      </c>
      <c r="D27" s="95">
        <f t="shared" si="1"/>
        <v>26.299032362006521</v>
      </c>
      <c r="E27" s="93">
        <f t="shared" si="0"/>
        <v>26.700967637993479</v>
      </c>
      <c r="F27" s="94">
        <f>AVERAGE($E$2:E27)</f>
        <v>12.231391215028587</v>
      </c>
    </row>
    <row r="28" spans="2:6" x14ac:dyDescent="0.25">
      <c r="B28" s="90">
        <v>27</v>
      </c>
      <c r="C28" s="91">
        <v>45</v>
      </c>
      <c r="D28" s="95">
        <f t="shared" si="1"/>
        <v>27.185539167748846</v>
      </c>
      <c r="E28" s="93">
        <f t="shared" si="0"/>
        <v>17.814460832251154</v>
      </c>
      <c r="F28" s="94">
        <f>AVERAGE($E$2:E28)</f>
        <v>12.438171571222016</v>
      </c>
    </row>
    <row r="29" spans="2:6" x14ac:dyDescent="0.25">
      <c r="B29" s="90">
        <v>28</v>
      </c>
      <c r="C29" s="91">
        <v>23</v>
      </c>
      <c r="D29" s="95">
        <f t="shared" si="1"/>
        <v>27.777002405431251</v>
      </c>
      <c r="E29" s="93">
        <f t="shared" si="0"/>
        <v>4.7770024054312508</v>
      </c>
      <c r="F29" s="94">
        <f>AVERAGE($E$2:E29)</f>
        <v>12.164558386729487</v>
      </c>
    </row>
    <row r="30" spans="2:6" x14ac:dyDescent="0.25">
      <c r="B30" s="90">
        <v>29</v>
      </c>
      <c r="C30" s="91">
        <v>16</v>
      </c>
      <c r="D30" s="95">
        <f t="shared" si="1"/>
        <v>27.618399721031288</v>
      </c>
      <c r="E30" s="93">
        <f t="shared" si="0"/>
        <v>11.618399721031288</v>
      </c>
      <c r="F30" s="94">
        <f>AVERAGE($E$2:E30)</f>
        <v>12.145725329291619</v>
      </c>
    </row>
    <row r="31" spans="2:6" x14ac:dyDescent="0.25">
      <c r="B31" s="90">
        <v>30</v>
      </c>
      <c r="C31" s="91">
        <v>20</v>
      </c>
      <c r="D31" s="95">
        <f t="shared" si="1"/>
        <v>27.23265375990465</v>
      </c>
      <c r="E31" s="93">
        <f t="shared" si="0"/>
        <v>7.2326537599046503</v>
      </c>
      <c r="F31" s="94">
        <f>AVERAGE($E$2:E31)</f>
        <v>11.981956276978719</v>
      </c>
    </row>
    <row r="32" spans="2:6" x14ac:dyDescent="0.25">
      <c r="B32" s="90">
        <v>31</v>
      </c>
      <c r="C32" s="91">
        <v>29</v>
      </c>
      <c r="D32" s="95">
        <f t="shared" si="1"/>
        <v>26.992520261049357</v>
      </c>
      <c r="E32" s="93">
        <f t="shared" si="0"/>
        <v>2.0074797389506429</v>
      </c>
      <c r="F32" s="94">
        <f>AVERAGE($E$2:E32)</f>
        <v>11.660198969300394</v>
      </c>
    </row>
    <row r="33" spans="2:6" x14ac:dyDescent="0.25">
      <c r="B33" s="90">
        <v>32</v>
      </c>
      <c r="C33" s="91">
        <v>78</v>
      </c>
      <c r="D33" s="95">
        <f t="shared" si="1"/>
        <v>27.059171195768187</v>
      </c>
      <c r="E33" s="93">
        <f t="shared" si="0"/>
        <v>50.940828804231813</v>
      </c>
      <c r="F33" s="94">
        <f>AVERAGE($E$2:E33)</f>
        <v>12.887718651642</v>
      </c>
    </row>
    <row r="34" spans="2:6" x14ac:dyDescent="0.25">
      <c r="B34" s="90">
        <v>33</v>
      </c>
      <c r="C34" s="91">
        <v>3</v>
      </c>
      <c r="D34" s="95">
        <f t="shared" si="1"/>
        <v>28.750472875818453</v>
      </c>
      <c r="E34" s="93">
        <f t="shared" ref="E34:E51" si="4">ABS(C34-D34)</f>
        <v>25.750472875818453</v>
      </c>
      <c r="F34" s="94">
        <f>AVERAGE($E$2:E34)</f>
        <v>13.27749908267765</v>
      </c>
    </row>
    <row r="35" spans="2:6" x14ac:dyDescent="0.25">
      <c r="B35" s="90">
        <v>34</v>
      </c>
      <c r="C35" s="91">
        <v>31</v>
      </c>
      <c r="D35" s="95">
        <f t="shared" ref="D35:D51" si="5">(1-$H$1)*D34+$H$1*C34</f>
        <v>27.895523730716544</v>
      </c>
      <c r="E35" s="93">
        <f t="shared" si="4"/>
        <v>3.104476269283456</v>
      </c>
      <c r="F35" s="94">
        <f>AVERAGE($E$2:E35)</f>
        <v>12.978292529342527</v>
      </c>
    </row>
    <row r="36" spans="2:6" x14ac:dyDescent="0.25">
      <c r="B36" s="90">
        <v>35</v>
      </c>
      <c r="C36" s="91">
        <v>12</v>
      </c>
      <c r="D36" s="95">
        <f t="shared" si="5"/>
        <v>27.998596375060309</v>
      </c>
      <c r="E36" s="93">
        <f t="shared" si="4"/>
        <v>15.998596375060309</v>
      </c>
      <c r="F36" s="94">
        <f>AVERAGE($E$2:E36)</f>
        <v>13.064586924934463</v>
      </c>
    </row>
    <row r="37" spans="2:6" x14ac:dyDescent="0.25">
      <c r="B37" s="90">
        <v>36</v>
      </c>
      <c r="C37" s="91">
        <v>55</v>
      </c>
      <c r="D37" s="95">
        <f t="shared" si="5"/>
        <v>27.467422195865606</v>
      </c>
      <c r="E37" s="93">
        <f t="shared" si="4"/>
        <v>27.532577804134394</v>
      </c>
      <c r="F37" s="94">
        <f>AVERAGE($E$2:E37)</f>
        <v>13.466475560467794</v>
      </c>
    </row>
    <row r="38" spans="2:6" x14ac:dyDescent="0.25">
      <c r="B38" s="90">
        <v>37</v>
      </c>
      <c r="C38" s="91">
        <v>20</v>
      </c>
      <c r="D38" s="95">
        <f t="shared" si="5"/>
        <v>28.381539539248497</v>
      </c>
      <c r="E38" s="93">
        <f t="shared" si="4"/>
        <v>8.3815395392484966</v>
      </c>
      <c r="F38" s="94">
        <f>AVERAGE($E$2:E38)</f>
        <v>13.329044857191597</v>
      </c>
    </row>
    <row r="39" spans="2:6" x14ac:dyDescent="0.25">
      <c r="B39" s="90">
        <v>38</v>
      </c>
      <c r="C39" s="91">
        <v>6</v>
      </c>
      <c r="D39" s="95">
        <f t="shared" si="5"/>
        <v>28.10326154030551</v>
      </c>
      <c r="E39" s="93">
        <f t="shared" si="4"/>
        <v>22.10326154030551</v>
      </c>
      <c r="F39" s="94">
        <f>AVERAGE($E$2:E39)</f>
        <v>13.559945296220912</v>
      </c>
    </row>
    <row r="40" spans="2:6" x14ac:dyDescent="0.25">
      <c r="B40" s="90">
        <v>39</v>
      </c>
      <c r="C40" s="91">
        <v>59</v>
      </c>
      <c r="D40" s="95">
        <f t="shared" si="5"/>
        <v>27.369404548669685</v>
      </c>
      <c r="E40" s="93">
        <f t="shared" si="4"/>
        <v>31.630595451330315</v>
      </c>
      <c r="F40" s="94">
        <f>AVERAGE($E$2:E40)</f>
        <v>14.023295300198075</v>
      </c>
    </row>
    <row r="41" spans="2:6" x14ac:dyDescent="0.25">
      <c r="B41" s="90">
        <v>40</v>
      </c>
      <c r="C41" s="91">
        <v>51</v>
      </c>
      <c r="D41" s="95">
        <f t="shared" si="5"/>
        <v>28.419581400589713</v>
      </c>
      <c r="E41" s="93">
        <f t="shared" si="4"/>
        <v>22.580418599410287</v>
      </c>
      <c r="F41" s="94">
        <f>AVERAGE($E$2:E41)</f>
        <v>14.237223382678383</v>
      </c>
    </row>
    <row r="42" spans="2:6" x14ac:dyDescent="0.25">
      <c r="B42" s="90">
        <v>41</v>
      </c>
      <c r="C42" s="91">
        <v>2</v>
      </c>
      <c r="D42" s="95">
        <f t="shared" si="5"/>
        <v>29.169280626336278</v>
      </c>
      <c r="E42" s="93">
        <f t="shared" si="4"/>
        <v>27.169280626336278</v>
      </c>
      <c r="F42" s="94">
        <f>AVERAGE($E$2:E42)</f>
        <v>14.552639413011503</v>
      </c>
    </row>
    <row r="43" spans="2:6" x14ac:dyDescent="0.25">
      <c r="B43" s="90">
        <v>42</v>
      </c>
      <c r="C43" s="91">
        <v>67</v>
      </c>
      <c r="D43" s="95">
        <f t="shared" si="5"/>
        <v>28.267225221119503</v>
      </c>
      <c r="E43" s="93">
        <f t="shared" si="4"/>
        <v>38.732774778880497</v>
      </c>
      <c r="F43" s="94">
        <f>AVERAGE($E$2:E43)</f>
        <v>15.12835692172267</v>
      </c>
    </row>
    <row r="44" spans="2:6" x14ac:dyDescent="0.25">
      <c r="B44" s="90">
        <v>43</v>
      </c>
      <c r="C44" s="91">
        <v>65</v>
      </c>
      <c r="D44" s="95">
        <f t="shared" si="5"/>
        <v>29.553203651275847</v>
      </c>
      <c r="E44" s="93">
        <f t="shared" si="4"/>
        <v>35.446796348724149</v>
      </c>
      <c r="F44" s="94">
        <f>AVERAGE($E$2:E44)</f>
        <v>15.600878768862241</v>
      </c>
    </row>
    <row r="45" spans="2:6" x14ac:dyDescent="0.25">
      <c r="B45" s="90">
        <v>44</v>
      </c>
      <c r="C45" s="91">
        <v>43</v>
      </c>
      <c r="D45" s="95">
        <f t="shared" si="5"/>
        <v>30.730083329606021</v>
      </c>
      <c r="E45" s="93">
        <f t="shared" si="4"/>
        <v>12.269916670393979</v>
      </c>
      <c r="F45" s="94">
        <f>AVERAGE($E$2:E45)</f>
        <v>15.525175084806143</v>
      </c>
    </row>
    <row r="46" spans="2:6" x14ac:dyDescent="0.25">
      <c r="B46" s="90">
        <v>45</v>
      </c>
      <c r="C46" s="91">
        <v>27</v>
      </c>
      <c r="D46" s="95">
        <f t="shared" si="5"/>
        <v>31.137460499664748</v>
      </c>
      <c r="E46" s="93">
        <f t="shared" si="4"/>
        <v>4.1374604996647477</v>
      </c>
      <c r="F46" s="94">
        <f>AVERAGE($E$2:E46)</f>
        <v>15.27211476069189</v>
      </c>
    </row>
    <row r="47" spans="2:6" x14ac:dyDescent="0.25">
      <c r="B47" s="90">
        <v>46</v>
      </c>
      <c r="C47" s="91">
        <v>31</v>
      </c>
      <c r="D47" s="95">
        <f t="shared" si="5"/>
        <v>31.000091437195877</v>
      </c>
      <c r="E47" s="93">
        <f t="shared" si="4"/>
        <v>9.1437195877119848E-5</v>
      </c>
      <c r="F47" s="94">
        <f>AVERAGE($E$2:E47)</f>
        <v>14.940114253659369</v>
      </c>
    </row>
    <row r="48" spans="2:6" x14ac:dyDescent="0.25">
      <c r="B48" s="90">
        <v>47</v>
      </c>
      <c r="C48" s="91">
        <v>43</v>
      </c>
      <c r="D48" s="95">
        <f t="shared" si="5"/>
        <v>31.000088401362213</v>
      </c>
      <c r="E48" s="93">
        <f t="shared" si="4"/>
        <v>11.999911598637787</v>
      </c>
      <c r="F48" s="94">
        <f>AVERAGE($E$2:E48)</f>
        <v>14.877556750361038</v>
      </c>
    </row>
    <row r="49" spans="2:6" x14ac:dyDescent="0.25">
      <c r="B49" s="90">
        <v>48</v>
      </c>
      <c r="C49" s="91">
        <v>15</v>
      </c>
      <c r="D49" s="95">
        <f t="shared" si="5"/>
        <v>31.3985010523465</v>
      </c>
      <c r="E49" s="93">
        <f t="shared" si="4"/>
        <v>16.3985010523465</v>
      </c>
      <c r="F49" s="94">
        <f>AVERAGE($E$2:E49)</f>
        <v>14.909243089985736</v>
      </c>
    </row>
    <row r="50" spans="2:6" x14ac:dyDescent="0.25">
      <c r="B50" s="90">
        <v>49</v>
      </c>
      <c r="C50" s="91">
        <v>37</v>
      </c>
      <c r="D50" s="95">
        <f t="shared" si="5"/>
        <v>30.854049518455561</v>
      </c>
      <c r="E50" s="93">
        <f t="shared" si="4"/>
        <v>6.145950481544439</v>
      </c>
      <c r="F50" s="94">
        <f>AVERAGE($E$2:E50)</f>
        <v>14.730400383691016</v>
      </c>
    </row>
    <row r="51" spans="2:6" x14ac:dyDescent="0.25">
      <c r="B51" s="90">
        <v>50</v>
      </c>
      <c r="C51" s="91">
        <v>36</v>
      </c>
      <c r="D51" s="95">
        <f t="shared" si="5"/>
        <v>31.058103057020649</v>
      </c>
      <c r="E51" s="93">
        <f t="shared" si="4"/>
        <v>4.9418969429793513</v>
      </c>
      <c r="F51" s="103">
        <f>AVERAGE($E$2:E51)</f>
        <v>14.534630314876784</v>
      </c>
    </row>
    <row r="52" spans="2:6" ht="15.75" customHeight="1" x14ac:dyDescent="0.25">
      <c r="B52" s="90">
        <v>51</v>
      </c>
    </row>
  </sheetData>
  <conditionalFormatting sqref="I4:I13">
    <cfRule type="cellIs" dxfId="2" priority="1" operator="equal">
      <formula>$I$14</formula>
    </cfRule>
  </conditionalFormatting>
  <conditionalFormatting sqref="H4:H13">
    <cfRule type="cellIs" dxfId="1" priority="2" operator="equal">
      <formula>$H$14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zoomScaleNormal="100" workbookViewId="0">
      <selection activeCell="E36" sqref="E36"/>
    </sheetView>
  </sheetViews>
  <sheetFormatPr defaultRowHeight="12.75" x14ac:dyDescent="0.2"/>
  <cols>
    <col min="1" max="1" width="4.42578125" style="25" bestFit="1" customWidth="1"/>
    <col min="2" max="2" width="9.5703125" style="25" bestFit="1" customWidth="1"/>
    <col min="3" max="3" width="6.28515625" style="25" bestFit="1" customWidth="1"/>
    <col min="4" max="4" width="10.140625" style="25" bestFit="1" customWidth="1"/>
    <col min="5" max="5" width="16.7109375" style="25" bestFit="1" customWidth="1"/>
    <col min="6" max="6" width="7.140625" style="25" bestFit="1" customWidth="1"/>
    <col min="7" max="7" width="6.28515625" style="25" bestFit="1" customWidth="1"/>
    <col min="8" max="8" width="11.140625" style="25" customWidth="1"/>
    <col min="9" max="9" width="11.5703125" style="25" bestFit="1" customWidth="1"/>
    <col min="10" max="10" width="8" style="25" bestFit="1" customWidth="1"/>
    <col min="11" max="11" width="9.140625" style="25"/>
    <col min="12" max="12" width="13.5703125" style="25" bestFit="1" customWidth="1"/>
    <col min="13" max="15" width="9.140625" style="25"/>
    <col min="16" max="16" width="10.5703125" style="25" bestFit="1" customWidth="1"/>
    <col min="17" max="16384" width="9.140625" style="25"/>
  </cols>
  <sheetData>
    <row r="1" spans="1:17" x14ac:dyDescent="0.2">
      <c r="A1" s="24" t="str">
        <f>[2]ArdiData!A2</f>
        <v>Per.</v>
      </c>
      <c r="B1" s="142" t="s">
        <v>111</v>
      </c>
      <c r="C1" s="41" t="s">
        <v>60</v>
      </c>
      <c r="D1" s="141" t="s">
        <v>110</v>
      </c>
      <c r="E1" s="139" t="s">
        <v>30</v>
      </c>
      <c r="F1" s="139" t="s">
        <v>23</v>
      </c>
      <c r="G1" s="140" t="s">
        <v>17</v>
      </c>
      <c r="H1" s="140"/>
      <c r="I1" s="139" t="s">
        <v>109</v>
      </c>
      <c r="J1" s="139" t="s">
        <v>108</v>
      </c>
      <c r="L1" s="138">
        <v>0.54204157976182277</v>
      </c>
      <c r="M1" s="25" t="s">
        <v>17</v>
      </c>
      <c r="N1" s="132">
        <f>G76</f>
        <v>633.24725790333298</v>
      </c>
      <c r="O1" s="130" t="s">
        <v>112</v>
      </c>
      <c r="P1" s="143">
        <f>AVERAGE(E2:E76)</f>
        <v>263.0709568826228</v>
      </c>
      <c r="Q1" s="25" t="str">
        <f>" F(next) ~ N ( "&amp;ROUND(N1,0)&amp;", "&amp;ROUND(1.25*G76,0)&amp;")"</f>
        <v xml:space="preserve"> F(next) ~ N ( 633, 792)</v>
      </c>
    </row>
    <row r="2" spans="1:17" x14ac:dyDescent="0.2">
      <c r="A2" s="24">
        <f>[2]ArdiData!A3</f>
        <v>1</v>
      </c>
      <c r="B2" s="136">
        <f ca="1">'0.ArdiData'!C3</f>
        <v>1730</v>
      </c>
      <c r="C2" s="135">
        <v>813.7560202157822</v>
      </c>
      <c r="D2" s="132">
        <f>C2</f>
        <v>813.7560202157822</v>
      </c>
      <c r="E2" s="134">
        <f>C2-D2</f>
        <v>0</v>
      </c>
      <c r="F2" s="134">
        <f t="shared" ref="F2:F33" si="0">ABS(E2)</f>
        <v>0</v>
      </c>
      <c r="G2" s="131">
        <f>SUM(F$2:F2)/COUNT(F$2:F2)</f>
        <v>0</v>
      </c>
      <c r="H2" s="131">
        <f>E2^2</f>
        <v>0</v>
      </c>
      <c r="I2" s="133">
        <f>(E2-$P$1)^2</f>
        <v>69206.328355138787</v>
      </c>
      <c r="J2" s="131" t="e">
        <f>SQRT(SUM(I$2:I2)/(COUNT(I$2:I2)-1))</f>
        <v>#DIV/0!</v>
      </c>
      <c r="O2" s="25" t="s">
        <v>113</v>
      </c>
      <c r="P2" s="143">
        <f>J76</f>
        <v>821.15954338352992</v>
      </c>
    </row>
    <row r="3" spans="1:17" x14ac:dyDescent="0.2">
      <c r="A3" s="24">
        <f>[2]ArdiData!A4</f>
        <v>2</v>
      </c>
      <c r="B3" s="136">
        <f ca="1">'0.ArdiData'!C4</f>
        <v>1841</v>
      </c>
      <c r="C3" s="135">
        <v>971.91895568188852</v>
      </c>
      <c r="D3" s="132">
        <f t="shared" ref="D3:D34" si="1">$L$1*C2+(1-$L$1)*D2</f>
        <v>813.7560202157822</v>
      </c>
      <c r="E3" s="134">
        <f t="shared" ref="E3:E66" si="2">C3-D3</f>
        <v>158.16293546610632</v>
      </c>
      <c r="F3" s="134">
        <f t="shared" si="0"/>
        <v>158.16293546610632</v>
      </c>
      <c r="G3" s="131">
        <f>SUM(F$2:F3)/COUNT(F$2:F3)</f>
        <v>79.081467733053159</v>
      </c>
      <c r="H3" s="131">
        <f t="shared" ref="H3:H66" si="3">E3^2</f>
        <v>25015.514155255711</v>
      </c>
      <c r="I3" s="133">
        <f t="shared" ref="I3:I66" si="4">(E3-$P$1)^2</f>
        <v>11005.692957528279</v>
      </c>
      <c r="J3" s="131">
        <f>SQRT(SUM(I$2:I3)/(COUNT(I$2:I3)-1))</f>
        <v>283.21726874021482</v>
      </c>
      <c r="L3" s="137">
        <f>G76</f>
        <v>633.24725790333298</v>
      </c>
      <c r="P3" s="144">
        <f>SUM(I2:I76)</f>
        <v>49898421.681048706</v>
      </c>
    </row>
    <row r="4" spans="1:17" x14ac:dyDescent="0.2">
      <c r="A4" s="24">
        <f>[2]ArdiData!A5</f>
        <v>3</v>
      </c>
      <c r="B4" s="136">
        <f ca="1">'0.ArdiData'!C5</f>
        <v>2550</v>
      </c>
      <c r="C4" s="135">
        <v>1197.6902940186837</v>
      </c>
      <c r="D4" s="132">
        <f t="shared" si="1"/>
        <v>899.48690761559783</v>
      </c>
      <c r="E4" s="134">
        <f t="shared" si="2"/>
        <v>298.20338640308591</v>
      </c>
      <c r="F4" s="134">
        <f t="shared" si="0"/>
        <v>298.20338640308591</v>
      </c>
      <c r="G4" s="131">
        <f>SUM(F$2:F4)/COUNT(F$2:F4)</f>
        <v>152.12210728973074</v>
      </c>
      <c r="H4" s="131">
        <f t="shared" si="3"/>
        <v>88925.259662268159</v>
      </c>
      <c r="I4" s="133">
        <f t="shared" si="4"/>
        <v>1234.2876040103085</v>
      </c>
      <c r="J4" s="131">
        <f>SQRT(SUM(I$2:I4)/(COUNT(I$2:I4)-1))</f>
        <v>201.79978805325513</v>
      </c>
      <c r="K4" s="25">
        <v>0.1</v>
      </c>
      <c r="L4" s="25">
        <f t="dataTable" ref="L4:L13" dt2D="0" dtr="0" r1="L1"/>
        <v>1091.0984900969129</v>
      </c>
      <c r="P4" s="143">
        <f>SUM(H2:H76)</f>
        <v>55088896.307684116</v>
      </c>
    </row>
    <row r="5" spans="1:17" x14ac:dyDescent="0.2">
      <c r="A5" s="24">
        <f>[2]ArdiData!A6</f>
        <v>4</v>
      </c>
      <c r="B5" s="136">
        <f ca="1">'0.ArdiData'!C6</f>
        <v>2648</v>
      </c>
      <c r="C5" s="135">
        <v>1273.3732540356295</v>
      </c>
      <c r="D5" s="132">
        <f t="shared" si="1"/>
        <v>1061.1255422718518</v>
      </c>
      <c r="E5" s="134">
        <f t="shared" si="2"/>
        <v>212.24771176377772</v>
      </c>
      <c r="F5" s="134">
        <f t="shared" si="0"/>
        <v>212.24771176377772</v>
      </c>
      <c r="G5" s="131">
        <f>SUM(F$2:F5)/COUNT(F$2:F5)</f>
        <v>167.15350840824249</v>
      </c>
      <c r="H5" s="131">
        <f t="shared" si="3"/>
        <v>45049.091148959662</v>
      </c>
      <c r="I5" s="133">
        <f t="shared" si="4"/>
        <v>2583.0022444102101</v>
      </c>
      <c r="J5" s="131">
        <f>SQRT(SUM(I$2:I5)/(COUNT(I$2:I5)-1))</f>
        <v>167.36119737570354</v>
      </c>
      <c r="K5" s="25">
        <v>0.2</v>
      </c>
      <c r="L5" s="25">
        <v>766.13870956119592</v>
      </c>
    </row>
    <row r="6" spans="1:17" x14ac:dyDescent="0.2">
      <c r="A6" s="24">
        <f>[2]ArdiData!A7</f>
        <v>5</v>
      </c>
      <c r="B6" s="136">
        <f ca="1">'0.ArdiData'!C7</f>
        <v>2931</v>
      </c>
      <c r="C6" s="135">
        <v>1793.0585649697487</v>
      </c>
      <c r="D6" s="132">
        <f t="shared" si="1"/>
        <v>1176.1726272571218</v>
      </c>
      <c r="E6" s="134">
        <f t="shared" si="2"/>
        <v>616.88593771262686</v>
      </c>
      <c r="F6" s="134">
        <f t="shared" si="0"/>
        <v>616.88593771262686</v>
      </c>
      <c r="G6" s="131">
        <f>SUM(F$2:F6)/COUNT(F$2:F6)</f>
        <v>257.09999426911935</v>
      </c>
      <c r="H6" s="131">
        <f t="shared" si="3"/>
        <v>380548.26014758693</v>
      </c>
      <c r="I6" s="133">
        <f t="shared" si="4"/>
        <v>125185.04065973614</v>
      </c>
      <c r="J6" s="131">
        <f>SQRT(SUM(I$2:I6)/(COUNT(I$2:I6)-1))</f>
        <v>228.69977690239651</v>
      </c>
      <c r="K6" s="25">
        <v>0.30000000000000004</v>
      </c>
      <c r="L6" s="25">
        <v>682.03104860725307</v>
      </c>
    </row>
    <row r="7" spans="1:17" x14ac:dyDescent="0.2">
      <c r="A7" s="24">
        <f>[2]ArdiData!A8</f>
        <v>6</v>
      </c>
      <c r="B7" s="136">
        <f ca="1">'0.ArdiData'!C8</f>
        <v>3222</v>
      </c>
      <c r="C7" s="135">
        <v>1968.6896935950203</v>
      </c>
      <c r="D7" s="132">
        <f t="shared" si="1"/>
        <v>1510.5504554677275</v>
      </c>
      <c r="E7" s="134">
        <f t="shared" si="2"/>
        <v>458.13923812729286</v>
      </c>
      <c r="F7" s="134">
        <f t="shared" si="0"/>
        <v>458.13923812729286</v>
      </c>
      <c r="G7" s="131">
        <f>SUM(F$2:F7)/COUNT(F$2:F7)</f>
        <v>290.60653491214828</v>
      </c>
      <c r="H7" s="131">
        <f t="shared" si="3"/>
        <v>209891.56151185636</v>
      </c>
      <c r="I7" s="133">
        <f t="shared" si="4"/>
        <v>38051.634347749699</v>
      </c>
      <c r="J7" s="131">
        <f>SQRT(SUM(I$2:I7)/(COUNT(I$2:I7)-1))</f>
        <v>222.38074834327429</v>
      </c>
      <c r="K7" s="25">
        <v>0.4</v>
      </c>
      <c r="L7" s="25">
        <v>650.94799912329404</v>
      </c>
    </row>
    <row r="8" spans="1:17" x14ac:dyDescent="0.2">
      <c r="A8" s="24">
        <f>[2]ArdiData!A9</f>
        <v>7</v>
      </c>
      <c r="B8" s="136">
        <f ca="1">'0.ArdiData'!C9</f>
        <v>3359</v>
      </c>
      <c r="C8" s="135">
        <v>2092.1756199964375</v>
      </c>
      <c r="D8" s="132">
        <f t="shared" si="1"/>
        <v>1758.8809718531231</v>
      </c>
      <c r="E8" s="134">
        <f t="shared" si="2"/>
        <v>333.29464814331436</v>
      </c>
      <c r="F8" s="134">
        <f t="shared" si="0"/>
        <v>333.29464814331436</v>
      </c>
      <c r="G8" s="131">
        <f>SUM(F$2:F8)/COUNT(F$2:F8)</f>
        <v>296.70483680231484</v>
      </c>
      <c r="H8" s="131">
        <f t="shared" si="3"/>
        <v>111085.32248097572</v>
      </c>
      <c r="I8" s="133">
        <f t="shared" si="4"/>
        <v>4931.3668142769293</v>
      </c>
      <c r="J8" s="131">
        <f>SQRT(SUM(I$2:I8)/(COUNT(I$2:I8)-1))</f>
        <v>205.01924827637134</v>
      </c>
      <c r="K8" s="25">
        <v>0.5</v>
      </c>
      <c r="L8" s="25">
        <v>636.36008619721827</v>
      </c>
    </row>
    <row r="9" spans="1:17" x14ac:dyDescent="0.2">
      <c r="A9" s="24">
        <f>[2]ArdiData!A10</f>
        <v>8</v>
      </c>
      <c r="B9" s="136">
        <f ca="1">'0.ArdiData'!C10</f>
        <v>3236</v>
      </c>
      <c r="C9" s="135">
        <v>1790.3866345879967</v>
      </c>
      <c r="D9" s="132">
        <f t="shared" si="1"/>
        <v>1939.5405294588861</v>
      </c>
      <c r="E9" s="134">
        <f t="shared" si="2"/>
        <v>-149.15389487088942</v>
      </c>
      <c r="F9" s="134">
        <f t="shared" si="0"/>
        <v>149.15389487088942</v>
      </c>
      <c r="G9" s="131">
        <f>SUM(F$2:F9)/COUNT(F$2:F9)</f>
        <v>278.26096906088668</v>
      </c>
      <c r="H9" s="131">
        <f t="shared" si="3"/>
        <v>22246.884355156333</v>
      </c>
      <c r="I9" s="133">
        <f t="shared" si="4"/>
        <v>169929.32840320512</v>
      </c>
      <c r="J9" s="131">
        <f>SQRT(SUM(I$2:I9)/(COUNT(I$2:I9)-1))</f>
        <v>245.56834410521924</v>
      </c>
      <c r="K9" s="25">
        <v>0.6</v>
      </c>
      <c r="L9" s="25">
        <v>633.69723126146482</v>
      </c>
    </row>
    <row r="10" spans="1:17" x14ac:dyDescent="0.2">
      <c r="A10" s="24">
        <f>[2]ArdiData!A11</f>
        <v>9</v>
      </c>
      <c r="B10" s="136">
        <f ca="1">'0.ArdiData'!C11</f>
        <v>4308</v>
      </c>
      <c r="C10" s="135">
        <v>2115.2652262874017</v>
      </c>
      <c r="D10" s="132">
        <f t="shared" si="1"/>
        <v>1858.6929166554405</v>
      </c>
      <c r="E10" s="134">
        <f t="shared" si="2"/>
        <v>256.57230963196116</v>
      </c>
      <c r="F10" s="134">
        <f t="shared" si="0"/>
        <v>256.57230963196116</v>
      </c>
      <c r="G10" s="131">
        <f>SUM(F$2:F10)/COUNT(F$2:F10)</f>
        <v>275.8511180132283</v>
      </c>
      <c r="H10" s="131">
        <f t="shared" si="3"/>
        <v>65829.350069878943</v>
      </c>
      <c r="I10" s="133">
        <f t="shared" si="4"/>
        <v>42.232416088532013</v>
      </c>
      <c r="J10" s="131">
        <f>SQRT(SUM(I$2:I10)/(COUNT(I$2:I10)-1))</f>
        <v>229.7196426631123</v>
      </c>
      <c r="K10" s="25">
        <v>0.70000000000000007</v>
      </c>
      <c r="L10" s="25">
        <v>643.73312516047235</v>
      </c>
    </row>
    <row r="11" spans="1:17" x14ac:dyDescent="0.2">
      <c r="A11" s="24">
        <f>[2]ArdiData!A12</f>
        <v>10</v>
      </c>
      <c r="B11" s="136">
        <f ca="1">'0.ArdiData'!C12</f>
        <v>3473</v>
      </c>
      <c r="C11" s="135">
        <v>2081.3859788488126</v>
      </c>
      <c r="D11" s="132">
        <f t="shared" si="1"/>
        <v>1997.7657766914883</v>
      </c>
      <c r="E11" s="134">
        <f t="shared" si="2"/>
        <v>83.620202157324229</v>
      </c>
      <c r="F11" s="134">
        <f t="shared" si="0"/>
        <v>83.620202157324229</v>
      </c>
      <c r="G11" s="131">
        <f>SUM(F$2:F11)/COUNT(F$2:F11)</f>
        <v>256.62802642763791</v>
      </c>
      <c r="H11" s="131">
        <f t="shared" si="3"/>
        <v>6992.3382088317712</v>
      </c>
      <c r="I11" s="133">
        <f t="shared" si="4"/>
        <v>32202.573371479266</v>
      </c>
      <c r="J11" s="131">
        <f>SQRT(SUM(I$2:I11)/(COUNT(I$2:I11)-1))</f>
        <v>224.6902774867423</v>
      </c>
      <c r="K11" s="25">
        <v>0.8</v>
      </c>
      <c r="L11" s="25">
        <v>660.71907726233053</v>
      </c>
    </row>
    <row r="12" spans="1:17" x14ac:dyDescent="0.2">
      <c r="A12" s="24">
        <f>[2]ArdiData!A13</f>
        <v>11</v>
      </c>
      <c r="B12" s="136">
        <f ca="1">'0.ArdiData'!C13</f>
        <v>4071</v>
      </c>
      <c r="C12" s="135">
        <v>2379.5747430100864</v>
      </c>
      <c r="D12" s="132">
        <f t="shared" si="1"/>
        <v>2043.0914031688471</v>
      </c>
      <c r="E12" s="134">
        <f t="shared" si="2"/>
        <v>336.48333984123929</v>
      </c>
      <c r="F12" s="134">
        <f t="shared" si="0"/>
        <v>336.48333984123929</v>
      </c>
      <c r="G12" s="131">
        <f>SUM(F$2:F12)/COUNT(F$2:F12)</f>
        <v>263.88760037432894</v>
      </c>
      <c r="H12" s="131">
        <f t="shared" si="3"/>
        <v>113221.03799071493</v>
      </c>
      <c r="I12" s="133">
        <f t="shared" si="4"/>
        <v>5389.377971662565</v>
      </c>
      <c r="J12" s="131">
        <f>SQRT(SUM(I$2:I12)/(COUNT(I$2:I12)-1))</f>
        <v>214.42035004758429</v>
      </c>
      <c r="K12" s="25">
        <v>0.9</v>
      </c>
      <c r="L12" s="25">
        <v>688.13615840002649</v>
      </c>
    </row>
    <row r="13" spans="1:17" x14ac:dyDescent="0.2">
      <c r="A13" s="24">
        <f>[2]ArdiData!A14</f>
        <v>12</v>
      </c>
      <c r="B13" s="136">
        <f ca="1">'0.ArdiData'!C14</f>
        <v>4225</v>
      </c>
      <c r="C13" s="135">
        <v>2083.4352211194964</v>
      </c>
      <c r="D13" s="132">
        <f t="shared" si="1"/>
        <v>2225.4793642599266</v>
      </c>
      <c r="E13" s="134">
        <f t="shared" si="2"/>
        <v>-142.04414314043015</v>
      </c>
      <c r="F13" s="134">
        <f t="shared" si="0"/>
        <v>142.04414314043015</v>
      </c>
      <c r="G13" s="131">
        <f>SUM(F$2:F13)/COUNT(F$2:F13)</f>
        <v>253.73397893817071</v>
      </c>
      <c r="H13" s="131">
        <f t="shared" si="3"/>
        <v>20176.53860049901</v>
      </c>
      <c r="I13" s="133">
        <f t="shared" si="4"/>
        <v>164118.24426668818</v>
      </c>
      <c r="J13" s="131">
        <f>SQRT(SUM(I$2:I13)/(COUNT(I$2:I13)-1))</f>
        <v>238.15180594279738</v>
      </c>
      <c r="K13" s="25">
        <v>1</v>
      </c>
      <c r="L13" s="25">
        <v>724.80612470552467</v>
      </c>
    </row>
    <row r="14" spans="1:17" x14ac:dyDescent="0.2">
      <c r="A14" s="24">
        <f>[2]ArdiData!A15</f>
        <v>13</v>
      </c>
      <c r="B14" s="136">
        <f ca="1">'0.ArdiData'!C15</f>
        <v>4436</v>
      </c>
      <c r="C14" s="135">
        <v>2580.0148896403261</v>
      </c>
      <c r="D14" s="132">
        <f t="shared" si="1"/>
        <v>2148.4855325161734</v>
      </c>
      <c r="E14" s="134">
        <f t="shared" si="2"/>
        <v>431.52935712415274</v>
      </c>
      <c r="F14" s="134">
        <f t="shared" si="0"/>
        <v>431.52935712415274</v>
      </c>
      <c r="G14" s="131">
        <f>SUM(F$2:F14)/COUNT(F$2:F14)</f>
        <v>267.41054649093854</v>
      </c>
      <c r="H14" s="131">
        <f t="shared" si="3"/>
        <v>186217.58605998455</v>
      </c>
      <c r="I14" s="133">
        <f t="shared" si="4"/>
        <v>28378.232611935495</v>
      </c>
      <c r="J14" s="131">
        <f>SQRT(SUM(I$2:I14)/(COUNT(I$2:I14)-1))</f>
        <v>233.14111285226477</v>
      </c>
    </row>
    <row r="15" spans="1:17" x14ac:dyDescent="0.2">
      <c r="A15" s="24">
        <f>[2]ArdiData!A16</f>
        <v>14</v>
      </c>
      <c r="B15" s="136">
        <f ca="1">'0.ArdiData'!C16</f>
        <v>5351</v>
      </c>
      <c r="C15" s="135">
        <v>1956.9437715605227</v>
      </c>
      <c r="D15" s="132">
        <f t="shared" si="1"/>
        <v>2382.3923869653527</v>
      </c>
      <c r="E15" s="134">
        <f t="shared" si="2"/>
        <v>-425.44861540482998</v>
      </c>
      <c r="F15" s="134">
        <f t="shared" si="0"/>
        <v>425.44861540482998</v>
      </c>
      <c r="G15" s="131">
        <f>SUM(F$2:F15)/COUNT(F$2:F15)</f>
        <v>278.69897998478797</v>
      </c>
      <c r="H15" s="131">
        <f t="shared" si="3"/>
        <v>181006.52434988692</v>
      </c>
      <c r="I15" s="133">
        <f t="shared" si="4"/>
        <v>474059.20142289693</v>
      </c>
      <c r="J15" s="131">
        <f>SQRT(SUM(I$2:I15)/(COUNT(I$2:I15)-1))</f>
        <v>294.34628265241059</v>
      </c>
      <c r="L15" s="25">
        <f>MIN(L4:L13)</f>
        <v>633.69723126146482</v>
      </c>
    </row>
    <row r="16" spans="1:17" x14ac:dyDescent="0.2">
      <c r="A16" s="24">
        <f>[2]ArdiData!A17</f>
        <v>15</v>
      </c>
      <c r="B16" s="136">
        <f ca="1">'0.ArdiData'!C17</f>
        <v>5673</v>
      </c>
      <c r="C16" s="135">
        <v>2859.8492799507676</v>
      </c>
      <c r="D16" s="132">
        <f t="shared" si="1"/>
        <v>2151.7815473638384</v>
      </c>
      <c r="E16" s="134">
        <f t="shared" si="2"/>
        <v>708.0677325869292</v>
      </c>
      <c r="F16" s="134">
        <f t="shared" si="0"/>
        <v>708.0677325869292</v>
      </c>
      <c r="G16" s="131">
        <f>SUM(F$2:F16)/COUNT(F$2:F16)</f>
        <v>307.32356349159733</v>
      </c>
      <c r="H16" s="131">
        <f t="shared" si="3"/>
        <v>501359.9139307951</v>
      </c>
      <c r="I16" s="133">
        <f t="shared" si="4"/>
        <v>198022.13038722877</v>
      </c>
      <c r="J16" s="131">
        <f>SQRT(SUM(I$2:I16)/(COUNT(I$2:I16)-1))</f>
        <v>307.56400888201131</v>
      </c>
    </row>
    <row r="17" spans="1:10" x14ac:dyDescent="0.2">
      <c r="A17" s="24">
        <f>[2]ArdiData!A18</f>
        <v>16</v>
      </c>
      <c r="B17" s="136">
        <f ca="1">'0.ArdiData'!C18</f>
        <v>4402</v>
      </c>
      <c r="C17" s="135">
        <v>3016.2795387422866</v>
      </c>
      <c r="D17" s="132">
        <f t="shared" si="1"/>
        <v>2535.5836997136294</v>
      </c>
      <c r="E17" s="134">
        <f t="shared" si="2"/>
        <v>480.69583902865725</v>
      </c>
      <c r="F17" s="134">
        <f t="shared" si="0"/>
        <v>480.69583902865725</v>
      </c>
      <c r="G17" s="131">
        <f>SUM(F$2:F17)/COUNT(F$2:F17)</f>
        <v>318.15933071266358</v>
      </c>
      <c r="H17" s="131">
        <f t="shared" si="3"/>
        <v>231068.48965946477</v>
      </c>
      <c r="I17" s="133">
        <f t="shared" si="4"/>
        <v>47360.589329075381</v>
      </c>
      <c r="J17" s="131">
        <f>SQRT(SUM(I$2:I17)/(COUNT(I$2:I17)-1))</f>
        <v>302.4014178938441</v>
      </c>
    </row>
    <row r="18" spans="1:10" x14ac:dyDescent="0.2">
      <c r="A18" s="24">
        <f>[2]ArdiData!A19</f>
        <v>17</v>
      </c>
      <c r="B18" s="136">
        <f ca="1">'0.ArdiData'!C19</f>
        <v>5545</v>
      </c>
      <c r="C18" s="135">
        <v>2492.4834281017133</v>
      </c>
      <c r="D18" s="132">
        <f t="shared" si="1"/>
        <v>2796.1408316856578</v>
      </c>
      <c r="E18" s="134">
        <f t="shared" si="2"/>
        <v>-303.65740358394442</v>
      </c>
      <c r="F18" s="134">
        <f t="shared" si="0"/>
        <v>303.65740358394442</v>
      </c>
      <c r="G18" s="131">
        <f>SUM(F$2:F18)/COUNT(F$2:F18)</f>
        <v>317.30627617568013</v>
      </c>
      <c r="H18" s="131">
        <f t="shared" si="3"/>
        <v>92207.818751342493</v>
      </c>
      <c r="I18" s="133">
        <f t="shared" si="4"/>
        <v>321181.03455712332</v>
      </c>
      <c r="J18" s="131">
        <f>SQRT(SUM(I$2:I18)/(COUNT(I$2:I18)-1))</f>
        <v>325.27683380086353</v>
      </c>
    </row>
    <row r="19" spans="1:10" x14ac:dyDescent="0.2">
      <c r="A19" s="24">
        <f>[2]ArdiData!A20</f>
        <v>18</v>
      </c>
      <c r="B19" s="136">
        <f ca="1">'0.ArdiData'!C20</f>
        <v>5307</v>
      </c>
      <c r="C19" s="135">
        <v>2603.8849118726844</v>
      </c>
      <c r="D19" s="132">
        <f t="shared" si="1"/>
        <v>2631.5458929406432</v>
      </c>
      <c r="E19" s="134">
        <f t="shared" si="2"/>
        <v>-27.660981067958801</v>
      </c>
      <c r="F19" s="134">
        <f t="shared" si="0"/>
        <v>27.660981067958801</v>
      </c>
      <c r="G19" s="131">
        <f>SUM(F$2:F19)/COUNT(F$2:F19)</f>
        <v>301.21487089191783</v>
      </c>
      <c r="H19" s="131">
        <f t="shared" si="3"/>
        <v>765.12987364197522</v>
      </c>
      <c r="I19" s="133">
        <f t="shared" si="4"/>
        <v>84525.059744500832</v>
      </c>
      <c r="J19" s="131">
        <f>SQRT(SUM(I$2:I19)/(COUNT(I$2:I19)-1))</f>
        <v>323.34695966013805</v>
      </c>
    </row>
    <row r="20" spans="1:10" x14ac:dyDescent="0.2">
      <c r="A20" s="24">
        <f>[2]ArdiData!A21</f>
        <v>19</v>
      </c>
      <c r="B20" s="136">
        <f ca="1">'0.ArdiData'!C21</f>
        <v>5786</v>
      </c>
      <c r="C20" s="135">
        <v>2501.5060538056237</v>
      </c>
      <c r="D20" s="132">
        <f t="shared" si="1"/>
        <v>2616.5524910648046</v>
      </c>
      <c r="E20" s="134">
        <f t="shared" si="2"/>
        <v>-115.04643725918095</v>
      </c>
      <c r="F20" s="134">
        <f t="shared" si="0"/>
        <v>115.04643725918095</v>
      </c>
      <c r="G20" s="131">
        <f>SUM(F$2:F20)/COUNT(F$2:F20)</f>
        <v>291.4165322796685</v>
      </c>
      <c r="H20" s="131">
        <f t="shared" si="3"/>
        <v>13235.682726030658</v>
      </c>
      <c r="I20" s="133">
        <f t="shared" si="4"/>
        <v>142972.76375258816</v>
      </c>
      <c r="J20" s="131">
        <f>SQRT(SUM(I$2:I20)/(COUNT(I$2:I20)-1))</f>
        <v>326.63079065048714</v>
      </c>
    </row>
    <row r="21" spans="1:10" x14ac:dyDescent="0.2">
      <c r="A21" s="24">
        <f>[2]ArdiData!A22</f>
        <v>20</v>
      </c>
      <c r="B21" s="136">
        <f ca="1">'0.ArdiData'!C22</f>
        <v>5970</v>
      </c>
      <c r="C21" s="135">
        <v>2651.7772641293841</v>
      </c>
      <c r="D21" s="132">
        <f t="shared" si="1"/>
        <v>2554.1925384668684</v>
      </c>
      <c r="E21" s="134">
        <f t="shared" si="2"/>
        <v>97.584725662515666</v>
      </c>
      <c r="F21" s="134">
        <f t="shared" si="0"/>
        <v>97.584725662515666</v>
      </c>
      <c r="G21" s="131">
        <f>SUM(F$2:F21)/COUNT(F$2:F21)</f>
        <v>281.72494194881085</v>
      </c>
      <c r="H21" s="131">
        <f t="shared" si="3"/>
        <v>9522.7786826284428</v>
      </c>
      <c r="I21" s="133">
        <f t="shared" si="4"/>
        <v>27385.69272343476</v>
      </c>
      <c r="J21" s="131">
        <f>SQRT(SUM(I$2:I21)/(COUNT(I$2:I21)-1))</f>
        <v>320.17789577709823</v>
      </c>
    </row>
    <row r="22" spans="1:10" x14ac:dyDescent="0.2">
      <c r="A22" s="24">
        <f>[2]ArdiData!A23</f>
        <v>21</v>
      </c>
      <c r="B22" s="136">
        <f ca="1">'0.ArdiData'!C23</f>
        <v>7221</v>
      </c>
      <c r="C22" s="135">
        <v>2890.535550986539</v>
      </c>
      <c r="D22" s="132">
        <f t="shared" si="1"/>
        <v>2607.0875173256027</v>
      </c>
      <c r="E22" s="134">
        <f t="shared" si="2"/>
        <v>283.44803366093629</v>
      </c>
      <c r="F22" s="134">
        <f t="shared" si="0"/>
        <v>283.44803366093629</v>
      </c>
      <c r="G22" s="131">
        <f>SUM(F$2:F22)/COUNT(F$2:F22)</f>
        <v>281.80699393510258</v>
      </c>
      <c r="H22" s="131">
        <f t="shared" si="3"/>
        <v>80342.787786251269</v>
      </c>
      <c r="I22" s="133">
        <f t="shared" si="4"/>
        <v>415.22525802928305</v>
      </c>
      <c r="J22" s="131">
        <f>SQRT(SUM(I$2:I22)/(COUNT(I$2:I22)-1))</f>
        <v>312.10407232194092</v>
      </c>
    </row>
    <row r="23" spans="1:10" x14ac:dyDescent="0.2">
      <c r="A23" s="24">
        <f>[2]ArdiData!A24</f>
        <v>22</v>
      </c>
      <c r="B23" s="136">
        <f ca="1">'0.ArdiData'!C24</f>
        <v>6829</v>
      </c>
      <c r="C23" s="135">
        <v>2618.5015031336229</v>
      </c>
      <c r="D23" s="132">
        <f t="shared" si="1"/>
        <v>2760.7281372715588</v>
      </c>
      <c r="E23" s="134">
        <f t="shared" si="2"/>
        <v>-142.22663413793589</v>
      </c>
      <c r="F23" s="134">
        <f t="shared" si="0"/>
        <v>142.22663413793589</v>
      </c>
      <c r="G23" s="131">
        <f>SUM(F$2:F23)/COUNT(F$2:F23)</f>
        <v>275.46243212614047</v>
      </c>
      <c r="H23" s="131">
        <f t="shared" si="3"/>
        <v>20228.415458206269</v>
      </c>
      <c r="I23" s="133">
        <f t="shared" si="4"/>
        <v>164266.13728706806</v>
      </c>
      <c r="J23" s="131">
        <f>SQRT(SUM(I$2:I23)/(COUNT(I$2:I23)-1))</f>
        <v>317.16340812222859</v>
      </c>
    </row>
    <row r="24" spans="1:10" x14ac:dyDescent="0.2">
      <c r="A24" s="24">
        <f>[2]ArdiData!A25</f>
        <v>23</v>
      </c>
      <c r="B24" s="136">
        <f ca="1">'0.ArdiData'!C25</f>
        <v>6851</v>
      </c>
      <c r="C24" s="135">
        <v>3340.5677547283176</v>
      </c>
      <c r="D24" s="132">
        <f t="shared" si="1"/>
        <v>2683.6353878192249</v>
      </c>
      <c r="E24" s="134">
        <f t="shared" si="2"/>
        <v>656.93236690909271</v>
      </c>
      <c r="F24" s="134">
        <f t="shared" si="0"/>
        <v>656.93236690909271</v>
      </c>
      <c r="G24" s="131">
        <f>SUM(F$2:F24)/COUNT(F$2:F24)</f>
        <v>292.04808146452973</v>
      </c>
      <c r="H24" s="131">
        <f t="shared" si="3"/>
        <v>431560.13469278283</v>
      </c>
      <c r="I24" s="133">
        <f t="shared" si="4"/>
        <v>155126.81030803904</v>
      </c>
      <c r="J24" s="131">
        <f>SQRT(SUM(I$2:I24)/(COUNT(I$2:I24)-1))</f>
        <v>321.04743254724366</v>
      </c>
    </row>
    <row r="25" spans="1:10" x14ac:dyDescent="0.2">
      <c r="A25" s="24">
        <f>[2]ArdiData!A26</f>
        <v>24</v>
      </c>
      <c r="B25" s="136">
        <f ca="1">'0.ArdiData'!C26</f>
        <v>7267</v>
      </c>
      <c r="C25" s="135">
        <v>3297.4181797000938</v>
      </c>
      <c r="D25" s="132">
        <f t="shared" si="1"/>
        <v>3039.7200457753029</v>
      </c>
      <c r="E25" s="134">
        <f t="shared" si="2"/>
        <v>257.69813392479091</v>
      </c>
      <c r="F25" s="134">
        <f t="shared" si="0"/>
        <v>257.69813392479091</v>
      </c>
      <c r="G25" s="131">
        <f>SUM(F$2:F25)/COUNT(F$2:F25)</f>
        <v>290.61683365037396</v>
      </c>
      <c r="H25" s="131">
        <f t="shared" si="3"/>
        <v>66408.328228319471</v>
      </c>
      <c r="I25" s="133">
        <f t="shared" si="4"/>
        <v>28.867226536205376</v>
      </c>
      <c r="J25" s="131">
        <f>SQRT(SUM(I$2:I25)/(COUNT(I$2:I25)-1))</f>
        <v>313.99258188554251</v>
      </c>
    </row>
    <row r="26" spans="1:10" x14ac:dyDescent="0.2">
      <c r="A26" s="24">
        <f>[2]ArdiData!A27</f>
        <v>25</v>
      </c>
      <c r="B26" s="136">
        <f ca="1">'0.ArdiData'!C27</f>
        <v>6418</v>
      </c>
      <c r="C26" s="135">
        <v>3012.2868676098265</v>
      </c>
      <c r="D26" s="132">
        <f t="shared" si="1"/>
        <v>3179.4031493895704</v>
      </c>
      <c r="E26" s="134">
        <f t="shared" si="2"/>
        <v>-167.11628177974399</v>
      </c>
      <c r="F26" s="134">
        <f t="shared" si="0"/>
        <v>167.11628177974399</v>
      </c>
      <c r="G26" s="131">
        <f>SUM(F$2:F26)/COUNT(F$2:F26)</f>
        <v>285.67681157554875</v>
      </c>
      <c r="H26" s="131">
        <f t="shared" si="3"/>
        <v>27927.851635886793</v>
      </c>
      <c r="I26" s="133">
        <f t="shared" si="4"/>
        <v>185061.06030795211</v>
      </c>
      <c r="J26" s="131">
        <f>SQRT(SUM(I$2:I26)/(COUNT(I$2:I26)-1))</f>
        <v>319.67834839155006</v>
      </c>
    </row>
    <row r="27" spans="1:10" x14ac:dyDescent="0.2">
      <c r="A27" s="24">
        <f>[2]ArdiData!A28</f>
        <v>26</v>
      </c>
      <c r="B27" s="136">
        <f ca="1">'0.ArdiData'!C28</f>
        <v>7409</v>
      </c>
      <c r="C27" s="135">
        <v>4253.508630442172</v>
      </c>
      <c r="D27" s="132">
        <f t="shared" si="1"/>
        <v>3088.8191760097561</v>
      </c>
      <c r="E27" s="134">
        <f t="shared" si="2"/>
        <v>1164.6894544324159</v>
      </c>
      <c r="F27" s="134">
        <f t="shared" si="0"/>
        <v>1164.6894544324159</v>
      </c>
      <c r="G27" s="131">
        <f>SUM(F$2:F27)/COUNT(F$2:F27)</f>
        <v>319.48499014696671</v>
      </c>
      <c r="H27" s="131">
        <f t="shared" si="3"/>
        <v>1356501.5252660785</v>
      </c>
      <c r="I27" s="133">
        <f t="shared" si="4"/>
        <v>812915.91512394627</v>
      </c>
      <c r="J27" s="131">
        <f>SQRT(SUM(I$2:I27)/(COUNT(I$2:I27)-1))</f>
        <v>361.41819707659039</v>
      </c>
    </row>
    <row r="28" spans="1:10" x14ac:dyDescent="0.2">
      <c r="A28" s="24">
        <f>[2]ArdiData!A29</f>
        <v>27</v>
      </c>
      <c r="B28" s="136">
        <f ca="1">'0.ArdiData'!C29</f>
        <v>7282</v>
      </c>
      <c r="C28" s="135">
        <v>3925.3849167055446</v>
      </c>
      <c r="D28" s="132">
        <f t="shared" si="1"/>
        <v>3720.1292878222384</v>
      </c>
      <c r="E28" s="134">
        <f t="shared" si="2"/>
        <v>205.25562888330614</v>
      </c>
      <c r="F28" s="134">
        <f t="shared" si="0"/>
        <v>205.25562888330614</v>
      </c>
      <c r="G28" s="131">
        <f>SUM(F$2:F28)/COUNT(F$2:F28)</f>
        <v>315.25427306312741</v>
      </c>
      <c r="H28" s="131">
        <f t="shared" si="3"/>
        <v>42129.873188281497</v>
      </c>
      <c r="I28" s="133">
        <f t="shared" si="4"/>
        <v>3342.612151668568</v>
      </c>
      <c r="J28" s="131">
        <f>SQRT(SUM(I$2:I28)/(COUNT(I$2:I28)-1))</f>
        <v>354.58103346408899</v>
      </c>
    </row>
    <row r="29" spans="1:10" x14ac:dyDescent="0.2">
      <c r="A29" s="24">
        <f>[2]ArdiData!A30</f>
        <v>28</v>
      </c>
      <c r="B29" s="136">
        <f ca="1">'0.ArdiData'!C30</f>
        <v>8526</v>
      </c>
      <c r="C29" s="135">
        <v>4513.0436538897147</v>
      </c>
      <c r="D29" s="132">
        <f t="shared" si="1"/>
        <v>3831.3863731571519</v>
      </c>
      <c r="E29" s="134">
        <f t="shared" si="2"/>
        <v>681.65728073256287</v>
      </c>
      <c r="F29" s="134">
        <f t="shared" si="0"/>
        <v>681.65728073256287</v>
      </c>
      <c r="G29" s="131">
        <f>SUM(F$2:F29)/COUNT(F$2:F29)</f>
        <v>328.34009476560726</v>
      </c>
      <c r="H29" s="131">
        <f t="shared" si="3"/>
        <v>464656.64837571204</v>
      </c>
      <c r="I29" s="133">
        <f t="shared" si="4"/>
        <v>175214.51051420692</v>
      </c>
      <c r="J29" s="131">
        <f>SQRT(SUM(I$2:I29)/(COUNT(I$2:I29)-1))</f>
        <v>357.15620361706681</v>
      </c>
    </row>
    <row r="30" spans="1:10" x14ac:dyDescent="0.2">
      <c r="A30" s="24">
        <f>[2]ArdiData!A31</f>
        <v>29</v>
      </c>
      <c r="B30" s="136">
        <f ca="1">'0.ArdiData'!C31</f>
        <v>9114</v>
      </c>
      <c r="C30" s="135">
        <v>4529.4937202327037</v>
      </c>
      <c r="D30" s="132">
        <f t="shared" si="1"/>
        <v>4200.8729624615789</v>
      </c>
      <c r="E30" s="134">
        <f t="shared" si="2"/>
        <v>328.62075777112477</v>
      </c>
      <c r="F30" s="134">
        <f t="shared" si="0"/>
        <v>328.62075777112477</v>
      </c>
      <c r="G30" s="131">
        <f>SUM(F$2:F30)/COUNT(F$2:F30)</f>
        <v>328.34977280028028</v>
      </c>
      <c r="H30" s="131">
        <f t="shared" si="3"/>
        <v>107991.60243806826</v>
      </c>
      <c r="I30" s="133">
        <f t="shared" si="4"/>
        <v>4296.7763965222548</v>
      </c>
      <c r="J30" s="131">
        <f>SQRT(SUM(I$2:I30)/(COUNT(I$2:I30)-1))</f>
        <v>350.93913435007937</v>
      </c>
    </row>
    <row r="31" spans="1:10" x14ac:dyDescent="0.2">
      <c r="A31" s="24">
        <f>[2]ArdiData!A32</f>
        <v>30</v>
      </c>
      <c r="B31" s="136">
        <f ca="1">'0.ArdiData'!C32</f>
        <v>7448</v>
      </c>
      <c r="C31" s="135">
        <v>4091.6601146578901</v>
      </c>
      <c r="D31" s="132">
        <f t="shared" si="1"/>
        <v>4378.9990771463672</v>
      </c>
      <c r="E31" s="134">
        <f t="shared" si="2"/>
        <v>-287.33896248847714</v>
      </c>
      <c r="F31" s="134">
        <f t="shared" si="0"/>
        <v>287.33896248847714</v>
      </c>
      <c r="G31" s="131">
        <f>SUM(F$2:F31)/COUNT(F$2:F31)</f>
        <v>326.98274578988679</v>
      </c>
      <c r="H31" s="131">
        <f t="shared" si="3"/>
        <v>82563.679363954478</v>
      </c>
      <c r="I31" s="133">
        <f t="shared" si="4"/>
        <v>302951.07934210071</v>
      </c>
      <c r="J31" s="131">
        <f>SQRT(SUM(I$2:I31)/(COUNT(I$2:I31)-1))</f>
        <v>359.66377056513761</v>
      </c>
    </row>
    <row r="32" spans="1:10" x14ac:dyDescent="0.2">
      <c r="A32" s="24">
        <f>[2]ArdiData!A33</f>
        <v>31</v>
      </c>
      <c r="B32" s="136">
        <f ca="1">'0.ArdiData'!C33</f>
        <v>7776</v>
      </c>
      <c r="C32" s="135">
        <v>4654.4843527322882</v>
      </c>
      <c r="D32" s="132">
        <f t="shared" si="1"/>
        <v>4223.2494119919902</v>
      </c>
      <c r="E32" s="134">
        <f t="shared" si="2"/>
        <v>431.23494074029804</v>
      </c>
      <c r="F32" s="134">
        <f t="shared" si="0"/>
        <v>431.23494074029804</v>
      </c>
      <c r="G32" s="131">
        <f>SUM(F$2:F32)/COUNT(F$2:F32)</f>
        <v>330.34571982054524</v>
      </c>
      <c r="H32" s="131">
        <f t="shared" si="3"/>
        <v>185963.57411528836</v>
      </c>
      <c r="I32" s="133">
        <f t="shared" si="4"/>
        <v>28279.125466884463</v>
      </c>
      <c r="J32" s="131">
        <f>SQRT(SUM(I$2:I32)/(COUNT(I$2:I32)-1))</f>
        <v>354.94891338161659</v>
      </c>
    </row>
    <row r="33" spans="1:10" x14ac:dyDescent="0.2">
      <c r="A33" s="24">
        <f>[2]ArdiData!A34</f>
        <v>32</v>
      </c>
      <c r="B33" s="136">
        <f ca="1">'0.ArdiData'!C34</f>
        <v>7666</v>
      </c>
      <c r="C33" s="135">
        <v>3711.6192180651265</v>
      </c>
      <c r="D33" s="132">
        <f t="shared" si="1"/>
        <v>4456.9966805193571</v>
      </c>
      <c r="E33" s="134">
        <f t="shared" si="2"/>
        <v>-745.37746245423068</v>
      </c>
      <c r="F33" s="134">
        <f t="shared" si="0"/>
        <v>745.37746245423068</v>
      </c>
      <c r="G33" s="131">
        <f>SUM(F$2:F33)/COUNT(F$2:F33)</f>
        <v>343.31546177784793</v>
      </c>
      <c r="H33" s="131">
        <f t="shared" si="3"/>
        <v>555587.56153470802</v>
      </c>
      <c r="I33" s="133">
        <f t="shared" si="4"/>
        <v>1016968.2144629983</v>
      </c>
      <c r="J33" s="131">
        <f>SQRT(SUM(I$2:I33)/(COUNT(I$2:I33)-1))</f>
        <v>393.35734995969403</v>
      </c>
    </row>
    <row r="34" spans="1:10" x14ac:dyDescent="0.2">
      <c r="A34" s="24">
        <f>[2]ArdiData!A35</f>
        <v>33</v>
      </c>
      <c r="B34" s="136">
        <f ca="1">'0.ArdiData'!C35</f>
        <v>8172</v>
      </c>
      <c r="C34" s="135">
        <v>3824.1755301351577</v>
      </c>
      <c r="D34" s="132">
        <f t="shared" si="1"/>
        <v>4052.9711032518071</v>
      </c>
      <c r="E34" s="134">
        <f t="shared" si="2"/>
        <v>-228.79557311664939</v>
      </c>
      <c r="F34" s="134">
        <f t="shared" ref="F34:F65" si="5">ABS(E34)</f>
        <v>228.79557311664939</v>
      </c>
      <c r="G34" s="131">
        <f>SUM(F$2:F34)/COUNT(F$2:F34)</f>
        <v>339.84516212144797</v>
      </c>
      <c r="H34" s="131">
        <f t="shared" si="3"/>
        <v>52347.414277776057</v>
      </c>
      <c r="I34" s="133">
        <f t="shared" si="4"/>
        <v>241932.68333352494</v>
      </c>
      <c r="J34" s="131">
        <f>SQRT(SUM(I$2:I34)/(COUNT(I$2:I34)-1))</f>
        <v>396.80610941933253</v>
      </c>
    </row>
    <row r="35" spans="1:10" x14ac:dyDescent="0.2">
      <c r="A35" s="24">
        <f>[2]ArdiData!A36</f>
        <v>34</v>
      </c>
      <c r="B35" s="136">
        <f ca="1">'0.ArdiData'!C36</f>
        <v>8499</v>
      </c>
      <c r="C35" s="135">
        <v>4120.8109460850601</v>
      </c>
      <c r="D35" s="132">
        <f t="shared" ref="D35:D66" si="6">$L$1*C34+(1-$L$1)*D34</f>
        <v>3928.9543893571467</v>
      </c>
      <c r="E35" s="134">
        <f t="shared" si="2"/>
        <v>191.85655672791336</v>
      </c>
      <c r="F35" s="134">
        <f t="shared" si="5"/>
        <v>191.85655672791336</v>
      </c>
      <c r="G35" s="131">
        <f>SUM(F$2:F35)/COUNT(F$2:F35)</f>
        <v>335.49255608046167</v>
      </c>
      <c r="H35" s="131">
        <f t="shared" si="3"/>
        <v>36808.93835949104</v>
      </c>
      <c r="I35" s="133">
        <f t="shared" si="4"/>
        <v>5071.4907893950794</v>
      </c>
      <c r="J35" s="131">
        <f>SQRT(SUM(I$2:I35)/(COUNT(I$2:I35)-1))</f>
        <v>390.94424627334161</v>
      </c>
    </row>
    <row r="36" spans="1:10" x14ac:dyDescent="0.2">
      <c r="A36" s="24">
        <f>[2]ArdiData!A37</f>
        <v>35</v>
      </c>
      <c r="B36" s="136">
        <f ca="1">'0.ArdiData'!C37</f>
        <v>9681</v>
      </c>
      <c r="C36" s="135">
        <v>4645.0880263983881</v>
      </c>
      <c r="D36" s="132">
        <f t="shared" si="6"/>
        <v>4032.9486204536088</v>
      </c>
      <c r="E36" s="134">
        <f t="shared" si="2"/>
        <v>612.13940594477936</v>
      </c>
      <c r="F36" s="134">
        <f t="shared" si="5"/>
        <v>612.13940594477936</v>
      </c>
      <c r="G36" s="131">
        <f>SUM(F$2:F36)/COUNT(F$2:F36)</f>
        <v>343.39675179087072</v>
      </c>
      <c r="H36" s="131">
        <f t="shared" si="3"/>
        <v>374714.65231042739</v>
      </c>
      <c r="I36" s="133">
        <f t="shared" si="4"/>
        <v>121848.78213065938</v>
      </c>
      <c r="J36" s="131">
        <f>SQRT(SUM(I$2:I36)/(COUNT(I$2:I36)-1))</f>
        <v>389.7768254376391</v>
      </c>
    </row>
    <row r="37" spans="1:10" x14ac:dyDescent="0.2">
      <c r="A37" s="24">
        <f>[2]ArdiData!A38</f>
        <v>36</v>
      </c>
      <c r="B37" s="136">
        <f ca="1">'0.ArdiData'!C38</f>
        <v>10025</v>
      </c>
      <c r="C37" s="135">
        <v>4574.6690767847804</v>
      </c>
      <c r="D37" s="132">
        <f t="shared" si="6"/>
        <v>4364.7536310863807</v>
      </c>
      <c r="E37" s="134">
        <f t="shared" si="2"/>
        <v>209.91544569839971</v>
      </c>
      <c r="F37" s="134">
        <f t="shared" si="5"/>
        <v>209.91544569839971</v>
      </c>
      <c r="G37" s="131">
        <f>SUM(F$2:F37)/COUNT(F$2:F37)</f>
        <v>339.68893773274652</v>
      </c>
      <c r="H37" s="131">
        <f t="shared" si="3"/>
        <v>44064.494342757796</v>
      </c>
      <c r="I37" s="133">
        <f t="shared" si="4"/>
        <v>2825.5083692560656</v>
      </c>
      <c r="J37" s="131">
        <f>SQRT(SUM(I$2:I37)/(COUNT(I$2:I37)-1))</f>
        <v>384.27328863005607</v>
      </c>
    </row>
    <row r="38" spans="1:10" x14ac:dyDescent="0.2">
      <c r="A38" s="24">
        <f>[2]ArdiData!A39</f>
        <v>37</v>
      </c>
      <c r="B38" s="136">
        <f ca="1">'0.ArdiData'!C39</f>
        <v>9869</v>
      </c>
      <c r="C38" s="135">
        <v>4905.4804363122594</v>
      </c>
      <c r="D38" s="132">
        <f t="shared" si="6"/>
        <v>4478.5365308891487</v>
      </c>
      <c r="E38" s="134">
        <f t="shared" si="2"/>
        <v>426.94390542311066</v>
      </c>
      <c r="F38" s="134">
        <f t="shared" si="5"/>
        <v>426.94390542311066</v>
      </c>
      <c r="G38" s="131">
        <f>SUM(F$2:F38)/COUNT(F$2:F38)</f>
        <v>342.04718010275639</v>
      </c>
      <c r="H38" s="131">
        <f t="shared" si="3"/>
        <v>182281.09837793806</v>
      </c>
      <c r="I38" s="133">
        <f t="shared" si="4"/>
        <v>26854.343263353385</v>
      </c>
      <c r="J38" s="131">
        <f>SQRT(SUM(I$2:I38)/(COUNT(I$2:I38)-1))</f>
        <v>379.88166855222818</v>
      </c>
    </row>
    <row r="39" spans="1:10" x14ac:dyDescent="0.2">
      <c r="A39" s="24">
        <f>[2]ArdiData!A40</f>
        <v>38</v>
      </c>
      <c r="B39" s="136">
        <f ca="1">'0.ArdiData'!C40</f>
        <v>9894</v>
      </c>
      <c r="C39" s="135">
        <v>5232.5324315407588</v>
      </c>
      <c r="D39" s="132">
        <f t="shared" si="6"/>
        <v>4709.9578798543735</v>
      </c>
      <c r="E39" s="134">
        <f t="shared" si="2"/>
        <v>522.57455168638535</v>
      </c>
      <c r="F39" s="134">
        <f t="shared" si="5"/>
        <v>522.57455168638535</v>
      </c>
      <c r="G39" s="131">
        <f>SUM(F$2:F39)/COUNT(F$2:F39)</f>
        <v>346.79790040758877</v>
      </c>
      <c r="H39" s="131">
        <f t="shared" si="3"/>
        <v>273084.16207022662</v>
      </c>
      <c r="I39" s="133">
        <f t="shared" si="4"/>
        <v>67342.115716075379</v>
      </c>
      <c r="J39" s="131">
        <f>SQRT(SUM(I$2:I39)/(COUNT(I$2:I39)-1))</f>
        <v>377.13375186304472</v>
      </c>
    </row>
    <row r="40" spans="1:10" x14ac:dyDescent="0.2">
      <c r="A40" s="24">
        <f>[2]ArdiData!A41</f>
        <v>39</v>
      </c>
      <c r="B40" s="136">
        <f ca="1">'0.ArdiData'!C41</f>
        <v>9953</v>
      </c>
      <c r="C40" s="135">
        <v>4012.3185797892461</v>
      </c>
      <c r="D40" s="132">
        <f t="shared" si="6"/>
        <v>4993.2150153937882</v>
      </c>
      <c r="E40" s="134">
        <f t="shared" si="2"/>
        <v>-980.89643560454215</v>
      </c>
      <c r="F40" s="134">
        <f t="shared" si="5"/>
        <v>980.89643560454215</v>
      </c>
      <c r="G40" s="131">
        <f>SUM(F$2:F40)/COUNT(F$2:F40)</f>
        <v>363.05683720751063</v>
      </c>
      <c r="H40" s="131">
        <f t="shared" si="3"/>
        <v>962157.81738169573</v>
      </c>
      <c r="I40" s="133">
        <f t="shared" si="4"/>
        <v>1547454.8735713162</v>
      </c>
      <c r="J40" s="131">
        <f>SQRT(SUM(I$2:I40)/(COUNT(I$2:I40)-1))</f>
        <v>423.33139764940313</v>
      </c>
    </row>
    <row r="41" spans="1:10" x14ac:dyDescent="0.2">
      <c r="A41" s="24">
        <f>[2]ArdiData!A42</f>
        <v>40</v>
      </c>
      <c r="B41" s="136">
        <f ca="1">'0.ArdiData'!C42</f>
        <v>10452</v>
      </c>
      <c r="C41" s="135">
        <v>6049.1393349934842</v>
      </c>
      <c r="D41" s="132">
        <f t="shared" si="6"/>
        <v>4461.5283618559615</v>
      </c>
      <c r="E41" s="134">
        <f t="shared" si="2"/>
        <v>1587.6109731375227</v>
      </c>
      <c r="F41" s="134">
        <f t="shared" si="5"/>
        <v>1587.6109731375227</v>
      </c>
      <c r="G41" s="131">
        <f>SUM(F$2:F41)/COUNT(F$2:F41)</f>
        <v>393.67069060576097</v>
      </c>
      <c r="H41" s="131">
        <f t="shared" si="3"/>
        <v>2520508.6020266716</v>
      </c>
      <c r="I41" s="133">
        <f t="shared" si="4"/>
        <v>1754406.2546605305</v>
      </c>
      <c r="J41" s="131">
        <f>SQRT(SUM(I$2:I41)/(COUNT(I$2:I41)-1))</f>
        <v>468.61405583231362</v>
      </c>
    </row>
    <row r="42" spans="1:10" x14ac:dyDescent="0.2">
      <c r="A42" s="24">
        <f>[2]ArdiData!A43</f>
        <v>41</v>
      </c>
      <c r="B42" s="136">
        <f ca="1">'0.ArdiData'!C43</f>
        <v>10089</v>
      </c>
      <c r="C42" s="135">
        <v>6090.2253151130353</v>
      </c>
      <c r="D42" s="132">
        <f t="shared" si="6"/>
        <v>5322.0795217826289</v>
      </c>
      <c r="E42" s="134">
        <f t="shared" si="2"/>
        <v>768.14579333040638</v>
      </c>
      <c r="F42" s="134">
        <f t="shared" si="5"/>
        <v>768.14579333040638</v>
      </c>
      <c r="G42" s="131">
        <f>SUM(F$2:F42)/COUNT(F$2:F42)</f>
        <v>402.804229696606</v>
      </c>
      <c r="H42" s="131">
        <f t="shared" si="3"/>
        <v>590047.95981119934</v>
      </c>
      <c r="I42" s="133">
        <f t="shared" si="4"/>
        <v>255100.59041275532</v>
      </c>
      <c r="J42" s="131">
        <f>SQRT(SUM(I$2:I42)/(COUNT(I$2:I42)-1))</f>
        <v>469.56008108743583</v>
      </c>
    </row>
    <row r="43" spans="1:10" x14ac:dyDescent="0.2">
      <c r="A43" s="24">
        <f>[2]ArdiData!A44</f>
        <v>42</v>
      </c>
      <c r="B43" s="136">
        <f ca="1">'0.ArdiData'!C44</f>
        <v>11505</v>
      </c>
      <c r="C43" s="135">
        <v>5108.2916368527403</v>
      </c>
      <c r="D43" s="132">
        <f t="shared" si="6"/>
        <v>5738.4464810868412</v>
      </c>
      <c r="E43" s="134">
        <f t="shared" si="2"/>
        <v>-630.15484423410089</v>
      </c>
      <c r="F43" s="134">
        <f t="shared" si="5"/>
        <v>630.15484423410089</v>
      </c>
      <c r="G43" s="131">
        <f>SUM(F$2:F43)/COUNT(F$2:F43)</f>
        <v>408.21733956654634</v>
      </c>
      <c r="H43" s="131">
        <f t="shared" si="3"/>
        <v>397095.12771170394</v>
      </c>
      <c r="I43" s="133">
        <f t="shared" si="4"/>
        <v>797852.33178061282</v>
      </c>
      <c r="J43" s="131">
        <f>SQRT(SUM(I$2:I43)/(COUNT(I$2:I43)-1))</f>
        <v>484.32299043989093</v>
      </c>
    </row>
    <row r="44" spans="1:10" x14ac:dyDescent="0.2">
      <c r="A44" s="24">
        <f>[2]ArdiData!A45</f>
        <v>43</v>
      </c>
      <c r="B44" s="136">
        <f ca="1">'0.ArdiData'!C45</f>
        <v>11048</v>
      </c>
      <c r="C44" s="135">
        <v>4762.74473147967</v>
      </c>
      <c r="D44" s="132">
        <f t="shared" si="6"/>
        <v>5396.8763538236235</v>
      </c>
      <c r="E44" s="134">
        <f t="shared" si="2"/>
        <v>-634.1316223439535</v>
      </c>
      <c r="F44" s="134">
        <f t="shared" si="5"/>
        <v>634.1316223439535</v>
      </c>
      <c r="G44" s="131">
        <f>SUM(F$2:F44)/COUNT(F$2:F44)</f>
        <v>413.47116009625353</v>
      </c>
      <c r="H44" s="131">
        <f t="shared" si="3"/>
        <v>402122.91445657448</v>
      </c>
      <c r="I44" s="133">
        <f t="shared" si="4"/>
        <v>804972.46817082085</v>
      </c>
      <c r="J44" s="131">
        <f>SQRT(SUM(I$2:I44)/(COUNT(I$2:I44)-1))</f>
        <v>498.14636379436496</v>
      </c>
    </row>
    <row r="45" spans="1:10" x14ac:dyDescent="0.2">
      <c r="A45" s="24">
        <f>[2]ArdiData!A46</f>
        <v>44</v>
      </c>
      <c r="B45" s="136">
        <f ca="1">'0.ArdiData'!C46</f>
        <v>11086</v>
      </c>
      <c r="C45" s="135">
        <v>5054.4032043911011</v>
      </c>
      <c r="D45" s="132">
        <f t="shared" si="6"/>
        <v>5053.1506474713797</v>
      </c>
      <c r="E45" s="134">
        <f t="shared" si="2"/>
        <v>1.2525569197214281</v>
      </c>
      <c r="F45" s="134">
        <f t="shared" si="5"/>
        <v>1.2525569197214281</v>
      </c>
      <c r="G45" s="131">
        <f>SUM(F$2:F45)/COUNT(F$2:F45)</f>
        <v>404.10255547860504</v>
      </c>
      <c r="H45" s="131">
        <f t="shared" si="3"/>
        <v>1.568898837142032</v>
      </c>
      <c r="I45" s="133">
        <f t="shared" si="4"/>
        <v>68548.874559133794</v>
      </c>
      <c r="J45" s="131">
        <f>SQRT(SUM(I$2:I45)/(COUNT(I$2:I45)-1))</f>
        <v>493.93626517918898</v>
      </c>
    </row>
    <row r="46" spans="1:10" x14ac:dyDescent="0.2">
      <c r="A46" s="24">
        <f>[2]ArdiData!A47</f>
        <v>45</v>
      </c>
      <c r="B46" s="136">
        <f ca="1">'0.ArdiData'!C47</f>
        <v>11592</v>
      </c>
      <c r="C46" s="135">
        <v>4932.6057689550162</v>
      </c>
      <c r="D46" s="132">
        <f t="shared" si="6"/>
        <v>5053.8295854028875</v>
      </c>
      <c r="E46" s="134">
        <f t="shared" si="2"/>
        <v>-121.22381644787129</v>
      </c>
      <c r="F46" s="134">
        <f t="shared" si="5"/>
        <v>121.22381644787129</v>
      </c>
      <c r="G46" s="131">
        <f>SUM(F$2:F46)/COUNT(F$2:F46)</f>
        <v>397.816361277922</v>
      </c>
      <c r="H46" s="131">
        <f t="shared" si="3"/>
        <v>14695.213674187189</v>
      </c>
      <c r="I46" s="133">
        <f t="shared" si="4"/>
        <v>147682.47280913583</v>
      </c>
      <c r="J46" s="131">
        <f>SQRT(SUM(I$2:I46)/(COUNT(I$2:I46)-1))</f>
        <v>491.71598734693839</v>
      </c>
    </row>
    <row r="47" spans="1:10" x14ac:dyDescent="0.2">
      <c r="A47" s="24">
        <f>[2]ArdiData!A48</f>
        <v>46</v>
      </c>
      <c r="B47" s="136">
        <f ca="1">'0.ArdiData'!C48</f>
        <v>11992</v>
      </c>
      <c r="C47" s="135">
        <v>5683.7432797636711</v>
      </c>
      <c r="D47" s="132">
        <f t="shared" si="6"/>
        <v>4988.1212364307266</v>
      </c>
      <c r="E47" s="134">
        <f t="shared" si="2"/>
        <v>695.62204333294449</v>
      </c>
      <c r="F47" s="134">
        <f t="shared" si="5"/>
        <v>695.62204333294449</v>
      </c>
      <c r="G47" s="131">
        <f>SUM(F$2:F47)/COUNT(F$2:F47)</f>
        <v>404.29039784433553</v>
      </c>
      <c r="H47" s="131">
        <f t="shared" si="3"/>
        <v>483890.02717070089</v>
      </c>
      <c r="I47" s="133">
        <f t="shared" si="4"/>
        <v>187100.44238935367</v>
      </c>
      <c r="J47" s="131">
        <f>SQRT(SUM(I$2:I47)/(COUNT(I$2:I47)-1))</f>
        <v>490.47875431941509</v>
      </c>
    </row>
    <row r="48" spans="1:10" x14ac:dyDescent="0.2">
      <c r="A48" s="24">
        <f>[2]ArdiData!A49</f>
        <v>47</v>
      </c>
      <c r="B48" s="136">
        <f ca="1">'0.ArdiData'!C49</f>
        <v>10588</v>
      </c>
      <c r="C48" s="135">
        <v>6924.5264206914335</v>
      </c>
      <c r="D48" s="132">
        <f t="shared" si="6"/>
        <v>5365.1773077160633</v>
      </c>
      <c r="E48" s="134">
        <f t="shared" si="2"/>
        <v>1559.3491129753702</v>
      </c>
      <c r="F48" s="134">
        <f t="shared" si="5"/>
        <v>1559.3491129753702</v>
      </c>
      <c r="G48" s="131">
        <f>SUM(F$2:F48)/COUNT(F$2:F48)</f>
        <v>428.86611518754904</v>
      </c>
      <c r="H48" s="131">
        <f t="shared" si="3"/>
        <v>2431569.6561370739</v>
      </c>
      <c r="I48" s="133">
        <f t="shared" si="4"/>
        <v>1680337.0579632132</v>
      </c>
      <c r="J48" s="131">
        <f>SQRT(SUM(I$2:I48)/(COUNT(I$2:I48)-1))</f>
        <v>521.4103040480868</v>
      </c>
    </row>
    <row r="49" spans="1:10" x14ac:dyDescent="0.2">
      <c r="A49" s="24">
        <f>[2]ArdiData!A50</f>
        <v>48</v>
      </c>
      <c r="B49" s="136">
        <f ca="1">'0.ArdiData'!C50</f>
        <v>10988</v>
      </c>
      <c r="C49" s="135">
        <v>4916.2583889534781</v>
      </c>
      <c r="D49" s="132">
        <f t="shared" si="6"/>
        <v>6210.4093643134302</v>
      </c>
      <c r="E49" s="134">
        <f t="shared" si="2"/>
        <v>-1294.1509753599521</v>
      </c>
      <c r="F49" s="134">
        <f t="shared" si="5"/>
        <v>1294.1509753599521</v>
      </c>
      <c r="G49" s="131">
        <f>SUM(F$2:F49)/COUNT(F$2:F49)</f>
        <v>446.89288310780745</v>
      </c>
      <c r="H49" s="131">
        <f t="shared" si="3"/>
        <v>1674826.7470251154</v>
      </c>
      <c r="I49" s="133">
        <f t="shared" si="4"/>
        <v>2424940.1462572985</v>
      </c>
      <c r="J49" s="131">
        <f>SQRT(SUM(I$2:I49)/(COUNT(I$2:I49)-1))</f>
        <v>563.6299635656386</v>
      </c>
    </row>
    <row r="50" spans="1:10" x14ac:dyDescent="0.2">
      <c r="A50" s="24">
        <f>[2]ArdiData!A51</f>
        <v>49</v>
      </c>
      <c r="B50" s="136">
        <f ca="1">'0.ArdiData'!C51</f>
        <v>12263</v>
      </c>
      <c r="C50" s="135">
        <v>5141.8115531947178</v>
      </c>
      <c r="D50" s="132">
        <f t="shared" si="6"/>
        <v>5508.9257251790186</v>
      </c>
      <c r="E50" s="134">
        <f t="shared" si="2"/>
        <v>-367.11417198430081</v>
      </c>
      <c r="F50" s="134">
        <f t="shared" si="5"/>
        <v>367.11417198430081</v>
      </c>
      <c r="G50" s="131">
        <f>SUM(F$2:F50)/COUNT(F$2:F50)</f>
        <v>445.26474614610322</v>
      </c>
      <c r="H50" s="131">
        <f t="shared" si="3"/>
        <v>134772.81527171881</v>
      </c>
      <c r="I50" s="133">
        <f t="shared" si="4"/>
        <v>397133.29664502112</v>
      </c>
      <c r="J50" s="131">
        <f>SQRT(SUM(I$2:I50)/(COUNT(I$2:I50)-1))</f>
        <v>565.09648661032816</v>
      </c>
    </row>
    <row r="51" spans="1:10" x14ac:dyDescent="0.2">
      <c r="A51" s="24">
        <f>[2]ArdiData!A52</f>
        <v>50</v>
      </c>
      <c r="B51" s="136">
        <f ca="1">'0.ArdiData'!C52</f>
        <v>12243</v>
      </c>
      <c r="C51" s="135">
        <v>7100.604016809134</v>
      </c>
      <c r="D51" s="132">
        <f t="shared" si="6"/>
        <v>5309.934579443694</v>
      </c>
      <c r="E51" s="134">
        <f t="shared" si="2"/>
        <v>1790.66943736544</v>
      </c>
      <c r="F51" s="134">
        <f t="shared" si="5"/>
        <v>1790.66943736544</v>
      </c>
      <c r="G51" s="131">
        <f>SUM(F$2:F51)/COUNT(F$2:F51)</f>
        <v>472.17283997048997</v>
      </c>
      <c r="H51" s="131">
        <f t="shared" si="3"/>
        <v>3206497.0339146615</v>
      </c>
      <c r="I51" s="133">
        <f t="shared" si="4"/>
        <v>2333557.1175734121</v>
      </c>
      <c r="J51" s="131">
        <f>SQRT(SUM(I$2:I51)/(COUNT(I$2:I51)-1))</f>
        <v>600.36708155590145</v>
      </c>
    </row>
    <row r="52" spans="1:10" x14ac:dyDescent="0.2">
      <c r="A52" s="24">
        <f>[2]ArdiData!A53</f>
        <v>51</v>
      </c>
      <c r="B52" s="136">
        <f ca="1">'0.ArdiData'!C53</f>
        <v>13114</v>
      </c>
      <c r="C52" s="135">
        <v>5982.6146700161325</v>
      </c>
      <c r="D52" s="132">
        <f t="shared" si="6"/>
        <v>6280.5518701044712</v>
      </c>
      <c r="E52" s="134">
        <f t="shared" si="2"/>
        <v>-297.93720008833861</v>
      </c>
      <c r="F52" s="134">
        <f t="shared" si="5"/>
        <v>297.93720008833861</v>
      </c>
      <c r="G52" s="131">
        <f>SUM(F$2:F52)/COUNT(F$2:F52)</f>
        <v>468.75645487476146</v>
      </c>
      <c r="H52" s="131">
        <f t="shared" si="3"/>
        <v>88766.57519647872</v>
      </c>
      <c r="I52" s="133">
        <f t="shared" si="4"/>
        <v>314730.15218795487</v>
      </c>
      <c r="J52" s="131">
        <f>SQRT(SUM(I$2:I52)/(COUNT(I$2:I52)-1))</f>
        <v>599.6052226318501</v>
      </c>
    </row>
    <row r="53" spans="1:10" x14ac:dyDescent="0.2">
      <c r="A53" s="24">
        <f>[2]ArdiData!A54</f>
        <v>52</v>
      </c>
      <c r="B53" s="136">
        <f ca="1">'0.ArdiData'!C54</f>
        <v>14252</v>
      </c>
      <c r="C53" s="135">
        <v>5659.9803666885555</v>
      </c>
      <c r="D53" s="132">
        <f t="shared" si="6"/>
        <v>6119.0575194987741</v>
      </c>
      <c r="E53" s="134">
        <f t="shared" si="2"/>
        <v>-459.07715281021865</v>
      </c>
      <c r="F53" s="134">
        <f t="shared" si="5"/>
        <v>459.07715281021865</v>
      </c>
      <c r="G53" s="131">
        <f>SUM(F$2:F53)/COUNT(F$2:F53)</f>
        <v>468.57031445044333</v>
      </c>
      <c r="H53" s="131">
        <f t="shared" si="3"/>
        <v>210751.83223233683</v>
      </c>
      <c r="I53" s="133">
        <f t="shared" si="4"/>
        <v>521497.89233294415</v>
      </c>
      <c r="J53" s="131">
        <f>SQRT(SUM(I$2:I53)/(COUNT(I$2:I53)-1))</f>
        <v>602.24773488211372</v>
      </c>
    </row>
    <row r="54" spans="1:10" x14ac:dyDescent="0.2">
      <c r="A54" s="24">
        <f>[2]ArdiData!A55</f>
        <v>53</v>
      </c>
      <c r="B54" s="136">
        <f ca="1">'0.ArdiData'!C55</f>
        <v>13936</v>
      </c>
      <c r="C54" s="135">
        <v>7723.2066159860906</v>
      </c>
      <c r="D54" s="132">
        <f t="shared" si="6"/>
        <v>5870.2186143569634</v>
      </c>
      <c r="E54" s="134">
        <f t="shared" si="2"/>
        <v>1852.9880016291272</v>
      </c>
      <c r="F54" s="134">
        <f t="shared" si="5"/>
        <v>1852.9880016291272</v>
      </c>
      <c r="G54" s="131">
        <f>SUM(F$2:F54)/COUNT(F$2:F54)</f>
        <v>494.69140288777703</v>
      </c>
      <c r="H54" s="131">
        <f t="shared" si="3"/>
        <v>3433564.5341815064</v>
      </c>
      <c r="I54" s="133">
        <f t="shared" si="4"/>
        <v>2527836.2091754582</v>
      </c>
      <c r="J54" s="131">
        <f>SQRT(SUM(I$2:I54)/(COUNT(I$2:I54)-1))</f>
        <v>635.87697243615889</v>
      </c>
    </row>
    <row r="55" spans="1:10" x14ac:dyDescent="0.2">
      <c r="A55" s="24">
        <f>[2]ArdiData!A56</f>
        <v>54</v>
      </c>
      <c r="B55" s="136">
        <f ca="1">'0.ArdiData'!C56</f>
        <v>13797</v>
      </c>
      <c r="C55" s="135">
        <v>6927.4135681425769</v>
      </c>
      <c r="D55" s="132">
        <f t="shared" si="6"/>
        <v>6874.6151580397182</v>
      </c>
      <c r="E55" s="134">
        <f t="shared" si="2"/>
        <v>52.798410102858725</v>
      </c>
      <c r="F55" s="134">
        <f t="shared" si="5"/>
        <v>52.798410102858725</v>
      </c>
      <c r="G55" s="131">
        <f>SUM(F$2:F55)/COUNT(F$2:F55)</f>
        <v>486.50819931768598</v>
      </c>
      <c r="H55" s="131">
        <f t="shared" si="3"/>
        <v>2787.6721093896545</v>
      </c>
      <c r="I55" s="133">
        <f t="shared" si="4"/>
        <v>44214.543929248066</v>
      </c>
      <c r="J55" s="131">
        <f>SQRT(SUM(I$2:I55)/(COUNT(I$2:I55)-1))</f>
        <v>630.51146946620838</v>
      </c>
    </row>
    <row r="56" spans="1:10" x14ac:dyDescent="0.2">
      <c r="A56" s="24">
        <f>[2]ArdiData!A57</f>
        <v>55</v>
      </c>
      <c r="B56" s="136">
        <f ca="1">'0.ArdiData'!C57</f>
        <v>14265</v>
      </c>
      <c r="C56" s="135">
        <v>5926.8438869796746</v>
      </c>
      <c r="D56" s="132">
        <f t="shared" si="6"/>
        <v>6903.2340916607845</v>
      </c>
      <c r="E56" s="134">
        <f t="shared" si="2"/>
        <v>-976.39020468110994</v>
      </c>
      <c r="F56" s="134">
        <f t="shared" si="5"/>
        <v>976.39020468110994</v>
      </c>
      <c r="G56" s="131">
        <f>SUM(F$2:F56)/COUNT(F$2:F56)</f>
        <v>495.41514486974819</v>
      </c>
      <c r="H56" s="131">
        <f t="shared" si="3"/>
        <v>953337.8317972197</v>
      </c>
      <c r="I56" s="133">
        <f t="shared" si="4"/>
        <v>1536263.9710249177</v>
      </c>
      <c r="J56" s="131">
        <f>SQRT(SUM(I$2:I56)/(COUNT(I$2:I56)-1))</f>
        <v>647.01785662621944</v>
      </c>
    </row>
    <row r="57" spans="1:10" x14ac:dyDescent="0.2">
      <c r="A57" s="24">
        <f>[2]ArdiData!A58</f>
        <v>56</v>
      </c>
      <c r="B57" s="136">
        <f ca="1">'0.ArdiData'!C58</f>
        <v>14267</v>
      </c>
      <c r="C57" s="135">
        <v>7486.5550561221644</v>
      </c>
      <c r="D57" s="132">
        <f t="shared" si="6"/>
        <v>6373.9900026514661</v>
      </c>
      <c r="E57" s="134">
        <f t="shared" si="2"/>
        <v>1112.5650534706983</v>
      </c>
      <c r="F57" s="134">
        <f t="shared" si="5"/>
        <v>1112.5650534706983</v>
      </c>
      <c r="G57" s="131">
        <f>SUM(F$2:F57)/COUNT(F$2:F57)</f>
        <v>506.43567895190802</v>
      </c>
      <c r="H57" s="131">
        <f t="shared" si="3"/>
        <v>1237800.9982042578</v>
      </c>
      <c r="I57" s="133">
        <f t="shared" si="4"/>
        <v>721640.22013799066</v>
      </c>
      <c r="J57" s="131">
        <f>SQRT(SUM(I$2:I57)/(COUNT(I$2:I57)-1))</f>
        <v>651.26134939641406</v>
      </c>
    </row>
    <row r="58" spans="1:10" x14ac:dyDescent="0.2">
      <c r="A58" s="24">
        <f>[2]ArdiData!A59</f>
        <v>57</v>
      </c>
      <c r="B58" s="136">
        <f ca="1">'0.ArdiData'!C59</f>
        <v>14686</v>
      </c>
      <c r="C58" s="135">
        <v>6986.4813177252881</v>
      </c>
      <c r="D58" s="132">
        <f t="shared" si="6"/>
        <v>6977.0465218225199</v>
      </c>
      <c r="E58" s="134">
        <f t="shared" si="2"/>
        <v>9.4347959027682009</v>
      </c>
      <c r="F58" s="134">
        <f t="shared" si="5"/>
        <v>9.4347959027682009</v>
      </c>
      <c r="G58" s="131">
        <f>SUM(F$2:F58)/COUNT(F$2:F58)</f>
        <v>497.71636521420385</v>
      </c>
      <c r="H58" s="131">
        <f t="shared" si="3"/>
        <v>89.015373726891625</v>
      </c>
      <c r="I58" s="133">
        <f t="shared" si="4"/>
        <v>64331.302156598715</v>
      </c>
      <c r="J58" s="131">
        <f>SQRT(SUM(I$2:I58)/(COUNT(I$2:I58)-1))</f>
        <v>646.30965169743695</v>
      </c>
    </row>
    <row r="59" spans="1:10" x14ac:dyDescent="0.2">
      <c r="A59" s="24">
        <f>[2]ArdiData!A60</f>
        <v>58</v>
      </c>
      <c r="B59" s="136">
        <f ca="1">'0.ArdiData'!C60</f>
        <v>15678</v>
      </c>
      <c r="C59" s="135">
        <v>6686.3330629669581</v>
      </c>
      <c r="D59" s="132">
        <f t="shared" si="6"/>
        <v>6982.1605734983868</v>
      </c>
      <c r="E59" s="134">
        <f t="shared" si="2"/>
        <v>-295.82751053142874</v>
      </c>
      <c r="F59" s="134">
        <f t="shared" si="5"/>
        <v>295.82751053142874</v>
      </c>
      <c r="G59" s="131">
        <f>SUM(F$2:F59)/COUNT(F$2:F59)</f>
        <v>494.23552289208703</v>
      </c>
      <c r="H59" s="131">
        <f t="shared" si="3"/>
        <v>87513.915987222586</v>
      </c>
      <c r="I59" s="133">
        <f t="shared" si="4"/>
        <v>312367.49687777564</v>
      </c>
      <c r="J59" s="131">
        <f>SQRT(SUM(I$2:I59)/(COUNT(I$2:I59)-1))</f>
        <v>644.87823937090127</v>
      </c>
    </row>
    <row r="60" spans="1:10" x14ac:dyDescent="0.2">
      <c r="A60" s="24">
        <f>[2]ArdiData!A61</f>
        <v>59</v>
      </c>
      <c r="B60" s="136">
        <f ca="1">'0.ArdiData'!C61</f>
        <v>14590</v>
      </c>
      <c r="C60" s="135">
        <v>7533.5055163754796</v>
      </c>
      <c r="D60" s="132">
        <f t="shared" si="6"/>
        <v>6821.8097623529247</v>
      </c>
      <c r="E60" s="134">
        <f t="shared" si="2"/>
        <v>711.69575402255487</v>
      </c>
      <c r="F60" s="134">
        <f t="shared" si="5"/>
        <v>711.69575402255487</v>
      </c>
      <c r="G60" s="131">
        <f>SUM(F$2:F60)/COUNT(F$2:F60)</f>
        <v>497.92128952141701</v>
      </c>
      <c r="H60" s="131">
        <f t="shared" si="3"/>
        <v>506510.84629373293</v>
      </c>
      <c r="I60" s="133">
        <f t="shared" si="4"/>
        <v>201264.20860884519</v>
      </c>
      <c r="J60" s="131">
        <f>SQRT(SUM(I$2:I60)/(COUNT(I$2:I60)-1))</f>
        <v>642.00302119029845</v>
      </c>
    </row>
    <row r="61" spans="1:10" x14ac:dyDescent="0.2">
      <c r="A61" s="24">
        <f>[2]ArdiData!A62</f>
        <v>60</v>
      </c>
      <c r="B61" s="136">
        <f ca="1">'0.ArdiData'!C62</f>
        <v>14966</v>
      </c>
      <c r="C61" s="135">
        <v>6434.5710155389233</v>
      </c>
      <c r="D61" s="132">
        <f t="shared" si="6"/>
        <v>7207.5784531730915</v>
      </c>
      <c r="E61" s="134">
        <f t="shared" si="2"/>
        <v>-773.00743763416813</v>
      </c>
      <c r="F61" s="134">
        <f t="shared" si="5"/>
        <v>773.00743763416813</v>
      </c>
      <c r="G61" s="131">
        <f>SUM(F$2:F61)/COUNT(F$2:F61)</f>
        <v>502.50605865662953</v>
      </c>
      <c r="H61" s="131">
        <f t="shared" si="3"/>
        <v>597540.49863774236</v>
      </c>
      <c r="I61" s="133">
        <f t="shared" si="4"/>
        <v>1073458.4395844911</v>
      </c>
      <c r="J61" s="131">
        <f>SQRT(SUM(I$2:I61)/(COUNT(I$2:I61)-1))</f>
        <v>650.67364615447786</v>
      </c>
    </row>
    <row r="62" spans="1:10" x14ac:dyDescent="0.2">
      <c r="A62" s="24">
        <f>[2]ArdiData!A63</f>
        <v>61</v>
      </c>
      <c r="B62" s="136">
        <f ca="1">'0.ArdiData'!C63</f>
        <v>15394</v>
      </c>
      <c r="C62" s="135">
        <v>8315.5973937368453</v>
      </c>
      <c r="D62" s="132">
        <f t="shared" si="6"/>
        <v>6788.5762805102277</v>
      </c>
      <c r="E62" s="134">
        <f t="shared" si="2"/>
        <v>1527.0211132266177</v>
      </c>
      <c r="F62" s="134">
        <f t="shared" si="5"/>
        <v>1527.0211132266177</v>
      </c>
      <c r="G62" s="131">
        <f>SUM(F$2:F62)/COUNT(F$2:F62)</f>
        <v>519.30138742007193</v>
      </c>
      <c r="H62" s="131">
        <f t="shared" si="3"/>
        <v>2331793.4802398589</v>
      </c>
      <c r="I62" s="133">
        <f t="shared" si="4"/>
        <v>1597569.9977220092</v>
      </c>
      <c r="J62" s="131">
        <f>SQRT(SUM(I$2:I62)/(COUNT(I$2:I62)-1))</f>
        <v>665.54195249585632</v>
      </c>
    </row>
    <row r="63" spans="1:10" x14ac:dyDescent="0.2">
      <c r="A63" s="24">
        <f>[2]ArdiData!A64</f>
        <v>62</v>
      </c>
      <c r="B63" s="136">
        <f ca="1">'0.ArdiData'!C64</f>
        <v>15586</v>
      </c>
      <c r="C63" s="135">
        <v>9011.1024654822631</v>
      </c>
      <c r="D63" s="132">
        <f t="shared" si="6"/>
        <v>7616.2852170532406</v>
      </c>
      <c r="E63" s="134">
        <f t="shared" si="2"/>
        <v>1394.8172484290226</v>
      </c>
      <c r="F63" s="134">
        <f t="shared" si="5"/>
        <v>1394.8172484290226</v>
      </c>
      <c r="G63" s="131">
        <f>SUM(F$2:F63)/COUNT(F$2:F63)</f>
        <v>533.42261098473239</v>
      </c>
      <c r="H63" s="131">
        <f t="shared" si="3"/>
        <v>1945515.1565151098</v>
      </c>
      <c r="I63" s="133">
        <f t="shared" si="4"/>
        <v>1280849.6684290285</v>
      </c>
      <c r="J63" s="131">
        <f>SQRT(SUM(I$2:I63)/(COUNT(I$2:I63)-1))</f>
        <v>675.78266828901212</v>
      </c>
    </row>
    <row r="64" spans="1:10" x14ac:dyDescent="0.2">
      <c r="A64" s="24">
        <f>[2]ArdiData!A65</f>
        <v>63</v>
      </c>
      <c r="B64" s="136">
        <f ca="1">'0.ArdiData'!C65</f>
        <v>15860</v>
      </c>
      <c r="C64" s="135">
        <v>8306.4119214323</v>
      </c>
      <c r="D64" s="132">
        <f t="shared" si="6"/>
        <v>8372.3341618707473</v>
      </c>
      <c r="E64" s="134">
        <f t="shared" si="2"/>
        <v>-65.922240438447261</v>
      </c>
      <c r="F64" s="134">
        <f t="shared" si="5"/>
        <v>65.922240438447261</v>
      </c>
      <c r="G64" s="131">
        <f>SUM(F$2:F64)/COUNT(F$2:F64)</f>
        <v>526.00197018241045</v>
      </c>
      <c r="H64" s="131">
        <f t="shared" si="3"/>
        <v>4345.741784424451</v>
      </c>
      <c r="I64" s="133">
        <f t="shared" si="4"/>
        <v>108236.52388354053</v>
      </c>
      <c r="J64" s="131">
        <f>SQRT(SUM(I$2:I64)/(COUNT(I$2:I64)-1))</f>
        <v>671.61158638865811</v>
      </c>
    </row>
    <row r="65" spans="1:12" x14ac:dyDescent="0.2">
      <c r="A65" s="24">
        <f>[2]ArdiData!A66</f>
        <v>64</v>
      </c>
      <c r="B65" s="136">
        <f ca="1">'0.ArdiData'!C66</f>
        <v>15681</v>
      </c>
      <c r="C65" s="135">
        <v>8885.4733418467258</v>
      </c>
      <c r="D65" s="132">
        <f t="shared" si="6"/>
        <v>8336.601566522053</v>
      </c>
      <c r="E65" s="134">
        <f t="shared" si="2"/>
        <v>548.87177532467285</v>
      </c>
      <c r="F65" s="134">
        <f t="shared" si="5"/>
        <v>548.87177532467285</v>
      </c>
      <c r="G65" s="131">
        <f>SUM(F$2:F65)/COUNT(F$2:F65)</f>
        <v>526.35931088775828</v>
      </c>
      <c r="H65" s="131">
        <f t="shared" si="3"/>
        <v>301260.22574805818</v>
      </c>
      <c r="I65" s="133">
        <f t="shared" si="4"/>
        <v>81682.107822145656</v>
      </c>
      <c r="J65" s="131">
        <f>SQRT(SUM(I$2:I65)/(COUNT(I$2:I65)-1))</f>
        <v>667.23230446962737</v>
      </c>
    </row>
    <row r="66" spans="1:12" x14ac:dyDescent="0.2">
      <c r="A66" s="24">
        <f>[2]ArdiData!A67</f>
        <v>65</v>
      </c>
      <c r="B66" s="136">
        <f ca="1">'0.ArdiData'!C67</f>
        <v>18063</v>
      </c>
      <c r="C66" s="135">
        <v>6914.6423260468209</v>
      </c>
      <c r="D66" s="132">
        <f t="shared" si="6"/>
        <v>8634.1128907057155</v>
      </c>
      <c r="E66" s="134">
        <f t="shared" si="2"/>
        <v>-1719.4705646588945</v>
      </c>
      <c r="F66" s="134">
        <f t="shared" ref="F66:F76" si="7">ABS(E66)</f>
        <v>1719.4705646588945</v>
      </c>
      <c r="G66" s="131">
        <f>SUM(F$2:F66)/COUNT(F$2:F66)</f>
        <v>544.71486863808343</v>
      </c>
      <c r="H66" s="131">
        <f t="shared" si="3"/>
        <v>2956579.0227283775</v>
      </c>
      <c r="I66" s="133">
        <f t="shared" si="4"/>
        <v>3930470.8846361549</v>
      </c>
      <c r="J66" s="131">
        <f>SQRT(SUM(I$2:I66)/(COUNT(I$2:I66)-1))</f>
        <v>706.86372246409121</v>
      </c>
    </row>
    <row r="67" spans="1:12" x14ac:dyDescent="0.2">
      <c r="A67" s="24">
        <f>[2]ArdiData!A68</f>
        <v>66</v>
      </c>
      <c r="B67" s="136">
        <f ca="1">'0.ArdiData'!C68</f>
        <v>17998</v>
      </c>
      <c r="C67" s="135">
        <v>8565.4158206351694</v>
      </c>
      <c r="D67" s="132">
        <f t="shared" ref="D67:D77" si="8">$L$1*C66+(1-$L$1)*D66</f>
        <v>7702.0883494840546</v>
      </c>
      <c r="E67" s="134">
        <f t="shared" ref="E67:E76" si="9">C67-D67</f>
        <v>863.32747115111488</v>
      </c>
      <c r="F67" s="134">
        <f t="shared" si="7"/>
        <v>863.32747115111488</v>
      </c>
      <c r="G67" s="131">
        <f>SUM(F$2:F67)/COUNT(F$2:F67)</f>
        <v>549.54233231252329</v>
      </c>
      <c r="H67" s="131">
        <f t="shared" ref="H67:H77" si="10">E67^2</f>
        <v>745334.3224441791</v>
      </c>
      <c r="I67" s="133">
        <f t="shared" ref="I67:I76" si="11">(E67-$P$1)^2</f>
        <v>360307.88292176044</v>
      </c>
      <c r="J67" s="131">
        <f>SQRT(SUM(I$2:I67)/(COUNT(I$2:I67)-1))</f>
        <v>705.34565993847127</v>
      </c>
    </row>
    <row r="68" spans="1:12" x14ac:dyDescent="0.2">
      <c r="A68" s="24">
        <f>[2]ArdiData!A69</f>
        <v>67</v>
      </c>
      <c r="B68" s="136">
        <f ca="1">'0.ArdiData'!C69</f>
        <v>18061</v>
      </c>
      <c r="C68" s="135">
        <v>6764.4558525776556</v>
      </c>
      <c r="D68" s="132">
        <f t="shared" si="8"/>
        <v>8170.0477357985837</v>
      </c>
      <c r="E68" s="134">
        <f t="shared" si="9"/>
        <v>-1405.5918832209281</v>
      </c>
      <c r="F68" s="134">
        <f t="shared" si="7"/>
        <v>1405.5918832209281</v>
      </c>
      <c r="G68" s="131">
        <f>SUM(F$2:F68)/COUNT(F$2:F68)</f>
        <v>562.31919128130539</v>
      </c>
      <c r="H68" s="131">
        <f t="shared" si="10"/>
        <v>1975688.5421765554</v>
      </c>
      <c r="I68" s="133">
        <f t="shared" si="11"/>
        <v>2784435.6739424486</v>
      </c>
      <c r="J68" s="131">
        <f>SQRT(SUM(I$2:I68)/(COUNT(I$2:I68)-1))</f>
        <v>729.49492877912996</v>
      </c>
    </row>
    <row r="69" spans="1:12" x14ac:dyDescent="0.2">
      <c r="A69" s="24">
        <f>[2]ArdiData!A70</f>
        <v>68</v>
      </c>
      <c r="B69" s="136">
        <f ca="1">'0.ArdiData'!C70</f>
        <v>16974</v>
      </c>
      <c r="C69" s="135">
        <v>8455.6389297141741</v>
      </c>
      <c r="D69" s="132">
        <f t="shared" si="8"/>
        <v>7408.1584909171161</v>
      </c>
      <c r="E69" s="134">
        <f t="shared" si="9"/>
        <v>1047.480438797058</v>
      </c>
      <c r="F69" s="134">
        <f t="shared" si="7"/>
        <v>1047.480438797058</v>
      </c>
      <c r="G69" s="131">
        <f>SUM(F$2:F69)/COUNT(F$2:F69)</f>
        <v>569.45391550947818</v>
      </c>
      <c r="H69" s="131">
        <f t="shared" si="10"/>
        <v>1097215.2696624773</v>
      </c>
      <c r="I69" s="133">
        <f t="shared" si="11"/>
        <v>615298.23531727272</v>
      </c>
      <c r="J69" s="131">
        <f>SQRT(SUM(I$2:I69)/(COUNT(I$2:I69)-1))</f>
        <v>730.34490327814331</v>
      </c>
    </row>
    <row r="70" spans="1:12" x14ac:dyDescent="0.2">
      <c r="A70" s="24">
        <f>[2]ArdiData!A71</f>
        <v>69</v>
      </c>
      <c r="B70" s="136">
        <f ca="1">'0.ArdiData'!C71</f>
        <v>18141</v>
      </c>
      <c r="C70" s="135">
        <v>6849.0876037981689</v>
      </c>
      <c r="D70" s="132">
        <f t="shared" si="8"/>
        <v>7975.9364427322807</v>
      </c>
      <c r="E70" s="134">
        <f t="shared" si="9"/>
        <v>-1126.8488389341119</v>
      </c>
      <c r="F70" s="134">
        <f t="shared" si="7"/>
        <v>1126.8488389341119</v>
      </c>
      <c r="G70" s="131">
        <f>SUM(F$2:F70)/COUNT(F$2:F70)</f>
        <v>577.5321028054874</v>
      </c>
      <c r="H70" s="131">
        <f t="shared" si="10"/>
        <v>1269788.305807156</v>
      </c>
      <c r="I70" s="133">
        <f t="shared" si="11"/>
        <v>1931877.0388032333</v>
      </c>
      <c r="J70" s="131">
        <f>SQRT(SUM(I$2:I70)/(COUNT(I$2:I70)-1))</f>
        <v>744.29124841409669</v>
      </c>
    </row>
    <row r="71" spans="1:12" x14ac:dyDescent="0.2">
      <c r="A71" s="24">
        <f>[2]ArdiData!A72</f>
        <v>70</v>
      </c>
      <c r="B71" s="136">
        <f ca="1">'0.ArdiData'!C72</f>
        <v>18635</v>
      </c>
      <c r="C71" s="135">
        <v>7663.5928886265056</v>
      </c>
      <c r="D71" s="132">
        <f t="shared" si="8"/>
        <v>7365.1375179236584</v>
      </c>
      <c r="E71" s="134">
        <f t="shared" si="9"/>
        <v>298.45537070284718</v>
      </c>
      <c r="F71" s="134">
        <f t="shared" si="7"/>
        <v>298.45537070284718</v>
      </c>
      <c r="G71" s="131">
        <f>SUM(F$2:F71)/COUNT(F$2:F71)</f>
        <v>573.54529234687834</v>
      </c>
      <c r="H71" s="131">
        <f t="shared" si="10"/>
        <v>89075.608301373926</v>
      </c>
      <c r="I71" s="133">
        <f t="shared" si="11"/>
        <v>1252.0567414008863</v>
      </c>
      <c r="J71" s="131">
        <f>SQRT(SUM(I$2:I71)/(COUNT(I$2:I71)-1))</f>
        <v>738.89042846784992</v>
      </c>
    </row>
    <row r="72" spans="1:12" x14ac:dyDescent="0.2">
      <c r="A72" s="24">
        <f>[2]ArdiData!A73</f>
        <v>71</v>
      </c>
      <c r="B72" s="136">
        <f ca="1">'0.ArdiData'!C73</f>
        <v>19341</v>
      </c>
      <c r="C72" s="135">
        <v>10100.858821105861</v>
      </c>
      <c r="D72" s="132">
        <f t="shared" si="8"/>
        <v>7526.9127385478296</v>
      </c>
      <c r="E72" s="134">
        <f t="shared" si="9"/>
        <v>2573.9460825580318</v>
      </c>
      <c r="F72" s="134">
        <f t="shared" si="7"/>
        <v>2573.9460825580318</v>
      </c>
      <c r="G72" s="131">
        <f>SUM(F$2:F72)/COUNT(F$2:F72)</f>
        <v>601.71995136393684</v>
      </c>
      <c r="H72" s="131">
        <f t="shared" si="10"/>
        <v>6625198.435915838</v>
      </c>
      <c r="I72" s="133">
        <f t="shared" si="11"/>
        <v>5340143.8464653371</v>
      </c>
      <c r="J72" s="131">
        <f>SQRT(SUM(I$2:I72)/(COUNT(I$2:I72)-1))</f>
        <v>783.86696530617758</v>
      </c>
    </row>
    <row r="73" spans="1:12" x14ac:dyDescent="0.2">
      <c r="A73" s="24">
        <f>[2]ArdiData!A74</f>
        <v>72</v>
      </c>
      <c r="B73" s="136">
        <f ca="1">'0.ArdiData'!C74</f>
        <v>22720</v>
      </c>
      <c r="C73" s="135">
        <v>9156.3311338769909</v>
      </c>
      <c r="D73" s="132">
        <f t="shared" si="8"/>
        <v>8922.0985393593401</v>
      </c>
      <c r="E73" s="134">
        <f t="shared" si="9"/>
        <v>234.2325945176508</v>
      </c>
      <c r="F73" s="134">
        <f t="shared" si="7"/>
        <v>234.2325945176508</v>
      </c>
      <c r="G73" s="131">
        <f>SUM(F$2:F73)/COUNT(F$2:F73)</f>
        <v>596.61596029662724</v>
      </c>
      <c r="H73" s="131">
        <f t="shared" si="10"/>
        <v>54864.908334470216</v>
      </c>
      <c r="I73" s="133">
        <f t="shared" si="11"/>
        <v>831.65114389343341</v>
      </c>
      <c r="J73" s="131">
        <f>SQRT(SUM(I$2:I73)/(COUNT(I$2:I73)-1))</f>
        <v>778.33472471071684</v>
      </c>
    </row>
    <row r="74" spans="1:12" x14ac:dyDescent="0.2">
      <c r="A74" s="24">
        <f>[2]ArdiData!A75</f>
        <v>73</v>
      </c>
      <c r="B74" s="136">
        <f ca="1">'0.ArdiData'!C75</f>
        <v>19229</v>
      </c>
      <c r="C74" s="135">
        <v>11759.859099206014</v>
      </c>
      <c r="D74" s="132">
        <f t="shared" si="8"/>
        <v>9049.0623449233972</v>
      </c>
      <c r="E74" s="134">
        <f t="shared" si="9"/>
        <v>2710.7967542826173</v>
      </c>
      <c r="F74" s="134">
        <f t="shared" si="7"/>
        <v>2710.7967542826173</v>
      </c>
      <c r="G74" s="131">
        <f>SUM(F$2:F74)/COUNT(F$2:F74)</f>
        <v>625.57734103616133</v>
      </c>
      <c r="H74" s="131">
        <f t="shared" si="10"/>
        <v>7348419.0430291723</v>
      </c>
      <c r="I74" s="133">
        <f t="shared" si="11"/>
        <v>5991361.5792574389</v>
      </c>
      <c r="J74" s="131">
        <f>SQRT(SUM(I$2:I74)/(COUNT(I$2:I74)-1))</f>
        <v>824.98747954542603</v>
      </c>
    </row>
    <row r="75" spans="1:12" x14ac:dyDescent="0.2">
      <c r="A75" s="24">
        <f>[2]ArdiData!A76</f>
        <v>74</v>
      </c>
      <c r="B75" s="136">
        <f ca="1">'0.ArdiData'!C76</f>
        <v>19741</v>
      </c>
      <c r="C75" s="135">
        <v>11274.184747966403</v>
      </c>
      <c r="D75" s="132">
        <f t="shared" si="8"/>
        <v>10518.426900027967</v>
      </c>
      <c r="E75" s="134">
        <f t="shared" si="9"/>
        <v>755.75784793843559</v>
      </c>
      <c r="F75" s="134">
        <f t="shared" si="7"/>
        <v>755.75784793843559</v>
      </c>
      <c r="G75" s="131">
        <f>SUM(F$2:F75)/COUNT(F$2:F75)</f>
        <v>627.33653707538122</v>
      </c>
      <c r="H75" s="131">
        <f t="shared" si="10"/>
        <v>571169.92472053552</v>
      </c>
      <c r="I75" s="133">
        <f t="shared" si="11"/>
        <v>242740.37261824234</v>
      </c>
      <c r="J75" s="131">
        <f>SQRT(SUM(I$2:I75)/(COUNT(I$2:I75)-1))</f>
        <v>821.34414519613426</v>
      </c>
    </row>
    <row r="76" spans="1:12" x14ac:dyDescent="0.2">
      <c r="A76" s="24">
        <f>[2]ArdiData!A77</f>
        <v>75</v>
      </c>
      <c r="B76" s="136">
        <f ca="1">'0.ArdiData'!C77</f>
        <v>21932</v>
      </c>
      <c r="C76" s="135">
        <v>11998.719677013674</v>
      </c>
      <c r="D76" s="132">
        <f t="shared" si="8"/>
        <v>10928.079077841912</v>
      </c>
      <c r="E76" s="134">
        <f t="shared" si="9"/>
        <v>1070.640599171762</v>
      </c>
      <c r="F76" s="134">
        <f t="shared" si="7"/>
        <v>1070.640599171762</v>
      </c>
      <c r="G76" s="131">
        <f>SUM(F$2:F76)/COUNT(F$2:F76)</f>
        <v>633.24725790333298</v>
      </c>
      <c r="H76" s="131">
        <f t="shared" si="10"/>
        <v>1146271.2925948696</v>
      </c>
      <c r="I76" s="133">
        <f t="shared" si="11"/>
        <v>652168.72714700829</v>
      </c>
      <c r="J76" s="131">
        <f>SQRT(SUM(I$2:I76)/(COUNT(I$2:I76)-1))</f>
        <v>821.15954338352992</v>
      </c>
    </row>
    <row r="77" spans="1:12" x14ac:dyDescent="0.2">
      <c r="A77" s="24">
        <f>[2]ArdiData!A78</f>
        <v>0</v>
      </c>
      <c r="B77" s="130"/>
      <c r="C77" s="130"/>
      <c r="D77" s="132">
        <f t="shared" si="8"/>
        <v>11508.410799574118</v>
      </c>
      <c r="H77" s="131">
        <f t="shared" si="10"/>
        <v>0</v>
      </c>
      <c r="I77" s="130"/>
      <c r="J77" s="130"/>
      <c r="L77" s="25">
        <f>_xlfn.STDEV.S(E2:E76)</f>
        <v>821.15954338352992</v>
      </c>
    </row>
  </sheetData>
  <conditionalFormatting sqref="K4:K13">
    <cfRule type="expression" dxfId="0" priority="1">
      <formula>$L4=$L$15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0.ArdiData</vt:lpstr>
      <vt:lpstr>1.AveMA-MAD-MSE-MAPE</vt:lpstr>
      <vt:lpstr>1bH.SeveralDynMA</vt:lpstr>
      <vt:lpstr>1c.DenMA-TS (2)</vt:lpstr>
      <vt:lpstr>1c.DenMA-TS</vt:lpstr>
      <vt:lpstr>2.ES-MAD-TS</vt:lpstr>
      <vt:lpstr>3.ES-DataTable-Solver</vt:lpstr>
      <vt:lpstr>4.Regression</vt:lpstr>
      <vt:lpstr>5.Trend&amp;Season</vt:lpstr>
      <vt:lpstr>0.ArdiData&amp;FixedData</vt:lpstr>
      <vt:lpstr>2.1.MAvs6MA</vt:lpstr>
      <vt:lpstr>TrAdES</vt:lpstr>
      <vt:lpstr>TrAdES2</vt:lpstr>
      <vt:lpstr>Sheet1</vt:lpstr>
      <vt:lpstr>BookData</vt:lpstr>
      <vt:lpstr>2.ESGameDatTabSolver (2)</vt:lpstr>
      <vt:lpstr>2.ESGameDatTabSolver</vt:lpstr>
      <vt:lpstr>2.2.Set2ES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2018-01-15T17:10:47Z</dcterms:modified>
</cp:coreProperties>
</file>