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bookViews>
    <workbookView xWindow="0" yWindow="0" windowWidth="23040" windowHeight="8910" activeTab="5"/>
  </bookViews>
  <sheets>
    <sheet name="0.ArdiData" sheetId="9" r:id="rId1"/>
    <sheet name="1.Expo" sheetId="26" r:id="rId2"/>
    <sheet name="2.ES-MAD-TS" sheetId="16" r:id="rId3"/>
    <sheet name="3.ES-OptDataTab" sheetId="27" r:id="rId4"/>
    <sheet name="4.ES-OptSolver" sheetId="20" r:id="rId5"/>
    <sheet name="00.BookData" sheetId="6" r:id="rId6"/>
  </sheets>
  <definedNames>
    <definedName name="Page2">#REF!</definedName>
    <definedName name="Page2b">#REF!</definedName>
    <definedName name="solver_adj" localSheetId="2" hidden="1">'2.ES-MAD-TS'!#REF!</definedName>
    <definedName name="solver_adj" localSheetId="4" hidden="1">'4.ES-OptSolver'!$G$3</definedName>
    <definedName name="solver_cvg" localSheetId="2" hidden="1">0.0001</definedName>
    <definedName name="solver_cvg" localSheetId="4" hidden="1">0.0001</definedName>
    <definedName name="solver_drv" localSheetId="2" hidden="1">2</definedName>
    <definedName name="solver_drv" localSheetId="4" hidden="1">2</definedName>
    <definedName name="solver_eng" localSheetId="2" hidden="1">1</definedName>
    <definedName name="solver_eng" localSheetId="4" hidden="1">1</definedName>
    <definedName name="solver_est" localSheetId="2" hidden="1">1</definedName>
    <definedName name="solver_est" localSheetId="4" hidden="1">1</definedName>
    <definedName name="solver_itr" localSheetId="2" hidden="1">2147483647</definedName>
    <definedName name="solver_itr" localSheetId="4" hidden="1">2147483647</definedName>
    <definedName name="solver_mip" localSheetId="2" hidden="1">2147483647</definedName>
    <definedName name="solver_mip" localSheetId="4" hidden="1">2147483647</definedName>
    <definedName name="solver_mni" localSheetId="2" hidden="1">30</definedName>
    <definedName name="solver_mni" localSheetId="4" hidden="1">30</definedName>
    <definedName name="solver_mrt" localSheetId="2" hidden="1">0.075</definedName>
    <definedName name="solver_mrt" localSheetId="4" hidden="1">0.075</definedName>
    <definedName name="solver_msl" localSheetId="2" hidden="1">2</definedName>
    <definedName name="solver_msl" localSheetId="4" hidden="1">2</definedName>
    <definedName name="solver_neg" localSheetId="2" hidden="1">1</definedName>
    <definedName name="solver_neg" localSheetId="4" hidden="1">1</definedName>
    <definedName name="solver_nod" localSheetId="2" hidden="1">2147483647</definedName>
    <definedName name="solver_nod" localSheetId="4" hidden="1">2147483647</definedName>
    <definedName name="solver_num" localSheetId="2" hidden="1">0</definedName>
    <definedName name="solver_num" localSheetId="4" hidden="1">0</definedName>
    <definedName name="solver_nwt" localSheetId="2" hidden="1">1</definedName>
    <definedName name="solver_nwt" localSheetId="4" hidden="1">1</definedName>
    <definedName name="solver_opt" localSheetId="2" hidden="1">'2.ES-MAD-TS'!#REF!</definedName>
    <definedName name="solver_opt" localSheetId="4" hidden="1">'4.ES-OptSolver'!$H$4</definedName>
    <definedName name="solver_pre" localSheetId="2" hidden="1">0.000001</definedName>
    <definedName name="solver_pre" localSheetId="4" hidden="1">0.000001</definedName>
    <definedName name="solver_rbv" localSheetId="2" hidden="1">2</definedName>
    <definedName name="solver_rbv" localSheetId="4" hidden="1">2</definedName>
    <definedName name="solver_rlx" localSheetId="2" hidden="1">2</definedName>
    <definedName name="solver_rlx" localSheetId="4" hidden="1">2</definedName>
    <definedName name="solver_rsd" localSheetId="2" hidden="1">0</definedName>
    <definedName name="solver_rsd" localSheetId="4" hidden="1">0</definedName>
    <definedName name="solver_scl" localSheetId="2" hidden="1">2</definedName>
    <definedName name="solver_scl" localSheetId="4" hidden="1">2</definedName>
    <definedName name="solver_sho" localSheetId="2" hidden="1">2</definedName>
    <definedName name="solver_sho" localSheetId="4" hidden="1">2</definedName>
    <definedName name="solver_ssz" localSheetId="2" hidden="1">100</definedName>
    <definedName name="solver_ssz" localSheetId="4" hidden="1">100</definedName>
    <definedName name="solver_tim" localSheetId="2" hidden="1">2147483647</definedName>
    <definedName name="solver_tim" localSheetId="4" hidden="1">2147483647</definedName>
    <definedName name="solver_tol" localSheetId="2" hidden="1">0.01</definedName>
    <definedName name="solver_tol" localSheetId="4" hidden="1">0.01</definedName>
    <definedName name="solver_typ" localSheetId="2" hidden="1">2</definedName>
    <definedName name="solver_typ" localSheetId="4" hidden="1">2</definedName>
    <definedName name="solver_val" localSheetId="2" hidden="1">0</definedName>
    <definedName name="solver_val" localSheetId="4" hidden="1">0</definedName>
    <definedName name="solver_ver" localSheetId="2" hidden="1">3</definedName>
    <definedName name="solver_ver" localSheetId="4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7" l="1"/>
  <c r="G3" i="27" s="1"/>
  <c r="J8" i="27"/>
  <c r="J9" i="27" s="1"/>
  <c r="J10" i="27" s="1"/>
  <c r="J11" i="27" s="1"/>
  <c r="J12" i="27" s="1"/>
  <c r="J13" i="27" s="1"/>
  <c r="J14" i="27" s="1"/>
  <c r="J15" i="27" s="1"/>
  <c r="J16" i="27" s="1"/>
  <c r="J17" i="27" s="1"/>
  <c r="J18" i="27" s="1"/>
  <c r="C6" i="27"/>
  <c r="E6" i="27" s="1"/>
  <c r="P1" i="27"/>
  <c r="P1" i="26"/>
  <c r="F15" i="27"/>
  <c r="M15" i="27"/>
  <c r="F17" i="27"/>
  <c r="H14" i="27"/>
  <c r="M9" i="27"/>
  <c r="F10" i="27"/>
  <c r="D10" i="27"/>
  <c r="H16" i="27"/>
  <c r="D13" i="27"/>
  <c r="H7" i="27"/>
  <c r="F16" i="27"/>
  <c r="M10" i="27"/>
  <c r="D11" i="27"/>
  <c r="H17" i="27"/>
  <c r="D7" i="27"/>
  <c r="H10" i="27"/>
  <c r="F14" i="27"/>
  <c r="H20" i="27"/>
  <c r="H15" i="27"/>
  <c r="D8" i="27"/>
  <c r="D14" i="27"/>
  <c r="M12" i="27"/>
  <c r="H12" i="27"/>
  <c r="D12" i="27"/>
  <c r="M13" i="27"/>
  <c r="D17" i="27"/>
  <c r="F8" i="27"/>
  <c r="F6" i="27"/>
  <c r="M14" i="27"/>
  <c r="M8" i="27"/>
  <c r="M16" i="27"/>
  <c r="F12" i="27"/>
  <c r="M17" i="27"/>
  <c r="M11" i="27"/>
  <c r="H9" i="27"/>
  <c r="H13" i="27"/>
  <c r="H11" i="27"/>
  <c r="D9" i="27"/>
  <c r="M18" i="27"/>
  <c r="D16" i="27"/>
  <c r="F13" i="27"/>
  <c r="F11" i="27"/>
  <c r="D15" i="27"/>
  <c r="D18" i="27"/>
  <c r="D6" i="27"/>
  <c r="F20" i="27"/>
  <c r="H6" i="27"/>
  <c r="F7" i="27"/>
  <c r="H8" i="27"/>
  <c r="F9" i="27"/>
  <c r="C7" i="27" l="1"/>
  <c r="E7" i="27" s="1"/>
  <c r="G7" i="27" s="1"/>
  <c r="G6" i="27"/>
  <c r="C8" i="27" l="1"/>
  <c r="C9" i="27" s="1"/>
  <c r="E8" i="27" l="1"/>
  <c r="G8" i="27" s="1"/>
  <c r="C10" i="27"/>
  <c r="E9" i="27"/>
  <c r="G9" i="27" l="1"/>
  <c r="C11" i="27"/>
  <c r="E10" i="27"/>
  <c r="G10" i="27" l="1"/>
  <c r="E11" i="27"/>
  <c r="G11" i="27" s="1"/>
  <c r="C12" i="27"/>
  <c r="E12" i="27" l="1"/>
  <c r="G12" i="27" s="1"/>
  <c r="C13" i="27"/>
  <c r="C14" i="27" l="1"/>
  <c r="E13" i="27"/>
  <c r="G13" i="27" l="1"/>
  <c r="C15" i="27"/>
  <c r="E14" i="27"/>
  <c r="G14" i="27" s="1"/>
  <c r="C16" i="27" l="1"/>
  <c r="E15" i="27"/>
  <c r="G15" i="27" s="1"/>
  <c r="C17" i="27" l="1"/>
  <c r="E16" i="27"/>
  <c r="G16" i="27" s="1"/>
  <c r="C18" i="27" l="1"/>
  <c r="E17" i="27"/>
  <c r="G17" i="27" s="1"/>
  <c r="K7" i="27" l="1"/>
  <c r="H19" i="27"/>
  <c r="F19" i="27"/>
  <c r="H21" i="27" l="1"/>
  <c r="H17" i="26"/>
  <c r="H15" i="26"/>
  <c r="D16" i="26"/>
  <c r="D14" i="26"/>
  <c r="F16" i="26"/>
  <c r="H16" i="26"/>
  <c r="H20" i="26"/>
  <c r="D11" i="26"/>
  <c r="F13" i="26"/>
  <c r="D20" i="26"/>
  <c r="F10" i="26"/>
  <c r="F20" i="26"/>
  <c r="D19" i="26"/>
  <c r="D17" i="26"/>
  <c r="H23" i="26"/>
  <c r="D21" i="26"/>
  <c r="H12" i="26"/>
  <c r="F23" i="26"/>
  <c r="F14" i="26"/>
  <c r="F9" i="26"/>
  <c r="H9" i="26"/>
  <c r="F11" i="26"/>
  <c r="H14" i="26"/>
  <c r="D10" i="26"/>
  <c r="F19" i="26"/>
  <c r="F18" i="26"/>
  <c r="F15" i="26"/>
  <c r="H18" i="26"/>
  <c r="D18" i="26"/>
  <c r="D15" i="26"/>
  <c r="F12" i="26"/>
  <c r="H13" i="26"/>
  <c r="D13" i="26"/>
  <c r="H19" i="26"/>
  <c r="F17" i="26"/>
  <c r="D9" i="26"/>
  <c r="H11" i="26"/>
  <c r="D12" i="26"/>
  <c r="H10" i="26"/>
  <c r="J17" i="20" l="1"/>
  <c r="J18" i="20" s="1"/>
  <c r="J19" i="20" s="1"/>
  <c r="J20" i="20" s="1"/>
  <c r="J21" i="20" s="1"/>
  <c r="J22" i="20" s="1"/>
  <c r="J23" i="20" s="1"/>
  <c r="J24" i="20" s="1"/>
  <c r="J25" i="20" s="1"/>
  <c r="J26" i="20" s="1"/>
  <c r="L27" i="20" l="1"/>
  <c r="D13" i="20"/>
  <c r="E13" i="20" s="1"/>
  <c r="F13" i="20" s="1"/>
  <c r="D12" i="20"/>
  <c r="E12" i="20" s="1"/>
  <c r="F12" i="20" s="1"/>
  <c r="D14" i="20" l="1"/>
  <c r="E14" i="20" s="1"/>
  <c r="F14" i="20" s="1"/>
  <c r="G14" i="20" s="1"/>
  <c r="H14" i="20" s="1"/>
  <c r="G12" i="20"/>
  <c r="H12" i="20" s="1"/>
  <c r="G13" i="20"/>
  <c r="H13" i="20" s="1"/>
  <c r="D15" i="20" l="1"/>
  <c r="E15" i="20" s="1"/>
  <c r="F15" i="20" s="1"/>
  <c r="D16" i="20" l="1"/>
  <c r="D17" i="20" s="1"/>
  <c r="G15" i="20"/>
  <c r="H15" i="20" s="1"/>
  <c r="E16" i="20" l="1"/>
  <c r="F16" i="20" s="1"/>
  <c r="G16" i="20" s="1"/>
  <c r="H16" i="20" s="1"/>
  <c r="E17" i="20"/>
  <c r="F17" i="20" s="1"/>
  <c r="D18" i="20"/>
  <c r="G17" i="20" l="1"/>
  <c r="H17" i="20" s="1"/>
  <c r="E18" i="20"/>
  <c r="F18" i="20" s="1"/>
  <c r="D19" i="20"/>
  <c r="E19" i="20" l="1"/>
  <c r="F19" i="20" s="1"/>
  <c r="D20" i="20"/>
  <c r="G18" i="20"/>
  <c r="H18" i="20" s="1"/>
  <c r="E20" i="20" l="1"/>
  <c r="F20" i="20" s="1"/>
  <c r="D21" i="20"/>
  <c r="G19" i="20"/>
  <c r="H19" i="20" s="1"/>
  <c r="E21" i="20" l="1"/>
  <c r="F21" i="20" s="1"/>
  <c r="G21" i="20" s="1"/>
  <c r="H21" i="20" s="1"/>
  <c r="D22" i="20"/>
  <c r="G20" i="20"/>
  <c r="H20" i="20" s="1"/>
  <c r="A31" i="20"/>
  <c r="A25" i="20"/>
  <c r="A45" i="20"/>
  <c r="A37" i="20"/>
  <c r="A57" i="20"/>
  <c r="A53" i="20"/>
  <c r="A55" i="20"/>
  <c r="A19" i="20"/>
  <c r="A35" i="20"/>
  <c r="A60" i="20"/>
  <c r="A56" i="20"/>
  <c r="A16" i="20"/>
  <c r="A42" i="20"/>
  <c r="A51" i="20"/>
  <c r="A41" i="20"/>
  <c r="A18" i="20"/>
  <c r="A22" i="20"/>
  <c r="A39" i="20"/>
  <c r="A28" i="20"/>
  <c r="A13" i="20"/>
  <c r="A20" i="20"/>
  <c r="A43" i="20"/>
  <c r="A15" i="20"/>
  <c r="A36" i="20"/>
  <c r="A52" i="20"/>
  <c r="A49" i="20"/>
  <c r="A61" i="20"/>
  <c r="A29" i="20"/>
  <c r="A21" i="20"/>
  <c r="A26" i="20"/>
  <c r="A46" i="20"/>
  <c r="A38" i="20"/>
  <c r="A59" i="20"/>
  <c r="A34" i="20"/>
  <c r="A23" i="20"/>
  <c r="A40" i="20"/>
  <c r="A14" i="20"/>
  <c r="A24" i="20"/>
  <c r="A47" i="20"/>
  <c r="A44" i="20"/>
  <c r="A33" i="20"/>
  <c r="A54" i="20"/>
  <c r="A58" i="20"/>
  <c r="A30" i="20"/>
  <c r="A17" i="20"/>
  <c r="A27" i="20"/>
  <c r="A12" i="20"/>
  <c r="A50" i="20"/>
  <c r="A32" i="20"/>
  <c r="A48" i="20"/>
  <c r="A26" i="16" l="1"/>
  <c r="A32" i="16"/>
  <c r="A22" i="16"/>
  <c r="A48" i="16"/>
  <c r="A21" i="16"/>
  <c r="A41" i="16"/>
  <c r="A23" i="16"/>
  <c r="A47" i="16"/>
  <c r="A11" i="16"/>
  <c r="A29" i="16"/>
  <c r="A39" i="16"/>
  <c r="A58" i="16"/>
  <c r="A25" i="16"/>
  <c r="A60" i="16"/>
  <c r="A35" i="16"/>
  <c r="A19" i="16"/>
  <c r="A38" i="16"/>
  <c r="A40" i="16"/>
  <c r="A50" i="16"/>
  <c r="A55" i="16"/>
  <c r="A54" i="16"/>
  <c r="A36" i="16"/>
  <c r="A30" i="16"/>
  <c r="A31" i="16"/>
  <c r="A57" i="16"/>
  <c r="A46" i="16"/>
  <c r="A37" i="16"/>
  <c r="A12" i="16"/>
  <c r="A59" i="16"/>
  <c r="A52" i="16"/>
  <c r="A16" i="16"/>
  <c r="A20" i="16"/>
  <c r="A14" i="16"/>
  <c r="A15" i="16"/>
  <c r="A34" i="16"/>
  <c r="A44" i="16"/>
  <c r="E22" i="20"/>
  <c r="F22" i="20" s="1"/>
  <c r="G22" i="20" s="1"/>
  <c r="H22" i="20" s="1"/>
  <c r="D23" i="20"/>
  <c r="A49" i="16"/>
  <c r="A53" i="16"/>
  <c r="A43" i="16"/>
  <c r="A13" i="16"/>
  <c r="A33" i="16"/>
  <c r="A45" i="16"/>
  <c r="A28" i="16"/>
  <c r="A51" i="16"/>
  <c r="A42" i="16"/>
  <c r="A27" i="16"/>
  <c r="A17" i="16"/>
  <c r="A18" i="16"/>
  <c r="A56" i="16"/>
  <c r="A24" i="16"/>
  <c r="E23" i="20" l="1"/>
  <c r="F23" i="20" s="1"/>
  <c r="G23" i="20" s="1"/>
  <c r="H23" i="20" s="1"/>
  <c r="D24" i="20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H4" i="16" s="1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E24" i="20" l="1"/>
  <c r="F24" i="20" s="1"/>
  <c r="G24" i="20" s="1"/>
  <c r="H24" i="20" s="1"/>
  <c r="D25" i="20"/>
  <c r="E12" i="16"/>
  <c r="E11" i="16"/>
  <c r="E13" i="16"/>
  <c r="E25" i="20" l="1"/>
  <c r="F25" i="20" s="1"/>
  <c r="G25" i="20" s="1"/>
  <c r="H25" i="20" s="1"/>
  <c r="D26" i="20"/>
  <c r="F11" i="16"/>
  <c r="G11" i="16" s="1"/>
  <c r="H11" i="16" s="1"/>
  <c r="F12" i="16"/>
  <c r="F13" i="16"/>
  <c r="E14" i="16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AI1" i="9"/>
  <c r="AH1" i="9"/>
  <c r="Q9" i="6"/>
  <c r="P9" i="6"/>
  <c r="O9" i="6"/>
  <c r="Q6" i="6"/>
  <c r="P6" i="6"/>
  <c r="O6" i="6"/>
  <c r="Q4" i="6"/>
  <c r="P4" i="6"/>
  <c r="O4" i="6"/>
  <c r="Q3" i="6"/>
  <c r="P3" i="6"/>
  <c r="O3" i="6"/>
  <c r="Q2" i="6"/>
  <c r="P2" i="6"/>
  <c r="O2" i="6"/>
  <c r="O7" i="6" s="1"/>
  <c r="H2" i="6"/>
  <c r="O5" i="6" l="1"/>
  <c r="O8" i="6" s="1"/>
  <c r="E26" i="20"/>
  <c r="F26" i="20" s="1"/>
  <c r="G26" i="20" s="1"/>
  <c r="H26" i="20" s="1"/>
  <c r="D27" i="20"/>
  <c r="G12" i="16"/>
  <c r="H12" i="16" s="1"/>
  <c r="F14" i="16"/>
  <c r="G14" i="16" s="1"/>
  <c r="H14" i="16" s="1"/>
  <c r="E15" i="16"/>
  <c r="F15" i="16" s="1"/>
  <c r="G13" i="16"/>
  <c r="H13" i="16" s="1"/>
  <c r="P5" i="6"/>
  <c r="P8" i="6" s="1"/>
  <c r="P7" i="6"/>
  <c r="AE10" i="9"/>
  <c r="AE5" i="9"/>
  <c r="AE9" i="9"/>
  <c r="AE13" i="9"/>
  <c r="AE17" i="9"/>
  <c r="AE21" i="9"/>
  <c r="AG21" i="9" s="1"/>
  <c r="AE25" i="9"/>
  <c r="AE29" i="9"/>
  <c r="AE33" i="9"/>
  <c r="AG33" i="9" s="1"/>
  <c r="AE37" i="9"/>
  <c r="AG37" i="9" s="1"/>
  <c r="AE41" i="9"/>
  <c r="AE45" i="9"/>
  <c r="AE49" i="9"/>
  <c r="AE53" i="9"/>
  <c r="AE57" i="9"/>
  <c r="AE61" i="9"/>
  <c r="AG61" i="9" s="1"/>
  <c r="AE65" i="9"/>
  <c r="AE69" i="9"/>
  <c r="AE73" i="9"/>
  <c r="AE77" i="9"/>
  <c r="AG77" i="9" s="1"/>
  <c r="AE6" i="9"/>
  <c r="AE14" i="9"/>
  <c r="AE18" i="9"/>
  <c r="AE22" i="9"/>
  <c r="AE26" i="9"/>
  <c r="AE30" i="9"/>
  <c r="AG30" i="9" s="1"/>
  <c r="AE34" i="9"/>
  <c r="AE38" i="9"/>
  <c r="AE42" i="9"/>
  <c r="AE46" i="9"/>
  <c r="AE50" i="9"/>
  <c r="AE54" i="9"/>
  <c r="AE58" i="9"/>
  <c r="AE62" i="9"/>
  <c r="AE66" i="9"/>
  <c r="AE70" i="9"/>
  <c r="AE74" i="9"/>
  <c r="AE7" i="9"/>
  <c r="AE11" i="9"/>
  <c r="AE15" i="9"/>
  <c r="AE19" i="9"/>
  <c r="AE23" i="9"/>
  <c r="AE27" i="9"/>
  <c r="AE31" i="9"/>
  <c r="AE35" i="9"/>
  <c r="AE39" i="9"/>
  <c r="AE43" i="9"/>
  <c r="AE47" i="9"/>
  <c r="AG47" i="9" s="1"/>
  <c r="AE51" i="9"/>
  <c r="AE55" i="9"/>
  <c r="AE59" i="9"/>
  <c r="AG59" i="9" s="1"/>
  <c r="AE63" i="9"/>
  <c r="AE67" i="9"/>
  <c r="AE71" i="9"/>
  <c r="AE75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52" i="9"/>
  <c r="AE56" i="9"/>
  <c r="AE60" i="9"/>
  <c r="AE64" i="9"/>
  <c r="AE68" i="9"/>
  <c r="AE72" i="9"/>
  <c r="AG72" i="9" s="1"/>
  <c r="AE76" i="9"/>
  <c r="AE3" i="9"/>
  <c r="AG3" i="9" s="1"/>
  <c r="Q7" i="6"/>
  <c r="G3" i="6"/>
  <c r="I2" i="6"/>
  <c r="F2" i="6"/>
  <c r="Q5" i="6"/>
  <c r="Q8" i="6" s="1"/>
  <c r="E27" i="20" l="1"/>
  <c r="F27" i="20" s="1"/>
  <c r="G27" i="20" s="1"/>
  <c r="H27" i="20" s="1"/>
  <c r="D28" i="20"/>
  <c r="G15" i="16"/>
  <c r="H15" i="16" s="1"/>
  <c r="E16" i="16"/>
  <c r="AG5" i="9"/>
  <c r="D5" i="9" s="1"/>
  <c r="AG60" i="9"/>
  <c r="D60" i="9" s="1"/>
  <c r="AG44" i="9"/>
  <c r="D44" i="9" s="1"/>
  <c r="AG28" i="9"/>
  <c r="D28" i="9" s="1"/>
  <c r="AG74" i="9"/>
  <c r="D74" i="9" s="1"/>
  <c r="AG50" i="9"/>
  <c r="D50" i="9" s="1"/>
  <c r="AG22" i="9"/>
  <c r="D22" i="9" s="1"/>
  <c r="AG65" i="9"/>
  <c r="D65" i="9" s="1"/>
  <c r="AG49" i="9"/>
  <c r="D49" i="9" s="1"/>
  <c r="AG42" i="9"/>
  <c r="D42" i="9" s="1"/>
  <c r="AG31" i="9"/>
  <c r="D31" i="9" s="1"/>
  <c r="AG27" i="9"/>
  <c r="D27" i="9" s="1"/>
  <c r="AG23" i="9"/>
  <c r="D23" i="9" s="1"/>
  <c r="AG76" i="9"/>
  <c r="D76" i="9" s="1"/>
  <c r="AG56" i="9"/>
  <c r="D56" i="9" s="1"/>
  <c r="AG40" i="9"/>
  <c r="D40" i="9" s="1"/>
  <c r="AG24" i="9"/>
  <c r="D24" i="9" s="1"/>
  <c r="AG70" i="9"/>
  <c r="D70" i="9" s="1"/>
  <c r="AG38" i="9"/>
  <c r="D38" i="9" s="1"/>
  <c r="AG45" i="9"/>
  <c r="D45" i="9" s="1"/>
  <c r="AG29" i="9"/>
  <c r="D29" i="9" s="1"/>
  <c r="AG66" i="9"/>
  <c r="D66" i="9" s="1"/>
  <c r="AG34" i="9"/>
  <c r="D34" i="9" s="1"/>
  <c r="AG75" i="9"/>
  <c r="D75" i="9" s="1"/>
  <c r="AG71" i="9"/>
  <c r="D71" i="9" s="1"/>
  <c r="AG67" i="9"/>
  <c r="D67" i="9" s="1"/>
  <c r="AG68" i="9"/>
  <c r="D68" i="9" s="1"/>
  <c r="AG52" i="9"/>
  <c r="D52" i="9" s="1"/>
  <c r="AG36" i="9"/>
  <c r="D36" i="9" s="1"/>
  <c r="AG20" i="9"/>
  <c r="D20" i="9" s="1"/>
  <c r="AG62" i="9"/>
  <c r="D62" i="9" s="1"/>
  <c r="AG73" i="9"/>
  <c r="D73" i="9" s="1"/>
  <c r="AG57" i="9"/>
  <c r="D57" i="9" s="1"/>
  <c r="AG41" i="9"/>
  <c r="D41" i="9" s="1"/>
  <c r="AG25" i="9"/>
  <c r="D25" i="9" s="1"/>
  <c r="AG54" i="9"/>
  <c r="D54" i="9" s="1"/>
  <c r="AG63" i="9"/>
  <c r="D63" i="9" s="1"/>
  <c r="AG55" i="9"/>
  <c r="D55" i="9" s="1"/>
  <c r="AG51" i="9"/>
  <c r="D51" i="9" s="1"/>
  <c r="AG64" i="9"/>
  <c r="D64" i="9" s="1"/>
  <c r="AG48" i="9"/>
  <c r="D48" i="9" s="1"/>
  <c r="AG32" i="9"/>
  <c r="D32" i="9" s="1"/>
  <c r="AG4" i="9"/>
  <c r="D4" i="9" s="1"/>
  <c r="AG58" i="9"/>
  <c r="D58" i="9" s="1"/>
  <c r="AG26" i="9"/>
  <c r="D26" i="9" s="1"/>
  <c r="AG69" i="9"/>
  <c r="D69" i="9" s="1"/>
  <c r="AG53" i="9"/>
  <c r="D53" i="9" s="1"/>
  <c r="AG46" i="9"/>
  <c r="D46" i="9" s="1"/>
  <c r="AG43" i="9"/>
  <c r="AG39" i="9"/>
  <c r="D39" i="9" s="1"/>
  <c r="AG35" i="9"/>
  <c r="D35" i="9" s="1"/>
  <c r="D61" i="9"/>
  <c r="D72" i="9"/>
  <c r="D30" i="9"/>
  <c r="D37" i="9"/>
  <c r="D21" i="9"/>
  <c r="D47" i="9"/>
  <c r="D59" i="9"/>
  <c r="D33" i="9"/>
  <c r="D77" i="9"/>
  <c r="H3" i="6"/>
  <c r="F3" i="6"/>
  <c r="J2" i="6"/>
  <c r="E28" i="20" l="1"/>
  <c r="F28" i="20" s="1"/>
  <c r="G28" i="20" s="1"/>
  <c r="H28" i="20" s="1"/>
  <c r="D29" i="20"/>
  <c r="E17" i="16"/>
  <c r="F16" i="16"/>
  <c r="D43" i="9"/>
  <c r="D3" i="9"/>
  <c r="AG6" i="9"/>
  <c r="AG7" i="9"/>
  <c r="AG10" i="9"/>
  <c r="AG11" i="9"/>
  <c r="I3" i="6"/>
  <c r="G4" i="6"/>
  <c r="E29" i="20" l="1"/>
  <c r="F29" i="20" s="1"/>
  <c r="G29" i="20" s="1"/>
  <c r="H29" i="20" s="1"/>
  <c r="D30" i="20"/>
  <c r="F17" i="16"/>
  <c r="G17" i="16" s="1"/>
  <c r="H17" i="16" s="1"/>
  <c r="E18" i="16"/>
  <c r="G16" i="16"/>
  <c r="H16" i="16" s="1"/>
  <c r="AG8" i="9"/>
  <c r="D6" i="9"/>
  <c r="AG14" i="9"/>
  <c r="AG16" i="9"/>
  <c r="H4" i="6"/>
  <c r="F4" i="6" s="1"/>
  <c r="J3" i="6"/>
  <c r="E30" i="20" l="1"/>
  <c r="F30" i="20" s="1"/>
  <c r="G30" i="20" s="1"/>
  <c r="H30" i="20" s="1"/>
  <c r="D31" i="20"/>
  <c r="F18" i="16"/>
  <c r="E19" i="16"/>
  <c r="D8" i="9"/>
  <c r="AG12" i="9"/>
  <c r="AG13" i="9"/>
  <c r="AG9" i="9"/>
  <c r="D7" i="9"/>
  <c r="D10" i="9"/>
  <c r="D11" i="9"/>
  <c r="G5" i="6"/>
  <c r="I4" i="6"/>
  <c r="E31" i="20" l="1"/>
  <c r="F31" i="20" s="1"/>
  <c r="G31" i="20" s="1"/>
  <c r="H31" i="20" s="1"/>
  <c r="D32" i="20"/>
  <c r="F19" i="16"/>
  <c r="G19" i="16" s="1"/>
  <c r="H19" i="16" s="1"/>
  <c r="E20" i="16"/>
  <c r="G18" i="16"/>
  <c r="H18" i="16" s="1"/>
  <c r="AG15" i="9"/>
  <c r="D9" i="9"/>
  <c r="D13" i="9"/>
  <c r="D12" i="9"/>
  <c r="D14" i="9"/>
  <c r="D16" i="9"/>
  <c r="J4" i="6"/>
  <c r="H5" i="6"/>
  <c r="F5" i="6" s="1"/>
  <c r="E32" i="20" l="1"/>
  <c r="F32" i="20" s="1"/>
  <c r="G32" i="20" s="1"/>
  <c r="H32" i="20" s="1"/>
  <c r="D33" i="20"/>
  <c r="F20" i="16"/>
  <c r="E21" i="16"/>
  <c r="AG18" i="9"/>
  <c r="D15" i="9"/>
  <c r="G6" i="6"/>
  <c r="I5" i="6"/>
  <c r="E33" i="20" l="1"/>
  <c r="F33" i="20" s="1"/>
  <c r="G33" i="20" s="1"/>
  <c r="H33" i="20" s="1"/>
  <c r="D34" i="20"/>
  <c r="F21" i="16"/>
  <c r="G21" i="16" s="1"/>
  <c r="H21" i="16" s="1"/>
  <c r="E22" i="16"/>
  <c r="G20" i="16"/>
  <c r="H20" i="16" s="1"/>
  <c r="AG17" i="9"/>
  <c r="AG19" i="9"/>
  <c r="H6" i="6"/>
  <c r="J5" i="6"/>
  <c r="E34" i="20" l="1"/>
  <c r="F34" i="20" s="1"/>
  <c r="G34" i="20" s="1"/>
  <c r="H34" i="20" s="1"/>
  <c r="D35" i="20"/>
  <c r="F22" i="16"/>
  <c r="G22" i="16" s="1"/>
  <c r="H22" i="16" s="1"/>
  <c r="E23" i="16"/>
  <c r="B67" i="9"/>
  <c r="B30" i="9"/>
  <c r="B3" i="9"/>
  <c r="C3" i="9"/>
  <c r="C35" i="9"/>
  <c r="C67" i="9"/>
  <c r="C58" i="9"/>
  <c r="C73" i="9"/>
  <c r="C29" i="9"/>
  <c r="C60" i="9"/>
  <c r="C32" i="9"/>
  <c r="C30" i="9"/>
  <c r="C61" i="9"/>
  <c r="C17" i="9"/>
  <c r="C64" i="9"/>
  <c r="C68" i="9"/>
  <c r="C24" i="9"/>
  <c r="C59" i="9"/>
  <c r="C15" i="9"/>
  <c r="C53" i="9"/>
  <c r="C26" i="9"/>
  <c r="C9" i="9"/>
  <c r="C33" i="9"/>
  <c r="C57" i="9"/>
  <c r="C54" i="9"/>
  <c r="C4" i="9"/>
  <c r="C43" i="9"/>
  <c r="C14" i="9"/>
  <c r="C36" i="9"/>
  <c r="C39" i="9"/>
  <c r="C70" i="9"/>
  <c r="C23" i="9"/>
  <c r="C65" i="9"/>
  <c r="C41" i="9"/>
  <c r="C49" i="9"/>
  <c r="C19" i="9"/>
  <c r="C37" i="9"/>
  <c r="C72" i="9"/>
  <c r="C21" i="9"/>
  <c r="C48" i="9"/>
  <c r="C31" i="9"/>
  <c r="C55" i="9"/>
  <c r="C16" i="9"/>
  <c r="C25" i="9"/>
  <c r="C74" i="9"/>
  <c r="C11" i="9"/>
  <c r="C51" i="9"/>
  <c r="C47" i="9"/>
  <c r="C69" i="9"/>
  <c r="C77" i="9"/>
  <c r="C50" i="9"/>
  <c r="C13" i="9"/>
  <c r="C62" i="9"/>
  <c r="C52" i="9"/>
  <c r="C42" i="9"/>
  <c r="C5" i="9"/>
  <c r="C38" i="9"/>
  <c r="C28" i="9"/>
  <c r="C66" i="9"/>
  <c r="C40" i="9"/>
  <c r="C7" i="9"/>
  <c r="C71" i="9"/>
  <c r="C56" i="9"/>
  <c r="C45" i="9"/>
  <c r="C6" i="9"/>
  <c r="C44" i="9"/>
  <c r="C18" i="9"/>
  <c r="C8" i="9"/>
  <c r="C46" i="9"/>
  <c r="C20" i="9"/>
  <c r="C10" i="9"/>
  <c r="C63" i="9"/>
  <c r="C22" i="9"/>
  <c r="C75" i="9"/>
  <c r="C34" i="9"/>
  <c r="C27" i="9"/>
  <c r="C12" i="9"/>
  <c r="C76" i="9"/>
  <c r="B51" i="9"/>
  <c r="B58" i="9"/>
  <c r="B16" i="9"/>
  <c r="B33" i="9"/>
  <c r="B25" i="9"/>
  <c r="B24" i="9"/>
  <c r="B55" i="9"/>
  <c r="B17" i="9"/>
  <c r="B34" i="9"/>
  <c r="B31" i="9"/>
  <c r="B57" i="9"/>
  <c r="B18" i="9"/>
  <c r="B48" i="9"/>
  <c r="B29" i="9"/>
  <c r="B22" i="9"/>
  <c r="B68" i="9"/>
  <c r="B41" i="9"/>
  <c r="B77" i="9"/>
  <c r="B7" i="9"/>
  <c r="B8" i="9"/>
  <c r="B49" i="9"/>
  <c r="B36" i="9"/>
  <c r="B26" i="9"/>
  <c r="B21" i="9"/>
  <c r="B64" i="9"/>
  <c r="B28" i="9"/>
  <c r="B37" i="9"/>
  <c r="B10" i="9"/>
  <c r="B70" i="9"/>
  <c r="B53" i="9"/>
  <c r="B61" i="9"/>
  <c r="B23" i="9"/>
  <c r="B20" i="9"/>
  <c r="B44" i="9"/>
  <c r="B62" i="9"/>
  <c r="B69" i="9"/>
  <c r="B15" i="9"/>
  <c r="B74" i="9"/>
  <c r="B60" i="9"/>
  <c r="B5" i="9"/>
  <c r="B9" i="9"/>
  <c r="B39" i="9"/>
  <c r="B42" i="9"/>
  <c r="B75" i="9"/>
  <c r="B47" i="9"/>
  <c r="B50" i="9"/>
  <c r="B72" i="9"/>
  <c r="B71" i="9"/>
  <c r="B40" i="9"/>
  <c r="B13" i="9"/>
  <c r="D19" i="9"/>
  <c r="B76" i="9"/>
  <c r="B14" i="9"/>
  <c r="B32" i="9"/>
  <c r="B6" i="9"/>
  <c r="B38" i="9"/>
  <c r="B56" i="9"/>
  <c r="B45" i="9"/>
  <c r="B11" i="9"/>
  <c r="B52" i="9"/>
  <c r="B43" i="9"/>
  <c r="B46" i="9"/>
  <c r="B73" i="9"/>
  <c r="B54" i="9"/>
  <c r="B4" i="9"/>
  <c r="B66" i="9"/>
  <c r="B27" i="9"/>
  <c r="B65" i="9"/>
  <c r="B59" i="9"/>
  <c r="D17" i="9"/>
  <c r="B63" i="9"/>
  <c r="B35" i="9"/>
  <c r="B19" i="9"/>
  <c r="B12" i="9"/>
  <c r="D18" i="9"/>
  <c r="G7" i="6"/>
  <c r="I6" i="6"/>
  <c r="F6" i="6"/>
  <c r="C9" i="26" l="1"/>
  <c r="C10" i="26" s="1"/>
  <c r="E35" i="20"/>
  <c r="F35" i="20" s="1"/>
  <c r="G35" i="20" s="1"/>
  <c r="H35" i="20" s="1"/>
  <c r="D36" i="20"/>
  <c r="F23" i="16"/>
  <c r="G23" i="16" s="1"/>
  <c r="H23" i="16" s="1"/>
  <c r="E24" i="16"/>
  <c r="P9" i="9"/>
  <c r="P2" i="9"/>
  <c r="O2" i="9"/>
  <c r="Q2" i="9"/>
  <c r="P4" i="9"/>
  <c r="P6" i="9"/>
  <c r="P3" i="9"/>
  <c r="Q6" i="9"/>
  <c r="Q4" i="9"/>
  <c r="Q3" i="9"/>
  <c r="Q9" i="9"/>
  <c r="O6" i="9"/>
  <c r="O9" i="9"/>
  <c r="O4" i="9"/>
  <c r="O3" i="9"/>
  <c r="J6" i="6"/>
  <c r="H7" i="6"/>
  <c r="F7" i="6" s="1"/>
  <c r="E9" i="26" l="1"/>
  <c r="C11" i="26"/>
  <c r="E10" i="26"/>
  <c r="E36" i="20"/>
  <c r="F36" i="20" s="1"/>
  <c r="G36" i="20" s="1"/>
  <c r="H36" i="20" s="1"/>
  <c r="D37" i="20"/>
  <c r="F24" i="16"/>
  <c r="G24" i="16" s="1"/>
  <c r="H24" i="16" s="1"/>
  <c r="E25" i="16"/>
  <c r="T4" i="9"/>
  <c r="T9" i="9"/>
  <c r="T6" i="9"/>
  <c r="T3" i="9"/>
  <c r="U4" i="9"/>
  <c r="T2" i="9"/>
  <c r="U9" i="9"/>
  <c r="U3" i="9"/>
  <c r="U6" i="9"/>
  <c r="U2" i="9"/>
  <c r="Q7" i="9"/>
  <c r="Q5" i="9"/>
  <c r="Q8" i="9" s="1"/>
  <c r="P5" i="9"/>
  <c r="P7" i="9"/>
  <c r="O5" i="9"/>
  <c r="O8" i="9" s="1"/>
  <c r="O7" i="9"/>
  <c r="G8" i="6"/>
  <c r="I7" i="6"/>
  <c r="E11" i="26" l="1"/>
  <c r="G11" i="26" s="1"/>
  <c r="C12" i="26"/>
  <c r="C13" i="26" s="1"/>
  <c r="G9" i="26"/>
  <c r="G10" i="26"/>
  <c r="E37" i="20"/>
  <c r="F37" i="20" s="1"/>
  <c r="G37" i="20" s="1"/>
  <c r="H37" i="20" s="1"/>
  <c r="D38" i="20"/>
  <c r="F25" i="16"/>
  <c r="G25" i="16" s="1"/>
  <c r="H25" i="16" s="1"/>
  <c r="E26" i="16"/>
  <c r="U7" i="9"/>
  <c r="T5" i="9"/>
  <c r="U5" i="9"/>
  <c r="T7" i="9"/>
  <c r="P8" i="9"/>
  <c r="U8" i="9" s="1"/>
  <c r="R5" i="9"/>
  <c r="S5" i="9" s="1"/>
  <c r="J7" i="6"/>
  <c r="H8" i="6"/>
  <c r="E12" i="26" l="1"/>
  <c r="E38" i="20"/>
  <c r="F38" i="20" s="1"/>
  <c r="G38" i="20" s="1"/>
  <c r="H38" i="20" s="1"/>
  <c r="D39" i="20"/>
  <c r="F26" i="16"/>
  <c r="G26" i="16" s="1"/>
  <c r="H26" i="16" s="1"/>
  <c r="E27" i="16"/>
  <c r="T8" i="9"/>
  <c r="R3" i="9"/>
  <c r="S3" i="9" s="1"/>
  <c r="R4" i="9"/>
  <c r="G2" i="9" s="1"/>
  <c r="G9" i="6"/>
  <c r="I8" i="6"/>
  <c r="F8" i="6"/>
  <c r="E13" i="26" l="1"/>
  <c r="G13" i="26" s="1"/>
  <c r="C14" i="26"/>
  <c r="G12" i="26"/>
  <c r="E39" i="20"/>
  <c r="F39" i="20" s="1"/>
  <c r="G39" i="20" s="1"/>
  <c r="H39" i="20" s="1"/>
  <c r="D40" i="20"/>
  <c r="F27" i="16"/>
  <c r="G27" i="16" s="1"/>
  <c r="H27" i="16" s="1"/>
  <c r="E28" i="16"/>
  <c r="H2" i="9"/>
  <c r="J8" i="6"/>
  <c r="H9" i="6"/>
  <c r="C15" i="26" l="1"/>
  <c r="E14" i="26"/>
  <c r="E40" i="20"/>
  <c r="F40" i="20" s="1"/>
  <c r="G40" i="20" s="1"/>
  <c r="H40" i="20" s="1"/>
  <c r="D41" i="20"/>
  <c r="F28" i="16"/>
  <c r="G28" i="16" s="1"/>
  <c r="H28" i="16" s="1"/>
  <c r="E29" i="16"/>
  <c r="G3" i="9"/>
  <c r="I2" i="9"/>
  <c r="J2" i="9" s="1"/>
  <c r="F2" i="9"/>
  <c r="G10" i="6"/>
  <c r="I9" i="6"/>
  <c r="F9" i="6"/>
  <c r="G14" i="26" l="1"/>
  <c r="E15" i="26"/>
  <c r="C16" i="26"/>
  <c r="E41" i="20"/>
  <c r="F41" i="20" s="1"/>
  <c r="G41" i="20" s="1"/>
  <c r="H41" i="20" s="1"/>
  <c r="D42" i="20"/>
  <c r="F29" i="16"/>
  <c r="G29" i="16" s="1"/>
  <c r="H29" i="16" s="1"/>
  <c r="E30" i="16"/>
  <c r="H3" i="9"/>
  <c r="J9" i="6"/>
  <c r="H10" i="6"/>
  <c r="F10" i="6" s="1"/>
  <c r="G15" i="26" l="1"/>
  <c r="C17" i="26"/>
  <c r="E16" i="26"/>
  <c r="G16" i="26" s="1"/>
  <c r="E42" i="20"/>
  <c r="F42" i="20" s="1"/>
  <c r="G42" i="20" s="1"/>
  <c r="H42" i="20" s="1"/>
  <c r="D43" i="20"/>
  <c r="F30" i="16"/>
  <c r="G30" i="16" s="1"/>
  <c r="H30" i="16" s="1"/>
  <c r="E31" i="16"/>
  <c r="I3" i="9"/>
  <c r="J3" i="9" s="1"/>
  <c r="G4" i="9"/>
  <c r="F3" i="9"/>
  <c r="G11" i="6"/>
  <c r="I10" i="6"/>
  <c r="E17" i="26" l="1"/>
  <c r="G17" i="26" s="1"/>
  <c r="C18" i="26"/>
  <c r="E43" i="20"/>
  <c r="F43" i="20" s="1"/>
  <c r="G43" i="20" s="1"/>
  <c r="H43" i="20" s="1"/>
  <c r="D44" i="20"/>
  <c r="F31" i="16"/>
  <c r="G31" i="16" s="1"/>
  <c r="H31" i="16" s="1"/>
  <c r="E32" i="16"/>
  <c r="H4" i="9"/>
  <c r="H11" i="6"/>
  <c r="F11" i="6" s="1"/>
  <c r="J10" i="6"/>
  <c r="E18" i="26" l="1"/>
  <c r="G18" i="26" s="1"/>
  <c r="C19" i="26"/>
  <c r="E44" i="20"/>
  <c r="F44" i="20" s="1"/>
  <c r="G44" i="20" s="1"/>
  <c r="H44" i="20" s="1"/>
  <c r="D45" i="20"/>
  <c r="F32" i="16"/>
  <c r="G32" i="16" s="1"/>
  <c r="H32" i="16" s="1"/>
  <c r="E33" i="16"/>
  <c r="I4" i="9"/>
  <c r="J4" i="9" s="1"/>
  <c r="G5" i="9"/>
  <c r="F4" i="9"/>
  <c r="G12" i="6"/>
  <c r="I11" i="6"/>
  <c r="E19" i="26" l="1"/>
  <c r="G19" i="26" s="1"/>
  <c r="C20" i="26"/>
  <c r="E45" i="20"/>
  <c r="F45" i="20" s="1"/>
  <c r="G45" i="20" s="1"/>
  <c r="H45" i="20" s="1"/>
  <c r="D46" i="20"/>
  <c r="F33" i="16"/>
  <c r="G33" i="16" s="1"/>
  <c r="H33" i="16" s="1"/>
  <c r="E34" i="16"/>
  <c r="H5" i="9"/>
  <c r="J11" i="6"/>
  <c r="H12" i="6"/>
  <c r="F12" i="6" s="1"/>
  <c r="E20" i="26" l="1"/>
  <c r="G20" i="26" s="1"/>
  <c r="C21" i="26"/>
  <c r="E46" i="20"/>
  <c r="F46" i="20" s="1"/>
  <c r="G46" i="20" s="1"/>
  <c r="H46" i="20" s="1"/>
  <c r="D47" i="20"/>
  <c r="F34" i="16"/>
  <c r="G34" i="16" s="1"/>
  <c r="H34" i="16" s="1"/>
  <c r="E35" i="16"/>
  <c r="I5" i="9"/>
  <c r="J5" i="9" s="1"/>
  <c r="G6" i="9"/>
  <c r="F5" i="9"/>
  <c r="G13" i="6"/>
  <c r="I12" i="6"/>
  <c r="F22" i="26" l="1"/>
  <c r="E4" i="26"/>
  <c r="H22" i="26"/>
  <c r="H24" i="26" s="1"/>
  <c r="E5" i="26"/>
  <c r="E47" i="20"/>
  <c r="F47" i="20" s="1"/>
  <c r="G47" i="20" s="1"/>
  <c r="H47" i="20" s="1"/>
  <c r="D48" i="20"/>
  <c r="F35" i="16"/>
  <c r="G35" i="16" s="1"/>
  <c r="H35" i="16" s="1"/>
  <c r="E36" i="16"/>
  <c r="H6" i="9"/>
  <c r="J12" i="6"/>
  <c r="H13" i="6"/>
  <c r="G6" i="26" l="1"/>
  <c r="G7" i="26" s="1"/>
  <c r="E48" i="20"/>
  <c r="F48" i="20" s="1"/>
  <c r="G48" i="20" s="1"/>
  <c r="H48" i="20" s="1"/>
  <c r="D49" i="20"/>
  <c r="F36" i="16"/>
  <c r="G36" i="16" s="1"/>
  <c r="H36" i="16" s="1"/>
  <c r="E37" i="16"/>
  <c r="I6" i="9"/>
  <c r="J6" i="9" s="1"/>
  <c r="G7" i="9"/>
  <c r="F6" i="9"/>
  <c r="G14" i="6"/>
  <c r="I13" i="6"/>
  <c r="F13" i="6"/>
  <c r="E49" i="20" l="1"/>
  <c r="F49" i="20" s="1"/>
  <c r="G49" i="20" s="1"/>
  <c r="H49" i="20" s="1"/>
  <c r="D50" i="20"/>
  <c r="F37" i="16"/>
  <c r="G37" i="16" s="1"/>
  <c r="H37" i="16" s="1"/>
  <c r="E38" i="16"/>
  <c r="H7" i="9"/>
  <c r="J13" i="6"/>
  <c r="H14" i="6"/>
  <c r="I14" i="6" s="1"/>
  <c r="E50" i="20" l="1"/>
  <c r="F50" i="20" s="1"/>
  <c r="G50" i="20" s="1"/>
  <c r="H50" i="20" s="1"/>
  <c r="D51" i="20"/>
  <c r="F38" i="16"/>
  <c r="G38" i="16" s="1"/>
  <c r="H38" i="16" s="1"/>
  <c r="E39" i="16"/>
  <c r="F14" i="6"/>
  <c r="I7" i="9"/>
  <c r="J7" i="9" s="1"/>
  <c r="G8" i="9"/>
  <c r="F7" i="9"/>
  <c r="J14" i="6"/>
  <c r="E51" i="20" l="1"/>
  <c r="F51" i="20" s="1"/>
  <c r="G51" i="20" s="1"/>
  <c r="H51" i="20" s="1"/>
  <c r="D52" i="20"/>
  <c r="F39" i="16"/>
  <c r="G39" i="16" s="1"/>
  <c r="H39" i="16" s="1"/>
  <c r="E40" i="16"/>
  <c r="H8" i="9"/>
  <c r="J15" i="6"/>
  <c r="E52" i="20" l="1"/>
  <c r="F52" i="20" s="1"/>
  <c r="G52" i="20" s="1"/>
  <c r="H52" i="20" s="1"/>
  <c r="D53" i="20"/>
  <c r="F40" i="16"/>
  <c r="G40" i="16" s="1"/>
  <c r="H40" i="16" s="1"/>
  <c r="E41" i="16"/>
  <c r="I8" i="9"/>
  <c r="J8" i="9" s="1"/>
  <c r="G9" i="9"/>
  <c r="F8" i="9"/>
  <c r="L2" i="6"/>
  <c r="K2" i="6"/>
  <c r="L3" i="6"/>
  <c r="K3" i="6"/>
  <c r="L4" i="6"/>
  <c r="K4" i="6"/>
  <c r="L5" i="6"/>
  <c r="K5" i="6"/>
  <c r="L6" i="6"/>
  <c r="K6" i="6"/>
  <c r="L7" i="6"/>
  <c r="K7" i="6"/>
  <c r="L8" i="6"/>
  <c r="K8" i="6"/>
  <c r="L9" i="6"/>
  <c r="K9" i="6"/>
  <c r="L10" i="6"/>
  <c r="K10" i="6"/>
  <c r="L11" i="6"/>
  <c r="K11" i="6"/>
  <c r="L12" i="6"/>
  <c r="K12" i="6"/>
  <c r="L13" i="6"/>
  <c r="L14" i="6"/>
  <c r="K13" i="6"/>
  <c r="K14" i="6"/>
  <c r="E53" i="20" l="1"/>
  <c r="F53" i="20" s="1"/>
  <c r="G53" i="20" s="1"/>
  <c r="H53" i="20" s="1"/>
  <c r="D54" i="20"/>
  <c r="F41" i="16"/>
  <c r="G41" i="16" s="1"/>
  <c r="H41" i="16" s="1"/>
  <c r="E42" i="16"/>
  <c r="H9" i="9"/>
  <c r="K15" i="6"/>
  <c r="E54" i="20" l="1"/>
  <c r="F54" i="20" s="1"/>
  <c r="G54" i="20" s="1"/>
  <c r="H54" i="20" s="1"/>
  <c r="D55" i="20"/>
  <c r="F42" i="16"/>
  <c r="G42" i="16" s="1"/>
  <c r="H42" i="16" s="1"/>
  <c r="E43" i="16"/>
  <c r="I9" i="9"/>
  <c r="J9" i="9" s="1"/>
  <c r="G10" i="9"/>
  <c r="F9" i="9"/>
  <c r="E55" i="20" l="1"/>
  <c r="F55" i="20" s="1"/>
  <c r="G55" i="20" s="1"/>
  <c r="H55" i="20" s="1"/>
  <c r="D56" i="20"/>
  <c r="F43" i="16"/>
  <c r="G43" i="16" s="1"/>
  <c r="H43" i="16" s="1"/>
  <c r="E44" i="16"/>
  <c r="H10" i="9"/>
  <c r="E56" i="20" l="1"/>
  <c r="F56" i="20" s="1"/>
  <c r="G56" i="20" s="1"/>
  <c r="H56" i="20" s="1"/>
  <c r="D57" i="20"/>
  <c r="F44" i="16"/>
  <c r="G44" i="16" s="1"/>
  <c r="H44" i="16" s="1"/>
  <c r="E45" i="16"/>
  <c r="I10" i="9"/>
  <c r="J10" i="9" s="1"/>
  <c r="G11" i="9"/>
  <c r="F10" i="9"/>
  <c r="E57" i="20" l="1"/>
  <c r="F57" i="20" s="1"/>
  <c r="G57" i="20" s="1"/>
  <c r="H57" i="20" s="1"/>
  <c r="D58" i="20"/>
  <c r="F45" i="16"/>
  <c r="G45" i="16" s="1"/>
  <c r="H45" i="16" s="1"/>
  <c r="E46" i="16"/>
  <c r="H11" i="9"/>
  <c r="E58" i="20" l="1"/>
  <c r="F58" i="20" s="1"/>
  <c r="G58" i="20" s="1"/>
  <c r="H58" i="20" s="1"/>
  <c r="D59" i="20"/>
  <c r="F46" i="16"/>
  <c r="G46" i="16" s="1"/>
  <c r="H46" i="16" s="1"/>
  <c r="E47" i="16"/>
  <c r="I11" i="9"/>
  <c r="J11" i="9" s="1"/>
  <c r="G12" i="9"/>
  <c r="F11" i="9"/>
  <c r="E59" i="20" l="1"/>
  <c r="F59" i="20" s="1"/>
  <c r="G59" i="20" s="1"/>
  <c r="H59" i="20" s="1"/>
  <c r="D60" i="20"/>
  <c r="F47" i="16"/>
  <c r="E48" i="16"/>
  <c r="H12" i="9"/>
  <c r="E60" i="20" l="1"/>
  <c r="F60" i="20" s="1"/>
  <c r="G60" i="20" s="1"/>
  <c r="H60" i="20" s="1"/>
  <c r="D61" i="20"/>
  <c r="G47" i="16"/>
  <c r="H47" i="16" s="1"/>
  <c r="F48" i="16"/>
  <c r="G48" i="16" s="1"/>
  <c r="H48" i="16" s="1"/>
  <c r="E49" i="16"/>
  <c r="I12" i="9"/>
  <c r="J12" i="9" s="1"/>
  <c r="G13" i="9"/>
  <c r="F12" i="9"/>
  <c r="D62" i="20" l="1"/>
  <c r="H5" i="20" s="1"/>
  <c r="E61" i="20"/>
  <c r="F61" i="20" s="1"/>
  <c r="G61" i="20" s="1"/>
  <c r="D63" i="20" s="1"/>
  <c r="F49" i="16"/>
  <c r="G49" i="16" s="1"/>
  <c r="H49" i="16" s="1"/>
  <c r="E50" i="16"/>
  <c r="H13" i="9"/>
  <c r="H61" i="20" l="1"/>
  <c r="H4" i="20"/>
  <c r="F50" i="16"/>
  <c r="G50" i="16" s="1"/>
  <c r="H50" i="16" s="1"/>
  <c r="E51" i="16"/>
  <c r="I13" i="9"/>
  <c r="J13" i="9" s="1"/>
  <c r="G14" i="9"/>
  <c r="F13" i="9"/>
  <c r="I6" i="20" l="1"/>
  <c r="K16" i="20"/>
  <c r="F51" i="16"/>
  <c r="G51" i="16" s="1"/>
  <c r="H51" i="16" s="1"/>
  <c r="E52" i="16"/>
  <c r="H14" i="9"/>
  <c r="I14" i="9" s="1"/>
  <c r="F52" i="16" l="1"/>
  <c r="G52" i="16" s="1"/>
  <c r="H52" i="16" s="1"/>
  <c r="E53" i="16"/>
  <c r="F14" i="9"/>
  <c r="J14" i="9"/>
  <c r="F53" i="16" l="1"/>
  <c r="G53" i="16" s="1"/>
  <c r="H53" i="16" s="1"/>
  <c r="E54" i="16"/>
  <c r="J15" i="9"/>
  <c r="F54" i="16" l="1"/>
  <c r="E55" i="16"/>
  <c r="K2" i="9"/>
  <c r="K6" i="9"/>
  <c r="K10" i="9"/>
  <c r="L4" i="9"/>
  <c r="L8" i="9"/>
  <c r="L12" i="9"/>
  <c r="K3" i="9"/>
  <c r="K7" i="9"/>
  <c r="K11" i="9"/>
  <c r="L5" i="9"/>
  <c r="L9" i="9"/>
  <c r="K12" i="9"/>
  <c r="K4" i="9"/>
  <c r="K8" i="9"/>
  <c r="L6" i="9"/>
  <c r="L10" i="9"/>
  <c r="K13" i="9"/>
  <c r="K5" i="9"/>
  <c r="K9" i="9"/>
  <c r="L3" i="9"/>
  <c r="L7" i="9"/>
  <c r="L11" i="9"/>
  <c r="L2" i="9"/>
  <c r="L13" i="9"/>
  <c r="L14" i="9"/>
  <c r="K14" i="9"/>
  <c r="G54" i="16" l="1"/>
  <c r="H54" i="16" s="1"/>
  <c r="F55" i="16"/>
  <c r="G55" i="16" s="1"/>
  <c r="H55" i="16" s="1"/>
  <c r="E56" i="16"/>
  <c r="K15" i="9"/>
  <c r="F56" i="16" l="1"/>
  <c r="G56" i="16" s="1"/>
  <c r="H56" i="16" s="1"/>
  <c r="E57" i="16"/>
  <c r="F57" i="16" l="1"/>
  <c r="G57" i="16" s="1"/>
  <c r="H57" i="16" s="1"/>
  <c r="E58" i="16"/>
  <c r="F58" i="16" l="1"/>
  <c r="G58" i="16" s="1"/>
  <c r="H58" i="16" s="1"/>
  <c r="E60" i="16"/>
  <c r="E59" i="16"/>
  <c r="F59" i="16" l="1"/>
  <c r="G59" i="16" s="1"/>
  <c r="H59" i="16" s="1"/>
  <c r="F60" i="16"/>
  <c r="G60" i="16" s="1"/>
  <c r="G3" i="16" l="1"/>
  <c r="I5" i="16" s="1"/>
  <c r="D62" i="16"/>
  <c r="H60" i="16"/>
</calcChain>
</file>

<file path=xl/sharedStrings.xml><?xml version="1.0" encoding="utf-8"?>
<sst xmlns="http://schemas.openxmlformats.org/spreadsheetml/2006/main" count="125" uniqueCount="76">
  <si>
    <t>At</t>
  </si>
  <si>
    <t>MAD</t>
  </si>
  <si>
    <t>|E|</t>
  </si>
  <si>
    <t>Ft</t>
  </si>
  <si>
    <t>Per.</t>
  </si>
  <si>
    <t>Office 1</t>
  </si>
  <si>
    <t>Office 2</t>
  </si>
  <si>
    <t>Office 3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</si>
  <si>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</si>
  <si>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</si>
  <si>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</si>
  <si>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</si>
  <si>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</si>
  <si>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</si>
  <si>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</si>
  <si>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</si>
  <si>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</si>
  <si>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</si>
  <si>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</si>
  <si>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</si>
  <si>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Rg/Mean</t>
  </si>
  <si>
    <t>Skew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</si>
  <si>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</si>
  <si>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</si>
  <si>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</si>
  <si>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</si>
  <si>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</si>
  <si>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</si>
  <si>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</si>
  <si>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</si>
  <si>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</si>
  <si>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Day</t>
  </si>
  <si>
    <t>Random</t>
  </si>
  <si>
    <t>Tracking Signal</t>
  </si>
  <si>
    <t>Ft=(1-α)Ft+αAt</t>
  </si>
  <si>
    <t>E=At-Ft</t>
  </si>
  <si>
    <t>MAD= AVE(|E|)</t>
  </si>
  <si>
    <t>SUM(E)/MAD</t>
  </si>
  <si>
    <t>What is your forecast for the next period?</t>
  </si>
  <si>
    <t>What is your standard deviation of forecast for the next period?</t>
  </si>
  <si>
    <t>Draw</t>
  </si>
  <si>
    <t>Actual vs. Forcast</t>
  </si>
  <si>
    <t>graph.</t>
  </si>
  <si>
    <t xml:space="preserve">Use the following data. </t>
  </si>
  <si>
    <t xml:space="preserve">Assume original value of alpha = </t>
  </si>
  <si>
    <t>Compute MAD for all periods including the last period.</t>
  </si>
  <si>
    <t xml:space="preserve">Draw the </t>
  </si>
  <si>
    <t>Using data table find the optimal alpha value to one decimal point.</t>
  </si>
  <si>
    <t>Using solver, find the optimal value of alpha to several decimal points.</t>
  </si>
  <si>
    <t>Compute MAD for all periods including the last period using optimal alpha.</t>
  </si>
  <si>
    <t>What is your forecast for the next period using the optimal alpha?</t>
  </si>
  <si>
    <t>What is your standard deviation of forecast for the next period  using the optimal alpha?</t>
  </si>
  <si>
    <t>alpha</t>
  </si>
  <si>
    <t>AVE</t>
  </si>
  <si>
    <t>Statistics</t>
  </si>
  <si>
    <t>Set 1</t>
  </si>
  <si>
    <t>Set 2</t>
  </si>
  <si>
    <t>Set 3</t>
  </si>
  <si>
    <t>Range/Mean</t>
  </si>
  <si>
    <t xml:space="preserve">Use the following data. Prepare a similar graph for  exponential smoothing. </t>
  </si>
  <si>
    <t>|E|=|At-Ft|</t>
  </si>
  <si>
    <t>t</t>
  </si>
  <si>
    <t>α=</t>
  </si>
  <si>
    <t>Forecast for next period:</t>
  </si>
  <si>
    <t>σ=</t>
  </si>
  <si>
    <t>µ=</t>
  </si>
  <si>
    <t xml:space="preserve">Assume </t>
  </si>
  <si>
    <t>Compute MAD for all periods.</t>
  </si>
  <si>
    <t>Compute the standard deviation of the forecast for the  next period.</t>
  </si>
  <si>
    <t>What is your forecast for the  next period.</t>
  </si>
  <si>
    <t>Find the best  α vale to three decimal points by using data table.</t>
  </si>
  <si>
    <t>Use conditional formatting for automatic painting of the best α value.</t>
  </si>
  <si>
    <t>Prepare a scatter graph for all periods where both  At and Ft are available.</t>
  </si>
  <si>
    <t>CV=</t>
  </si>
  <si>
    <t>Compute the coefficient of variations of the forecast for the  next period.</t>
  </si>
  <si>
    <t>Given the following small set of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</si>
</sst>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11"/>
      <color rgb="FFFF0000"/>
      <name val="Book Antiqua"/>
      <family val="1"/>
    </font>
    <font>
      <b/>
      <sz val="11"/>
      <color rgb="FF00B050"/>
      <name val="Book Antiqua"/>
      <family val="1"/>
    </font>
    <font>
      <b/>
      <sz val="11"/>
      <color theme="4" tint="-0.499984740745262"/>
      <name val="Book Antiqua"/>
      <family val="1"/>
    </font>
    <font>
      <b/>
      <sz val="11"/>
      <color rgb="FFFF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5" tint="-0.499984740745262"/>
      <name val="Book Antiqua"/>
      <family val="1"/>
    </font>
    <font>
      <sz val="11"/>
      <color rgb="FF7030A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rgb="FFC00000"/>
      <name val="Calibri"/>
      <family val="2"/>
    </font>
    <font>
      <b/>
      <sz val="11"/>
      <color rgb="FFC00000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63">
    <xf numFmtId="0" fontId="0" fillId="0" borderId="0" xfId="0"/>
    <xf numFmtId="0" fontId="2" fillId="0" borderId="0" xfId="2" applyFont="1" applyAlignment="1">
      <alignment horizontal="left"/>
    </xf>
    <xf numFmtId="0" fontId="2" fillId="0" borderId="0" xfId="2"/>
    <xf numFmtId="0" fontId="3" fillId="0" borderId="0" xfId="2" applyFont="1" applyAlignment="1">
      <alignment horizontal="center"/>
    </xf>
    <xf numFmtId="0" fontId="2" fillId="0" borderId="2" xfId="2" applyBorder="1" applyAlignment="1">
      <alignment horizontal="center"/>
    </xf>
    <xf numFmtId="1" fontId="2" fillId="0" borderId="13" xfId="2" applyNumberFormat="1" applyFill="1" applyBorder="1" applyAlignment="1">
      <alignment horizontal="center"/>
    </xf>
    <xf numFmtId="1" fontId="2" fillId="0" borderId="13" xfId="2" applyNumberFormat="1" applyBorder="1" applyAlignment="1">
      <alignment horizontal="center"/>
    </xf>
    <xf numFmtId="1" fontId="2" fillId="0" borderId="8" xfId="2" applyNumberFormat="1" applyBorder="1" applyAlignment="1">
      <alignment horizontal="center"/>
    </xf>
    <xf numFmtId="2" fontId="2" fillId="0" borderId="13" xfId="2" applyNumberFormat="1" applyBorder="1" applyAlignment="1">
      <alignment horizontal="center"/>
    </xf>
    <xf numFmtId="2" fontId="2" fillId="0" borderId="3" xfId="2" applyNumberFormat="1" applyBorder="1" applyAlignment="1">
      <alignment horizontal="center"/>
    </xf>
    <xf numFmtId="0" fontId="4" fillId="4" borderId="2" xfId="2" applyFont="1" applyFill="1" applyBorder="1"/>
    <xf numFmtId="164" fontId="4" fillId="4" borderId="13" xfId="2" applyNumberFormat="1" applyFont="1" applyFill="1" applyBorder="1"/>
    <xf numFmtId="164" fontId="4" fillId="4" borderId="3" xfId="2" applyNumberFormat="1" applyFont="1" applyFill="1" applyBorder="1"/>
    <xf numFmtId="0" fontId="2" fillId="0" borderId="0" xfId="2" applyAlignment="1">
      <alignment horizontal="left"/>
    </xf>
    <xf numFmtId="1" fontId="2" fillId="0" borderId="2" xfId="2" applyNumberFormat="1" applyBorder="1"/>
    <xf numFmtId="1" fontId="2" fillId="0" borderId="13" xfId="2" applyNumberFormat="1" applyBorder="1"/>
    <xf numFmtId="1" fontId="2" fillId="0" borderId="3" xfId="2" applyNumberFormat="1" applyBorder="1"/>
    <xf numFmtId="0" fontId="2" fillId="0" borderId="4" xfId="2" applyBorder="1" applyAlignment="1">
      <alignment horizontal="center"/>
    </xf>
    <xf numFmtId="1" fontId="2" fillId="0" borderId="0" xfId="2" applyNumberFormat="1" applyBorder="1" applyAlignment="1">
      <alignment horizontal="center"/>
    </xf>
    <xf numFmtId="2" fontId="2" fillId="0" borderId="0" xfId="2" applyNumberFormat="1" applyBorder="1" applyAlignment="1">
      <alignment horizontal="center"/>
    </xf>
    <xf numFmtId="2" fontId="2" fillId="0" borderId="5" xfId="2" applyNumberFormat="1" applyBorder="1" applyAlignment="1">
      <alignment horizontal="center"/>
    </xf>
    <xf numFmtId="0" fontId="4" fillId="4" borderId="4" xfId="2" applyFont="1" applyFill="1" applyBorder="1"/>
    <xf numFmtId="164" fontId="4" fillId="4" borderId="0" xfId="2" applyNumberFormat="1" applyFont="1" applyFill="1" applyBorder="1"/>
    <xf numFmtId="164" fontId="4" fillId="4" borderId="5" xfId="2" applyNumberFormat="1" applyFont="1" applyFill="1" applyBorder="1"/>
    <xf numFmtId="1" fontId="2" fillId="0" borderId="4" xfId="2" applyNumberFormat="1" applyBorder="1"/>
    <xf numFmtId="1" fontId="2" fillId="0" borderId="0" xfId="2" applyNumberFormat="1" applyBorder="1"/>
    <xf numFmtId="1" fontId="2" fillId="0" borderId="5" xfId="2" applyNumberFormat="1" applyBorder="1"/>
    <xf numFmtId="0" fontId="4" fillId="4" borderId="6" xfId="2" applyFont="1" applyFill="1" applyBorder="1"/>
    <xf numFmtId="164" fontId="4" fillId="4" borderId="14" xfId="2" applyNumberFormat="1" applyFont="1" applyFill="1" applyBorder="1"/>
    <xf numFmtId="164" fontId="4" fillId="4" borderId="7" xfId="2" applyNumberFormat="1" applyFont="1" applyFill="1" applyBorder="1"/>
    <xf numFmtId="0" fontId="2" fillId="0" borderId="6" xfId="2" applyBorder="1" applyAlignment="1">
      <alignment horizontal="center"/>
    </xf>
    <xf numFmtId="1" fontId="2" fillId="0" borderId="14" xfId="2" applyNumberFormat="1" applyBorder="1" applyAlignment="1">
      <alignment horizontal="center"/>
    </xf>
    <xf numFmtId="1" fontId="2" fillId="0" borderId="1" xfId="2" applyNumberFormat="1" applyBorder="1" applyAlignment="1">
      <alignment horizontal="center"/>
    </xf>
    <xf numFmtId="2" fontId="2" fillId="0" borderId="14" xfId="2" applyNumberFormat="1" applyBorder="1" applyAlignment="1">
      <alignment horizontal="center"/>
    </xf>
    <xf numFmtId="2" fontId="2" fillId="0" borderId="7" xfId="2" applyNumberFormat="1" applyBorder="1" applyAlignment="1">
      <alignment horizontal="center"/>
    </xf>
    <xf numFmtId="0" fontId="2" fillId="0" borderId="0" xfId="2" applyAlignment="1">
      <alignment horizontal="center"/>
    </xf>
    <xf numFmtId="0" fontId="2" fillId="0" borderId="0" xfId="2" applyFont="1"/>
    <xf numFmtId="0" fontId="5" fillId="0" borderId="0" xfId="1" applyFont="1" applyAlignment="1">
      <alignment horizontal="left"/>
    </xf>
    <xf numFmtId="0" fontId="0" fillId="0" borderId="0" xfId="0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9" fillId="8" borderId="0" xfId="0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Fill="1"/>
    <xf numFmtId="165" fontId="12" fillId="0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8" fillId="9" borderId="1" xfId="0" applyNumberFormat="1" applyFont="1" applyFill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14" fillId="11" borderId="0" xfId="0" applyFont="1" applyFill="1" applyBorder="1" applyAlignment="1">
      <alignment horizontal="center"/>
    </xf>
    <xf numFmtId="0" fontId="14" fillId="11" borderId="0" xfId="0" applyFont="1" applyFill="1"/>
    <xf numFmtId="2" fontId="14" fillId="11" borderId="0" xfId="0" applyNumberFormat="1" applyFont="1" applyFill="1" applyAlignment="1">
      <alignment horizontal="center"/>
    </xf>
    <xf numFmtId="164" fontId="5" fillId="0" borderId="0" xfId="0" applyNumberFormat="1" applyFont="1"/>
    <xf numFmtId="164" fontId="6" fillId="2" borderId="8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164" fontId="13" fillId="7" borderId="9" xfId="0" applyNumberFormat="1" applyFont="1" applyFill="1" applyBorder="1" applyAlignment="1">
      <alignment horizontal="center"/>
    </xf>
    <xf numFmtId="164" fontId="13" fillId="7" borderId="15" xfId="0" applyNumberFormat="1" applyFont="1" applyFill="1" applyBorder="1" applyAlignment="1">
      <alignment horizontal="center"/>
    </xf>
    <xf numFmtId="164" fontId="13" fillId="7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164" fontId="10" fillId="3" borderId="15" xfId="0" applyNumberFormat="1" applyFont="1" applyFill="1" applyBorder="1" applyAlignment="1">
      <alignment horizontal="center"/>
    </xf>
    <xf numFmtId="164" fontId="7" fillId="6" borderId="9" xfId="0" applyNumberFormat="1" applyFont="1" applyFill="1" applyBorder="1" applyAlignment="1">
      <alignment horizontal="center"/>
    </xf>
    <xf numFmtId="164" fontId="7" fillId="6" borderId="15" xfId="0" applyNumberFormat="1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14" fillId="11" borderId="9" xfId="0" applyFont="1" applyFill="1" applyBorder="1"/>
    <xf numFmtId="2" fontId="14" fillId="11" borderId="9" xfId="0" applyNumberFormat="1" applyFont="1" applyFill="1" applyBorder="1" applyAlignment="1">
      <alignment horizontal="center"/>
    </xf>
    <xf numFmtId="2" fontId="14" fillId="11" borderId="15" xfId="0" applyNumberFormat="1" applyFont="1" applyFill="1" applyBorder="1" applyAlignment="1">
      <alignment horizontal="center"/>
    </xf>
    <xf numFmtId="0" fontId="5" fillId="0" borderId="0" xfId="1" applyFont="1"/>
    <xf numFmtId="0" fontId="15" fillId="0" borderId="0" xfId="3" applyFont="1"/>
    <xf numFmtId="0" fontId="5" fillId="0" borderId="0" xfId="0" applyFont="1" applyFill="1"/>
    <xf numFmtId="0" fontId="10" fillId="4" borderId="0" xfId="1" applyFont="1" applyFill="1"/>
    <xf numFmtId="0" fontId="5" fillId="4" borderId="0" xfId="1" applyFont="1" applyFill="1" applyAlignment="1">
      <alignment horizontal="right"/>
    </xf>
    <xf numFmtId="0" fontId="5" fillId="4" borderId="0" xfId="1" applyFont="1" applyFill="1" applyAlignment="1">
      <alignment horizontal="left"/>
    </xf>
    <xf numFmtId="0" fontId="5" fillId="0" borderId="11" xfId="1" applyFont="1" applyFill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7" fillId="0" borderId="0" xfId="1" applyFont="1"/>
    <xf numFmtId="0" fontId="5" fillId="5" borderId="0" xfId="1" applyFont="1" applyFill="1"/>
    <xf numFmtId="0" fontId="5" fillId="0" borderId="10" xfId="1" applyFont="1" applyBorder="1" applyAlignment="1">
      <alignment horizontal="left"/>
    </xf>
    <xf numFmtId="0" fontId="5" fillId="3" borderId="12" xfId="1" applyFont="1" applyFill="1" applyBorder="1" applyAlignment="1">
      <alignment horizontal="center"/>
    </xf>
    <xf numFmtId="0" fontId="5" fillId="6" borderId="12" xfId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15" fillId="0" borderId="0" xfId="2" applyFont="1" applyFill="1"/>
    <xf numFmtId="0" fontId="15" fillId="0" borderId="2" xfId="2" applyFont="1" applyBorder="1" applyAlignment="1">
      <alignment horizontal="center"/>
    </xf>
    <xf numFmtId="1" fontId="15" fillId="0" borderId="2" xfId="2" applyNumberFormat="1" applyFont="1" applyFill="1" applyBorder="1" applyAlignment="1">
      <alignment horizontal="center"/>
    </xf>
    <xf numFmtId="1" fontId="15" fillId="0" borderId="3" xfId="2" applyNumberFormat="1" applyFont="1" applyBorder="1" applyAlignment="1">
      <alignment horizontal="center"/>
    </xf>
    <xf numFmtId="1" fontId="15" fillId="0" borderId="13" xfId="2" applyNumberFormat="1" applyFont="1" applyBorder="1" applyAlignment="1">
      <alignment horizontal="center"/>
    </xf>
    <xf numFmtId="2" fontId="15" fillId="0" borderId="13" xfId="2" applyNumberFormat="1" applyFont="1" applyBorder="1" applyAlignment="1">
      <alignment horizontal="center"/>
    </xf>
    <xf numFmtId="2" fontId="15" fillId="0" borderId="3" xfId="2" applyNumberFormat="1" applyFont="1" applyBorder="1" applyAlignment="1">
      <alignment horizontal="center"/>
    </xf>
    <xf numFmtId="0" fontId="5" fillId="3" borderId="0" xfId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5" fillId="0" borderId="4" xfId="2" applyFont="1" applyBorder="1" applyAlignment="1">
      <alignment horizontal="center"/>
    </xf>
    <xf numFmtId="1" fontId="15" fillId="0" borderId="4" xfId="2" applyNumberFormat="1" applyFont="1" applyBorder="1" applyAlignment="1">
      <alignment horizontal="center"/>
    </xf>
    <xf numFmtId="1" fontId="15" fillId="0" borderId="5" xfId="2" applyNumberFormat="1" applyFont="1" applyBorder="1" applyAlignment="1">
      <alignment horizontal="center"/>
    </xf>
    <xf numFmtId="1" fontId="15" fillId="0" borderId="0" xfId="2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/>
    </xf>
    <xf numFmtId="2" fontId="15" fillId="0" borderId="5" xfId="2" applyNumberFormat="1" applyFont="1" applyBorder="1" applyAlignment="1">
      <alignment horizontal="center"/>
    </xf>
    <xf numFmtId="0" fontId="5" fillId="0" borderId="0" xfId="4" applyFont="1"/>
    <xf numFmtId="0" fontId="15" fillId="0" borderId="6" xfId="2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1" fontId="15" fillId="0" borderId="7" xfId="2" applyNumberFormat="1" applyFont="1" applyBorder="1" applyAlignment="1">
      <alignment horizontal="center"/>
    </xf>
    <xf numFmtId="1" fontId="15" fillId="0" borderId="14" xfId="2" applyNumberFormat="1" applyFont="1" applyBorder="1" applyAlignment="1">
      <alignment horizontal="center"/>
    </xf>
    <xf numFmtId="2" fontId="15" fillId="0" borderId="14" xfId="2" applyNumberFormat="1" applyFont="1" applyBorder="1" applyAlignment="1">
      <alignment horizontal="center"/>
    </xf>
    <xf numFmtId="2" fontId="15" fillId="0" borderId="7" xfId="2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Border="1"/>
    <xf numFmtId="0" fontId="15" fillId="0" borderId="0" xfId="2" applyFont="1" applyAlignment="1">
      <alignment horizontal="center"/>
    </xf>
    <xf numFmtId="166" fontId="18" fillId="0" borderId="13" xfId="2" applyNumberFormat="1" applyFont="1" applyFill="1" applyBorder="1"/>
    <xf numFmtId="166" fontId="18" fillId="0" borderId="0" xfId="2" applyNumberFormat="1" applyFont="1" applyFill="1" applyBorder="1"/>
    <xf numFmtId="166" fontId="18" fillId="0" borderId="14" xfId="2" applyNumberFormat="1" applyFont="1" applyFill="1" applyBorder="1"/>
    <xf numFmtId="0" fontId="18" fillId="0" borderId="8" xfId="2" applyFont="1" applyFill="1" applyBorder="1"/>
    <xf numFmtId="0" fontId="18" fillId="0" borderId="9" xfId="2" applyFont="1" applyFill="1" applyBorder="1"/>
    <xf numFmtId="0" fontId="18" fillId="0" borderId="15" xfId="2" applyFont="1" applyFill="1" applyBorder="1"/>
    <xf numFmtId="166" fontId="18" fillId="0" borderId="8" xfId="2" applyNumberFormat="1" applyFont="1" applyFill="1" applyBorder="1"/>
    <xf numFmtId="166" fontId="18" fillId="0" borderId="9" xfId="2" applyNumberFormat="1" applyFont="1" applyFill="1" applyBorder="1"/>
    <xf numFmtId="166" fontId="18" fillId="0" borderId="15" xfId="2" applyNumberFormat="1" applyFont="1" applyFill="1" applyBorder="1"/>
    <xf numFmtId="0" fontId="15" fillId="0" borderId="10" xfId="2" applyFont="1" applyBorder="1"/>
    <xf numFmtId="0" fontId="15" fillId="0" borderId="11" xfId="2" applyFont="1" applyBorder="1"/>
    <xf numFmtId="0" fontId="15" fillId="0" borderId="1" xfId="2" applyFont="1" applyBorder="1"/>
    <xf numFmtId="0" fontId="5" fillId="10" borderId="0" xfId="1" applyFont="1" applyFill="1" applyAlignment="1">
      <alignment horizontal="center"/>
    </xf>
    <xf numFmtId="0" fontId="15" fillId="10" borderId="0" xfId="2" applyFont="1" applyFill="1"/>
    <xf numFmtId="2" fontId="5" fillId="0" borderId="0" xfId="0" applyNumberFormat="1" applyFont="1"/>
    <xf numFmtId="0" fontId="5" fillId="0" borderId="0" xfId="0" applyFont="1" applyAlignment="1">
      <alignment horizontal="right"/>
    </xf>
    <xf numFmtId="2" fontId="5" fillId="0" borderId="1" xfId="0" applyNumberFormat="1" applyFont="1" applyBorder="1"/>
    <xf numFmtId="164" fontId="5" fillId="0" borderId="1" xfId="0" applyNumberFormat="1" applyFont="1" applyBorder="1"/>
    <xf numFmtId="0" fontId="19" fillId="0" borderId="0" xfId="0" applyFont="1" applyAlignment="1">
      <alignment horizontal="right"/>
    </xf>
    <xf numFmtId="164" fontId="20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0" fontId="20" fillId="0" borderId="0" xfId="0" applyFont="1"/>
    <xf numFmtId="0" fontId="5" fillId="0" borderId="1" xfId="0" applyFont="1" applyBorder="1" applyAlignment="1">
      <alignment horizontal="left"/>
    </xf>
    <xf numFmtId="164" fontId="11" fillId="4" borderId="1" xfId="0" applyNumberFormat="1" applyFont="1" applyFill="1" applyBorder="1"/>
    <xf numFmtId="164" fontId="11" fillId="0" borderId="0" xfId="0" applyNumberFormat="1" applyFont="1" applyFill="1" applyBorder="1"/>
    <xf numFmtId="165" fontId="5" fillId="0" borderId="0" xfId="0" applyNumberFormat="1" applyFont="1" applyAlignment="1">
      <alignment horizontal="left"/>
    </xf>
    <xf numFmtId="0" fontId="5" fillId="0" borderId="2" xfId="0" applyFont="1" applyBorder="1"/>
    <xf numFmtId="0" fontId="5" fillId="0" borderId="4" xfId="0" applyFont="1" applyBorder="1"/>
    <xf numFmtId="0" fontId="5" fillId="0" borderId="6" xfId="0" applyFont="1" applyBorder="1"/>
    <xf numFmtId="2" fontId="5" fillId="0" borderId="8" xfId="0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5" xfId="0" applyFont="1" applyBorder="1"/>
    <xf numFmtId="0" fontId="5" fillId="0" borderId="10" xfId="0" applyFont="1" applyBorder="1"/>
    <xf numFmtId="0" fontId="5" fillId="0" borderId="1" xfId="0" applyFont="1" applyBorder="1"/>
    <xf numFmtId="2" fontId="11" fillId="4" borderId="1" xfId="0" applyNumberFormat="1" applyFont="1" applyFill="1" applyBorder="1"/>
  </cellXfs>
  <cellStyles count="5">
    <cellStyle name="Normal" xfId="0" builtinId="0"/>
    <cellStyle name="Normal 2" xfId="2"/>
    <cellStyle name="Normal 2 2" xfId="1"/>
    <cellStyle name="Normal 3 2" xfId="4"/>
    <cellStyle name="Normal 4" xfId="3"/>
  </cellStyles>
  <dxfs count="3">
    <dxf>
      <fill>
        <patternFill>
          <bgColor rgb="FFFFC000"/>
        </patternFill>
      </fill>
      <border>
        <vertical/>
        <horizontal/>
      </border>
    </dxf>
    <dxf>
      <border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800 - 1600</c:v>
                </c:pt>
                <c:pt idx="1">
                  <c:v>1600 - 2400</c:v>
                </c:pt>
                <c:pt idx="2">
                  <c:v>2400 - 3200</c:v>
                </c:pt>
                <c:pt idx="3">
                  <c:v>3200 - 4000</c:v>
                </c:pt>
                <c:pt idx="4">
                  <c:v>4000 - 4800</c:v>
                </c:pt>
                <c:pt idx="5">
                  <c:v>4800 - 5600</c:v>
                </c:pt>
                <c:pt idx="6">
                  <c:v>5600 - 6400</c:v>
                </c:pt>
                <c:pt idx="7">
                  <c:v>6400 - 7200</c:v>
                </c:pt>
                <c:pt idx="8">
                  <c:v>7200 - 8000</c:v>
                </c:pt>
                <c:pt idx="9">
                  <c:v>8000 - 8800</c:v>
                </c:pt>
                <c:pt idx="10">
                  <c:v>8800 - 9600</c:v>
                </c:pt>
                <c:pt idx="11">
                  <c:v>9600 - 10400</c:v>
                </c:pt>
                <c:pt idx="12">
                  <c:v>10400 - 11200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0.08</c:v>
                </c:pt>
                <c:pt idx="2">
                  <c:v>0.12</c:v>
                </c:pt>
                <c:pt idx="3">
                  <c:v>0.16</c:v>
                </c:pt>
                <c:pt idx="4">
                  <c:v>0.13333333333333333</c:v>
                </c:pt>
                <c:pt idx="5">
                  <c:v>0.12</c:v>
                </c:pt>
                <c:pt idx="6">
                  <c:v>0.2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1723320"/>
        <c:axId val="715752472"/>
      </c:barChart>
      <c:catAx>
        <c:axId val="22172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752472"/>
        <c:crosses val="autoZero"/>
        <c:auto val="1"/>
        <c:lblAlgn val="ctr"/>
        <c:lblOffset val="100"/>
        <c:noMultiLvlLbl val="0"/>
      </c:catAx>
      <c:valAx>
        <c:axId val="7157524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22172332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800 - 1600</c:v>
                </c:pt>
                <c:pt idx="1">
                  <c:v>1600 - 2400</c:v>
                </c:pt>
                <c:pt idx="2">
                  <c:v>2400 - 3200</c:v>
                </c:pt>
                <c:pt idx="3">
                  <c:v>3200 - 4000</c:v>
                </c:pt>
                <c:pt idx="4">
                  <c:v>4000 - 4800</c:v>
                </c:pt>
                <c:pt idx="5">
                  <c:v>4800 - 5600</c:v>
                </c:pt>
                <c:pt idx="6">
                  <c:v>5600 - 6400</c:v>
                </c:pt>
                <c:pt idx="7">
                  <c:v>6400 - 7200</c:v>
                </c:pt>
                <c:pt idx="8">
                  <c:v>7200 - 8000</c:v>
                </c:pt>
                <c:pt idx="9">
                  <c:v>8000 - 8800</c:v>
                </c:pt>
                <c:pt idx="10">
                  <c:v>8800 - 9600</c:v>
                </c:pt>
                <c:pt idx="11">
                  <c:v>9600 - 10400</c:v>
                </c:pt>
                <c:pt idx="12">
                  <c:v>10400 - 11200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0.08</c:v>
                </c:pt>
                <c:pt idx="2">
                  <c:v>0.12</c:v>
                </c:pt>
                <c:pt idx="3">
                  <c:v>0.16</c:v>
                </c:pt>
                <c:pt idx="4">
                  <c:v>0.13333333333333333</c:v>
                </c:pt>
                <c:pt idx="5">
                  <c:v>0.12</c:v>
                </c:pt>
                <c:pt idx="6">
                  <c:v>0.2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5753256"/>
        <c:axId val="715753648"/>
      </c:barChart>
      <c:catAx>
        <c:axId val="715753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753648"/>
        <c:crosses val="autoZero"/>
        <c:auto val="1"/>
        <c:lblAlgn val="ctr"/>
        <c:lblOffset val="100"/>
        <c:noMultiLvlLbl val="0"/>
      </c:catAx>
      <c:valAx>
        <c:axId val="7157536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5753256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800 - 1600</c:v>
                </c:pt>
                <c:pt idx="1">
                  <c:v>1600 - 2400</c:v>
                </c:pt>
                <c:pt idx="2">
                  <c:v>2400 - 3200</c:v>
                </c:pt>
                <c:pt idx="3">
                  <c:v>3200 - 4000</c:v>
                </c:pt>
                <c:pt idx="4">
                  <c:v>4000 - 4800</c:v>
                </c:pt>
                <c:pt idx="5">
                  <c:v>4800 - 5600</c:v>
                </c:pt>
                <c:pt idx="6">
                  <c:v>5600 - 6400</c:v>
                </c:pt>
                <c:pt idx="7">
                  <c:v>6400 - 7200</c:v>
                </c:pt>
                <c:pt idx="8">
                  <c:v>7200 - 8000</c:v>
                </c:pt>
                <c:pt idx="9">
                  <c:v>8000 - 8800</c:v>
                </c:pt>
                <c:pt idx="10">
                  <c:v>8800 - 9600</c:v>
                </c:pt>
                <c:pt idx="11">
                  <c:v>9600 - 10400</c:v>
                </c:pt>
                <c:pt idx="12">
                  <c:v>10400 - 11200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0.08</c:v>
                </c:pt>
                <c:pt idx="2">
                  <c:v>0.12</c:v>
                </c:pt>
                <c:pt idx="3">
                  <c:v>0.16</c:v>
                </c:pt>
                <c:pt idx="4">
                  <c:v>0.13333333333333333</c:v>
                </c:pt>
                <c:pt idx="5">
                  <c:v>0.12</c:v>
                </c:pt>
                <c:pt idx="6">
                  <c:v>0.2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5756000"/>
        <c:axId val="715756392"/>
      </c:barChart>
      <c:catAx>
        <c:axId val="7157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756392"/>
        <c:crosses val="autoZero"/>
        <c:auto val="1"/>
        <c:lblAlgn val="ctr"/>
        <c:lblOffset val="100"/>
        <c:noMultiLvlLbl val="0"/>
      </c:catAx>
      <c:valAx>
        <c:axId val="71575639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575600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4229</c:v>
                </c:pt>
                <c:pt idx="1">
                  <c:v>3415</c:v>
                </c:pt>
                <c:pt idx="2">
                  <c:v>3308</c:v>
                </c:pt>
                <c:pt idx="3">
                  <c:v>5108</c:v>
                </c:pt>
                <c:pt idx="4">
                  <c:v>6667</c:v>
                </c:pt>
                <c:pt idx="5">
                  <c:v>3865</c:v>
                </c:pt>
                <c:pt idx="6">
                  <c:v>6343</c:v>
                </c:pt>
                <c:pt idx="7">
                  <c:v>7360</c:v>
                </c:pt>
                <c:pt idx="8">
                  <c:v>5014</c:v>
                </c:pt>
                <c:pt idx="9">
                  <c:v>5041</c:v>
                </c:pt>
                <c:pt idx="10">
                  <c:v>3432</c:v>
                </c:pt>
                <c:pt idx="11">
                  <c:v>6361</c:v>
                </c:pt>
                <c:pt idx="12">
                  <c:v>2928</c:v>
                </c:pt>
                <c:pt idx="13">
                  <c:v>7031</c:v>
                </c:pt>
                <c:pt idx="14">
                  <c:v>3737</c:v>
                </c:pt>
                <c:pt idx="15">
                  <c:v>4800</c:v>
                </c:pt>
                <c:pt idx="16">
                  <c:v>6399</c:v>
                </c:pt>
                <c:pt idx="17">
                  <c:v>6768</c:v>
                </c:pt>
                <c:pt idx="18">
                  <c:v>2348</c:v>
                </c:pt>
                <c:pt idx="19">
                  <c:v>3526</c:v>
                </c:pt>
                <c:pt idx="20">
                  <c:v>7119</c:v>
                </c:pt>
                <c:pt idx="21">
                  <c:v>4664</c:v>
                </c:pt>
                <c:pt idx="22">
                  <c:v>4397</c:v>
                </c:pt>
                <c:pt idx="23">
                  <c:v>6021</c:v>
                </c:pt>
                <c:pt idx="24">
                  <c:v>5825</c:v>
                </c:pt>
                <c:pt idx="25">
                  <c:v>2697</c:v>
                </c:pt>
                <c:pt idx="26">
                  <c:v>6844</c:v>
                </c:pt>
                <c:pt idx="27">
                  <c:v>5804</c:v>
                </c:pt>
                <c:pt idx="28">
                  <c:v>5095</c:v>
                </c:pt>
                <c:pt idx="29">
                  <c:v>4252</c:v>
                </c:pt>
                <c:pt idx="30">
                  <c:v>3660</c:v>
                </c:pt>
                <c:pt idx="31">
                  <c:v>6422</c:v>
                </c:pt>
                <c:pt idx="32">
                  <c:v>5111</c:v>
                </c:pt>
                <c:pt idx="33">
                  <c:v>6821</c:v>
                </c:pt>
                <c:pt idx="34">
                  <c:v>3629</c:v>
                </c:pt>
                <c:pt idx="35">
                  <c:v>2731</c:v>
                </c:pt>
                <c:pt idx="36">
                  <c:v>4989</c:v>
                </c:pt>
                <c:pt idx="37">
                  <c:v>7444</c:v>
                </c:pt>
                <c:pt idx="38">
                  <c:v>4062</c:v>
                </c:pt>
                <c:pt idx="39">
                  <c:v>1950</c:v>
                </c:pt>
                <c:pt idx="40">
                  <c:v>5932</c:v>
                </c:pt>
                <c:pt idx="41">
                  <c:v>3003</c:v>
                </c:pt>
                <c:pt idx="42">
                  <c:v>2065</c:v>
                </c:pt>
                <c:pt idx="43">
                  <c:v>9236</c:v>
                </c:pt>
                <c:pt idx="44">
                  <c:v>1598</c:v>
                </c:pt>
                <c:pt idx="45">
                  <c:v>8159</c:v>
                </c:pt>
                <c:pt idx="46">
                  <c:v>5901</c:v>
                </c:pt>
                <c:pt idx="47">
                  <c:v>5222</c:v>
                </c:pt>
                <c:pt idx="48">
                  <c:v>5926</c:v>
                </c:pt>
                <c:pt idx="49">
                  <c:v>4941</c:v>
                </c:pt>
                <c:pt idx="50">
                  <c:v>4500</c:v>
                </c:pt>
                <c:pt idx="51">
                  <c:v>4639</c:v>
                </c:pt>
                <c:pt idx="52">
                  <c:v>5940</c:v>
                </c:pt>
                <c:pt idx="53">
                  <c:v>2753</c:v>
                </c:pt>
                <c:pt idx="54">
                  <c:v>5629</c:v>
                </c:pt>
                <c:pt idx="55">
                  <c:v>5682</c:v>
                </c:pt>
                <c:pt idx="56">
                  <c:v>2016</c:v>
                </c:pt>
                <c:pt idx="57">
                  <c:v>5834</c:v>
                </c:pt>
                <c:pt idx="58">
                  <c:v>4056</c:v>
                </c:pt>
                <c:pt idx="59">
                  <c:v>2281</c:v>
                </c:pt>
                <c:pt idx="60">
                  <c:v>3760</c:v>
                </c:pt>
                <c:pt idx="61">
                  <c:v>8125</c:v>
                </c:pt>
                <c:pt idx="62">
                  <c:v>6366</c:v>
                </c:pt>
                <c:pt idx="63">
                  <c:v>2487</c:v>
                </c:pt>
                <c:pt idx="64">
                  <c:v>2312</c:v>
                </c:pt>
                <c:pt idx="65">
                  <c:v>3162</c:v>
                </c:pt>
                <c:pt idx="66">
                  <c:v>4439</c:v>
                </c:pt>
                <c:pt idx="67">
                  <c:v>4761</c:v>
                </c:pt>
                <c:pt idx="68">
                  <c:v>3543</c:v>
                </c:pt>
                <c:pt idx="69">
                  <c:v>3290</c:v>
                </c:pt>
                <c:pt idx="70">
                  <c:v>2521</c:v>
                </c:pt>
                <c:pt idx="71">
                  <c:v>6165</c:v>
                </c:pt>
                <c:pt idx="72">
                  <c:v>2526</c:v>
                </c:pt>
                <c:pt idx="73">
                  <c:v>3459</c:v>
                </c:pt>
                <c:pt idx="74">
                  <c:v>6447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57176"/>
        <c:axId val="222744248"/>
      </c:scatterChart>
      <c:valAx>
        <c:axId val="7157571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22744248"/>
        <c:crosses val="autoZero"/>
        <c:crossBetween val="midCat"/>
      </c:valAx>
      <c:valAx>
        <c:axId val="222744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157571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1598</c:v>
                </c:pt>
                <c:pt idx="1">
                  <c:v>1950</c:v>
                </c:pt>
                <c:pt idx="2">
                  <c:v>2016</c:v>
                </c:pt>
                <c:pt idx="3">
                  <c:v>2065</c:v>
                </c:pt>
                <c:pt idx="4">
                  <c:v>2281</c:v>
                </c:pt>
                <c:pt idx="5">
                  <c:v>2312</c:v>
                </c:pt>
                <c:pt idx="6">
                  <c:v>2487</c:v>
                </c:pt>
                <c:pt idx="7">
                  <c:v>2348</c:v>
                </c:pt>
                <c:pt idx="8">
                  <c:v>2731</c:v>
                </c:pt>
                <c:pt idx="9">
                  <c:v>2521</c:v>
                </c:pt>
                <c:pt idx="10">
                  <c:v>2526</c:v>
                </c:pt>
                <c:pt idx="11">
                  <c:v>2697</c:v>
                </c:pt>
                <c:pt idx="12">
                  <c:v>2928</c:v>
                </c:pt>
                <c:pt idx="13">
                  <c:v>3162</c:v>
                </c:pt>
                <c:pt idx="14">
                  <c:v>3308</c:v>
                </c:pt>
                <c:pt idx="15">
                  <c:v>2753</c:v>
                </c:pt>
                <c:pt idx="16">
                  <c:v>3290</c:v>
                </c:pt>
                <c:pt idx="17">
                  <c:v>3003</c:v>
                </c:pt>
                <c:pt idx="18">
                  <c:v>3415</c:v>
                </c:pt>
                <c:pt idx="19">
                  <c:v>3432</c:v>
                </c:pt>
                <c:pt idx="20">
                  <c:v>3629</c:v>
                </c:pt>
                <c:pt idx="21">
                  <c:v>3526</c:v>
                </c:pt>
                <c:pt idx="22">
                  <c:v>3543</c:v>
                </c:pt>
                <c:pt idx="23">
                  <c:v>3660</c:v>
                </c:pt>
                <c:pt idx="24">
                  <c:v>3459</c:v>
                </c:pt>
                <c:pt idx="25">
                  <c:v>3760</c:v>
                </c:pt>
                <c:pt idx="26">
                  <c:v>3737</c:v>
                </c:pt>
                <c:pt idx="27">
                  <c:v>4397</c:v>
                </c:pt>
                <c:pt idx="28">
                  <c:v>4439</c:v>
                </c:pt>
                <c:pt idx="29">
                  <c:v>3865</c:v>
                </c:pt>
                <c:pt idx="30">
                  <c:v>4062</c:v>
                </c:pt>
                <c:pt idx="31">
                  <c:v>4056</c:v>
                </c:pt>
                <c:pt idx="32">
                  <c:v>4229</c:v>
                </c:pt>
                <c:pt idx="33">
                  <c:v>4252</c:v>
                </c:pt>
                <c:pt idx="34">
                  <c:v>4500</c:v>
                </c:pt>
                <c:pt idx="35">
                  <c:v>4800</c:v>
                </c:pt>
                <c:pt idx="36">
                  <c:v>4639</c:v>
                </c:pt>
                <c:pt idx="37">
                  <c:v>4664</c:v>
                </c:pt>
                <c:pt idx="38">
                  <c:v>4761</c:v>
                </c:pt>
                <c:pt idx="39">
                  <c:v>4989</c:v>
                </c:pt>
                <c:pt idx="40">
                  <c:v>4941</c:v>
                </c:pt>
                <c:pt idx="41">
                  <c:v>5111</c:v>
                </c:pt>
                <c:pt idx="42">
                  <c:v>5095</c:v>
                </c:pt>
                <c:pt idx="43">
                  <c:v>5108</c:v>
                </c:pt>
                <c:pt idx="44">
                  <c:v>5222</c:v>
                </c:pt>
                <c:pt idx="45">
                  <c:v>5629</c:v>
                </c:pt>
                <c:pt idx="46">
                  <c:v>5014</c:v>
                </c:pt>
                <c:pt idx="47">
                  <c:v>5041</c:v>
                </c:pt>
                <c:pt idx="48">
                  <c:v>5804</c:v>
                </c:pt>
                <c:pt idx="49">
                  <c:v>5682</c:v>
                </c:pt>
                <c:pt idx="50">
                  <c:v>5825</c:v>
                </c:pt>
                <c:pt idx="51">
                  <c:v>5926</c:v>
                </c:pt>
                <c:pt idx="52">
                  <c:v>5901</c:v>
                </c:pt>
                <c:pt idx="53">
                  <c:v>5834</c:v>
                </c:pt>
                <c:pt idx="54">
                  <c:v>5932</c:v>
                </c:pt>
                <c:pt idx="55">
                  <c:v>5940</c:v>
                </c:pt>
                <c:pt idx="56">
                  <c:v>6165</c:v>
                </c:pt>
                <c:pt idx="57">
                  <c:v>6399</c:v>
                </c:pt>
                <c:pt idx="58">
                  <c:v>6021</c:v>
                </c:pt>
                <c:pt idx="59">
                  <c:v>6343</c:v>
                </c:pt>
                <c:pt idx="60">
                  <c:v>6361</c:v>
                </c:pt>
                <c:pt idx="61">
                  <c:v>6366</c:v>
                </c:pt>
                <c:pt idx="62">
                  <c:v>6447</c:v>
                </c:pt>
                <c:pt idx="63">
                  <c:v>6422</c:v>
                </c:pt>
                <c:pt idx="64">
                  <c:v>6844</c:v>
                </c:pt>
                <c:pt idx="65">
                  <c:v>6768</c:v>
                </c:pt>
                <c:pt idx="66">
                  <c:v>6821</c:v>
                </c:pt>
                <c:pt idx="67">
                  <c:v>6667</c:v>
                </c:pt>
                <c:pt idx="68">
                  <c:v>7031</c:v>
                </c:pt>
                <c:pt idx="69">
                  <c:v>7119</c:v>
                </c:pt>
                <c:pt idx="70">
                  <c:v>7444</c:v>
                </c:pt>
                <c:pt idx="71">
                  <c:v>9236</c:v>
                </c:pt>
                <c:pt idx="72">
                  <c:v>7360</c:v>
                </c:pt>
                <c:pt idx="73">
                  <c:v>8125</c:v>
                </c:pt>
                <c:pt idx="74">
                  <c:v>8159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5032"/>
        <c:axId val="222745424"/>
      </c:scatterChart>
      <c:valAx>
        <c:axId val="22274503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22745424"/>
        <c:crosses val="autoZero"/>
        <c:crossBetween val="midCat"/>
      </c:valAx>
      <c:valAx>
        <c:axId val="222745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2745032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1598</c:v>
                </c:pt>
                <c:pt idx="1">
                  <c:v>2016</c:v>
                </c:pt>
                <c:pt idx="2">
                  <c:v>2065</c:v>
                </c:pt>
                <c:pt idx="3">
                  <c:v>2312</c:v>
                </c:pt>
                <c:pt idx="4">
                  <c:v>2731</c:v>
                </c:pt>
                <c:pt idx="5">
                  <c:v>1950</c:v>
                </c:pt>
                <c:pt idx="6">
                  <c:v>2281</c:v>
                </c:pt>
                <c:pt idx="7">
                  <c:v>2697</c:v>
                </c:pt>
                <c:pt idx="8">
                  <c:v>2928</c:v>
                </c:pt>
                <c:pt idx="9">
                  <c:v>3003</c:v>
                </c:pt>
                <c:pt idx="10">
                  <c:v>2348</c:v>
                </c:pt>
                <c:pt idx="11">
                  <c:v>2753</c:v>
                </c:pt>
                <c:pt idx="12">
                  <c:v>3162</c:v>
                </c:pt>
                <c:pt idx="13">
                  <c:v>3290</c:v>
                </c:pt>
                <c:pt idx="14">
                  <c:v>3308</c:v>
                </c:pt>
                <c:pt idx="15">
                  <c:v>2526</c:v>
                </c:pt>
                <c:pt idx="16">
                  <c:v>2521</c:v>
                </c:pt>
                <c:pt idx="17">
                  <c:v>3415</c:v>
                </c:pt>
                <c:pt idx="18">
                  <c:v>3543</c:v>
                </c:pt>
                <c:pt idx="19">
                  <c:v>3660</c:v>
                </c:pt>
                <c:pt idx="20">
                  <c:v>2487</c:v>
                </c:pt>
                <c:pt idx="21">
                  <c:v>3526</c:v>
                </c:pt>
                <c:pt idx="22">
                  <c:v>3760</c:v>
                </c:pt>
                <c:pt idx="23">
                  <c:v>4056</c:v>
                </c:pt>
                <c:pt idx="24">
                  <c:v>4664</c:v>
                </c:pt>
                <c:pt idx="25">
                  <c:v>3459</c:v>
                </c:pt>
                <c:pt idx="26">
                  <c:v>3432</c:v>
                </c:pt>
                <c:pt idx="27">
                  <c:v>3737</c:v>
                </c:pt>
                <c:pt idx="28">
                  <c:v>4229</c:v>
                </c:pt>
                <c:pt idx="29">
                  <c:v>4252</c:v>
                </c:pt>
                <c:pt idx="30">
                  <c:v>3865</c:v>
                </c:pt>
                <c:pt idx="31">
                  <c:v>3629</c:v>
                </c:pt>
                <c:pt idx="32">
                  <c:v>4761</c:v>
                </c:pt>
                <c:pt idx="33">
                  <c:v>4800</c:v>
                </c:pt>
                <c:pt idx="34">
                  <c:v>5111</c:v>
                </c:pt>
                <c:pt idx="35">
                  <c:v>4062</c:v>
                </c:pt>
                <c:pt idx="36">
                  <c:v>4500</c:v>
                </c:pt>
                <c:pt idx="37">
                  <c:v>5108</c:v>
                </c:pt>
                <c:pt idx="38">
                  <c:v>4639</c:v>
                </c:pt>
                <c:pt idx="39">
                  <c:v>5834</c:v>
                </c:pt>
                <c:pt idx="40">
                  <c:v>4397</c:v>
                </c:pt>
                <c:pt idx="41">
                  <c:v>5095</c:v>
                </c:pt>
                <c:pt idx="42">
                  <c:v>4989</c:v>
                </c:pt>
                <c:pt idx="43">
                  <c:v>5222</c:v>
                </c:pt>
                <c:pt idx="44">
                  <c:v>6343</c:v>
                </c:pt>
                <c:pt idx="45">
                  <c:v>4439</c:v>
                </c:pt>
                <c:pt idx="46">
                  <c:v>5041</c:v>
                </c:pt>
                <c:pt idx="47">
                  <c:v>5940</c:v>
                </c:pt>
                <c:pt idx="48">
                  <c:v>5804</c:v>
                </c:pt>
                <c:pt idx="49">
                  <c:v>6366</c:v>
                </c:pt>
                <c:pt idx="50">
                  <c:v>5014</c:v>
                </c:pt>
                <c:pt idx="51">
                  <c:v>5682</c:v>
                </c:pt>
                <c:pt idx="52">
                  <c:v>5932</c:v>
                </c:pt>
                <c:pt idx="53">
                  <c:v>6667</c:v>
                </c:pt>
                <c:pt idx="54">
                  <c:v>6447</c:v>
                </c:pt>
                <c:pt idx="55">
                  <c:v>5901</c:v>
                </c:pt>
                <c:pt idx="56">
                  <c:v>6399</c:v>
                </c:pt>
                <c:pt idx="57">
                  <c:v>6165</c:v>
                </c:pt>
                <c:pt idx="58">
                  <c:v>6844</c:v>
                </c:pt>
                <c:pt idx="59">
                  <c:v>7360</c:v>
                </c:pt>
                <c:pt idx="60">
                  <c:v>4941</c:v>
                </c:pt>
                <c:pt idx="61">
                  <c:v>5926</c:v>
                </c:pt>
                <c:pt idx="62">
                  <c:v>5825</c:v>
                </c:pt>
                <c:pt idx="63">
                  <c:v>7119</c:v>
                </c:pt>
                <c:pt idx="64">
                  <c:v>7444</c:v>
                </c:pt>
                <c:pt idx="65">
                  <c:v>5629</c:v>
                </c:pt>
                <c:pt idx="66">
                  <c:v>6361</c:v>
                </c:pt>
                <c:pt idx="67">
                  <c:v>7031</c:v>
                </c:pt>
                <c:pt idx="68">
                  <c:v>6821</c:v>
                </c:pt>
                <c:pt idx="69">
                  <c:v>8159</c:v>
                </c:pt>
                <c:pt idx="70">
                  <c:v>6021</c:v>
                </c:pt>
                <c:pt idx="71">
                  <c:v>6422</c:v>
                </c:pt>
                <c:pt idx="72">
                  <c:v>6768</c:v>
                </c:pt>
                <c:pt idx="73">
                  <c:v>9236</c:v>
                </c:pt>
                <c:pt idx="74">
                  <c:v>8125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55216"/>
        <c:axId val="715754824"/>
      </c:scatterChart>
      <c:valAx>
        <c:axId val="7157552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5754824"/>
        <c:crosses val="autoZero"/>
        <c:crossBetween val="midCat"/>
      </c:valAx>
      <c:valAx>
        <c:axId val="715754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157552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'1.Expo'!$P$1</c:f>
          <c:strCache>
            <c:ptCount val="1"/>
            <c:pt idx="0">
              <c:v>At vs 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'1.Expo'!$A$9:$A$20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'1.Expo'!$B$9:$B$20</c:f>
              <c:numCache>
                <c:formatCode>General</c:formatCode>
                <c:ptCount val="12"/>
                <c:pt idx="0">
                  <c:v>323</c:v>
                </c:pt>
                <c:pt idx="1">
                  <c:v>1098</c:v>
                </c:pt>
                <c:pt idx="2">
                  <c:v>588</c:v>
                </c:pt>
                <c:pt idx="3">
                  <c:v>329</c:v>
                </c:pt>
                <c:pt idx="4">
                  <c:v>495</c:v>
                </c:pt>
                <c:pt idx="5">
                  <c:v>391</c:v>
                </c:pt>
                <c:pt idx="6">
                  <c:v>487</c:v>
                </c:pt>
                <c:pt idx="7">
                  <c:v>552</c:v>
                </c:pt>
                <c:pt idx="8">
                  <c:v>485</c:v>
                </c:pt>
                <c:pt idx="9">
                  <c:v>741</c:v>
                </c:pt>
                <c:pt idx="10">
                  <c:v>495</c:v>
                </c:pt>
                <c:pt idx="11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F5-4D6A-9E83-DA6F68CA1A6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'1.Expo'!$A$9:$A$20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'1.Expo'!$C$9:$C$20</c:f>
              <c:numCache>
                <c:formatCode>0.0</c:formatCode>
                <c:ptCount val="12"/>
                <c:pt idx="0">
                  <c:v>323</c:v>
                </c:pt>
                <c:pt idx="1">
                  <c:v>323</c:v>
                </c:pt>
                <c:pt idx="2">
                  <c:v>633</c:v>
                </c:pt>
                <c:pt idx="3">
                  <c:v>615</c:v>
                </c:pt>
                <c:pt idx="4">
                  <c:v>500.6</c:v>
                </c:pt>
                <c:pt idx="5">
                  <c:v>498.36</c:v>
                </c:pt>
                <c:pt idx="6">
                  <c:v>455.41600000000005</c:v>
                </c:pt>
                <c:pt idx="7">
                  <c:v>468.04960000000005</c:v>
                </c:pt>
                <c:pt idx="8">
                  <c:v>501.62976000000003</c:v>
                </c:pt>
                <c:pt idx="9">
                  <c:v>494.97785600000003</c:v>
                </c:pt>
                <c:pt idx="10">
                  <c:v>593.38671360000012</c:v>
                </c:pt>
                <c:pt idx="11">
                  <c:v>554.03202815999998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F5-4D6A-9E83-DA6F68CA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18760"/>
        <c:axId val="730219152"/>
      </c:scatterChart>
      <c:valAx>
        <c:axId val="73021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19152"/>
        <c:crosses val="autoZero"/>
        <c:crossBetween val="midCat"/>
      </c:valAx>
      <c:valAx>
        <c:axId val="73021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18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'2.ES-MAD-TS'!$C$6</c:f>
          <c:strCache>
            <c:ptCount val="1"/>
            <c:pt idx="0">
              <c:v>Actual vs. Forcast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'2.ES-MAD-TS'!$C$10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'2.ES-MAD-TS'!$C$11:$C$60</c:f>
              <c:numCache>
                <c:formatCode>General</c:formatCode>
                <c:ptCount val="50"/>
                <c:pt idx="0">
                  <c:v>60</c:v>
                </c:pt>
                <c:pt idx="1">
                  <c:v>38</c:v>
                </c:pt>
                <c:pt idx="2">
                  <c:v>29</c:v>
                </c:pt>
                <c:pt idx="3">
                  <c:v>21</c:v>
                </c:pt>
                <c:pt idx="4">
                  <c:v>26</c:v>
                </c:pt>
                <c:pt idx="5">
                  <c:v>43</c:v>
                </c:pt>
                <c:pt idx="6">
                  <c:v>39</c:v>
                </c:pt>
                <c:pt idx="7">
                  <c:v>38</c:v>
                </c:pt>
                <c:pt idx="8">
                  <c:v>45</c:v>
                </c:pt>
                <c:pt idx="9">
                  <c:v>73</c:v>
                </c:pt>
                <c:pt idx="10">
                  <c:v>26</c:v>
                </c:pt>
                <c:pt idx="11">
                  <c:v>96</c:v>
                </c:pt>
                <c:pt idx="12">
                  <c:v>50</c:v>
                </c:pt>
                <c:pt idx="13">
                  <c:v>57</c:v>
                </c:pt>
                <c:pt idx="14">
                  <c:v>72</c:v>
                </c:pt>
                <c:pt idx="15">
                  <c:v>56</c:v>
                </c:pt>
                <c:pt idx="16">
                  <c:v>27</c:v>
                </c:pt>
                <c:pt idx="17">
                  <c:v>33</c:v>
                </c:pt>
                <c:pt idx="18">
                  <c:v>73</c:v>
                </c:pt>
                <c:pt idx="19">
                  <c:v>55</c:v>
                </c:pt>
                <c:pt idx="20">
                  <c:v>31</c:v>
                </c:pt>
                <c:pt idx="21">
                  <c:v>60</c:v>
                </c:pt>
                <c:pt idx="22">
                  <c:v>26</c:v>
                </c:pt>
                <c:pt idx="23">
                  <c:v>25</c:v>
                </c:pt>
                <c:pt idx="24">
                  <c:v>65</c:v>
                </c:pt>
                <c:pt idx="25">
                  <c:v>68</c:v>
                </c:pt>
                <c:pt idx="26">
                  <c:v>100</c:v>
                </c:pt>
                <c:pt idx="27">
                  <c:v>66</c:v>
                </c:pt>
                <c:pt idx="28">
                  <c:v>50</c:v>
                </c:pt>
                <c:pt idx="29">
                  <c:v>57</c:v>
                </c:pt>
                <c:pt idx="30">
                  <c:v>86</c:v>
                </c:pt>
                <c:pt idx="31">
                  <c:v>54</c:v>
                </c:pt>
                <c:pt idx="32">
                  <c:v>77</c:v>
                </c:pt>
                <c:pt idx="33">
                  <c:v>28</c:v>
                </c:pt>
                <c:pt idx="34">
                  <c:v>46</c:v>
                </c:pt>
                <c:pt idx="35">
                  <c:v>34</c:v>
                </c:pt>
                <c:pt idx="36">
                  <c:v>86</c:v>
                </c:pt>
                <c:pt idx="37">
                  <c:v>64</c:v>
                </c:pt>
                <c:pt idx="38">
                  <c:v>69</c:v>
                </c:pt>
                <c:pt idx="39">
                  <c:v>33</c:v>
                </c:pt>
                <c:pt idx="40">
                  <c:v>41</c:v>
                </c:pt>
                <c:pt idx="41">
                  <c:v>56</c:v>
                </c:pt>
                <c:pt idx="42">
                  <c:v>28</c:v>
                </c:pt>
                <c:pt idx="43">
                  <c:v>19</c:v>
                </c:pt>
                <c:pt idx="44">
                  <c:v>16</c:v>
                </c:pt>
                <c:pt idx="45">
                  <c:v>53</c:v>
                </c:pt>
                <c:pt idx="46">
                  <c:v>63</c:v>
                </c:pt>
                <c:pt idx="47">
                  <c:v>84</c:v>
                </c:pt>
                <c:pt idx="48">
                  <c:v>83</c:v>
                </c:pt>
                <c:pt idx="4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A0-4D3B-8A38-2E8FEC3A7540}"/>
            </c:ext>
          </c:extLst>
        </c:ser>
        <c:ser>
          <c:idx val="1"/>
          <c:order val="1"/>
          <c:tx>
            <c:strRef>
              <c:f>'2.ES-MAD-TS'!$D$10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'2.ES-MAD-TS'!$D$11:$D$60</c:f>
              <c:numCache>
                <c:formatCode>0.0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53.4</c:v>
                </c:pt>
                <c:pt idx="3">
                  <c:v>46.08</c:v>
                </c:pt>
                <c:pt idx="4">
                  <c:v>38.555999999999997</c:v>
                </c:pt>
                <c:pt idx="5">
                  <c:v>34.789199999999994</c:v>
                </c:pt>
                <c:pt idx="6">
                  <c:v>37.252439999999993</c:v>
                </c:pt>
                <c:pt idx="7">
                  <c:v>37.776707999999992</c:v>
                </c:pt>
                <c:pt idx="8">
                  <c:v>37.843695599999997</c:v>
                </c:pt>
                <c:pt idx="9">
                  <c:v>39.990586919999998</c:v>
                </c:pt>
                <c:pt idx="10">
                  <c:v>49.893410843999995</c:v>
                </c:pt>
                <c:pt idx="11">
                  <c:v>42.72538759079999</c:v>
                </c:pt>
                <c:pt idx="12">
                  <c:v>58.707771313559988</c:v>
                </c:pt>
                <c:pt idx="13">
                  <c:v>56.095439919491987</c:v>
                </c:pt>
                <c:pt idx="14">
                  <c:v>56.366807943644389</c:v>
                </c:pt>
                <c:pt idx="15">
                  <c:v>61.056765560551071</c:v>
                </c:pt>
                <c:pt idx="16">
                  <c:v>59.53973589238575</c:v>
                </c:pt>
                <c:pt idx="17">
                  <c:v>49.77781512467002</c:v>
                </c:pt>
                <c:pt idx="18">
                  <c:v>44.744470587269014</c:v>
                </c:pt>
                <c:pt idx="19">
                  <c:v>53.221129411088306</c:v>
                </c:pt>
                <c:pt idx="20">
                  <c:v>53.754790587761811</c:v>
                </c:pt>
                <c:pt idx="21">
                  <c:v>46.928353411433264</c:v>
                </c:pt>
                <c:pt idx="22">
                  <c:v>50.849847388003283</c:v>
                </c:pt>
                <c:pt idx="23">
                  <c:v>43.394893171602291</c:v>
                </c:pt>
                <c:pt idx="24">
                  <c:v>37.876425220121604</c:v>
                </c:pt>
                <c:pt idx="25">
                  <c:v>46.013497654085121</c:v>
                </c:pt>
                <c:pt idx="26">
                  <c:v>52.609448357859584</c:v>
                </c:pt>
                <c:pt idx="27">
                  <c:v>66.826613850501701</c:v>
                </c:pt>
                <c:pt idx="28">
                  <c:v>66.578629695351182</c:v>
                </c:pt>
                <c:pt idx="29">
                  <c:v>61.605040786745825</c:v>
                </c:pt>
                <c:pt idx="30">
                  <c:v>60.223528550722079</c:v>
                </c:pt>
                <c:pt idx="31">
                  <c:v>67.95646998550545</c:v>
                </c:pt>
                <c:pt idx="32">
                  <c:v>63.769528989853811</c:v>
                </c:pt>
                <c:pt idx="33">
                  <c:v>67.738670292897666</c:v>
                </c:pt>
                <c:pt idx="34">
                  <c:v>55.817069205028361</c:v>
                </c:pt>
                <c:pt idx="35">
                  <c:v>52.871948443519848</c:v>
                </c:pt>
                <c:pt idx="36">
                  <c:v>47.210363910463897</c:v>
                </c:pt>
                <c:pt idx="37">
                  <c:v>58.847254737324732</c:v>
                </c:pt>
                <c:pt idx="38">
                  <c:v>60.393078316127315</c:v>
                </c:pt>
                <c:pt idx="39">
                  <c:v>62.975154821289124</c:v>
                </c:pt>
                <c:pt idx="40">
                  <c:v>53.982608374902384</c:v>
                </c:pt>
                <c:pt idx="41">
                  <c:v>50.087825862431664</c:v>
                </c:pt>
                <c:pt idx="42">
                  <c:v>51.861478103702169</c:v>
                </c:pt>
                <c:pt idx="43">
                  <c:v>44.703034672591514</c:v>
                </c:pt>
                <c:pt idx="44">
                  <c:v>36.99212427081406</c:v>
                </c:pt>
                <c:pt idx="45">
                  <c:v>30.694486989569842</c:v>
                </c:pt>
                <c:pt idx="46">
                  <c:v>37.38614089269889</c:v>
                </c:pt>
                <c:pt idx="47">
                  <c:v>45.070298624889219</c:v>
                </c:pt>
                <c:pt idx="48">
                  <c:v>56.749209037422446</c:v>
                </c:pt>
                <c:pt idx="49">
                  <c:v>64.624446326195709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A0-4D3B-8A38-2E8FEC3A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55608"/>
        <c:axId val="222746208"/>
      </c:scatterChart>
      <c:valAx>
        <c:axId val="71575560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6208"/>
        <c:crosses val="autoZero"/>
        <c:crossBetween val="midCat"/>
      </c:valAx>
      <c:valAx>
        <c:axId val="22274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755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'2.ES-MAD-TS'!$C$7</c:f>
          <c:strCache>
            <c:ptCount val="1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'2.ES-MAD-TS'!$H$11:$H$60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-4.9318914043630775</c:v>
                </c:pt>
                <c:pt idx="6">
                  <c:v>-5.5167510050603017</c:v>
                </c:pt>
                <c:pt idx="7">
                  <c:v>-6.2709563596426658</c:v>
                </c:pt>
                <c:pt idx="8">
                  <c:v>-5.921465568843078</c:v>
                </c:pt>
                <c:pt idx="9">
                  <c:v>-2.5069047345932005</c:v>
                </c:pt>
                <c:pt idx="10">
                  <c:v>-4.0018659319920129</c:v>
                </c:pt>
                <c:pt idx="11">
                  <c:v>-0.24433376112435912</c:v>
                </c:pt>
                <c:pt idx="12">
                  <c:v>-0.76817509146978813</c:v>
                </c:pt>
                <c:pt idx="13">
                  <c:v>-0.76662193720503746</c:v>
                </c:pt>
                <c:pt idx="14">
                  <c:v>0.22313752594050779</c:v>
                </c:pt>
                <c:pt idx="15">
                  <c:v>-0.10149698319963289</c:v>
                </c:pt>
                <c:pt idx="16">
                  <c:v>-2.1110460590661857</c:v>
                </c:pt>
                <c:pt idx="17">
                  <c:v>-3.1436201855643375</c:v>
                </c:pt>
                <c:pt idx="18">
                  <c:v>-1.3440591755967406</c:v>
                </c:pt>
                <c:pt idx="19">
                  <c:v>-1.296201721520162</c:v>
                </c:pt>
                <c:pt idx="20">
                  <c:v>-2.6602341405624346</c:v>
                </c:pt>
                <c:pt idx="21">
                  <c:v>-1.8794143384953819</c:v>
                </c:pt>
                <c:pt idx="22">
                  <c:v>-3.3336435489988592</c:v>
                </c:pt>
                <c:pt idx="23">
                  <c:v>-4.4216550546226072</c:v>
                </c:pt>
                <c:pt idx="24">
                  <c:v>-2.7270491611737278</c:v>
                </c:pt>
                <c:pt idx="25">
                  <c:v>-1.4253074428536139</c:v>
                </c:pt>
                <c:pt idx="26">
                  <c:v>1.2367615716446911</c:v>
                </c:pt>
                <c:pt idx="27">
                  <c:v>1.2339237077880394</c:v>
                </c:pt>
                <c:pt idx="28">
                  <c:v>0.30174867397337207</c:v>
                </c:pt>
                <c:pt idx="29">
                  <c:v>4.3086707829422831E-2</c:v>
                </c:pt>
                <c:pt idx="30">
                  <c:v>1.5097734530554365</c:v>
                </c:pt>
                <c:pt idx="31">
                  <c:v>0.71990727903777296</c:v>
                </c:pt>
                <c:pt idx="32">
                  <c:v>1.4888535912814402</c:v>
                </c:pt>
                <c:pt idx="33">
                  <c:v>-0.77526311180301455</c:v>
                </c:pt>
                <c:pt idx="34">
                  <c:v>-1.3384786933139212</c:v>
                </c:pt>
                <c:pt idx="35">
                  <c:v>-2.3973869069723666</c:v>
                </c:pt>
                <c:pt idx="36">
                  <c:v>-0.20939399116445087</c:v>
                </c:pt>
                <c:pt idx="37">
                  <c:v>7.2779384200217734E-2</c:v>
                </c:pt>
                <c:pt idx="38">
                  <c:v>0.55832889077337367</c:v>
                </c:pt>
                <c:pt idx="39">
                  <c:v>-1.110163608639229</c:v>
                </c:pt>
                <c:pt idx="40">
                  <c:v>-1.8413616691759487</c:v>
                </c:pt>
                <c:pt idx="41">
                  <c:v>-1.5364024263895624</c:v>
                </c:pt>
                <c:pt idx="42">
                  <c:v>-2.8643774211993196</c:v>
                </c:pt>
                <c:pt idx="43">
                  <c:v>-4.2652275749870432</c:v>
                </c:pt>
                <c:pt idx="44">
                  <c:v>-5.4125487963961882</c:v>
                </c:pt>
                <c:pt idx="45">
                  <c:v>-4.1553309990837599</c:v>
                </c:pt>
                <c:pt idx="46">
                  <c:v>-2.7195175634042261</c:v>
                </c:pt>
                <c:pt idx="47">
                  <c:v>-0.57855880980349095</c:v>
                </c:pt>
                <c:pt idx="48">
                  <c:v>0.81634423773759768</c:v>
                </c:pt>
                <c:pt idx="49">
                  <c:v>1.5336379134883247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F-45FE-9315-9D299F24A76B}"/>
            </c:ext>
          </c:extLst>
        </c:ser>
        <c:ser>
          <c:idx val="1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0F-45FE-9315-9D299F24A76B}"/>
              </c:ext>
            </c:extLst>
          </c:dPt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'2.ES-MAD-TS'!$L$6:$L$7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F-45FE-9315-9D299F24A76B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'2.ES-MAD-TS'!$M$6:$M$7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F-45FE-9315-9D299F24A76B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'2.ES-MAD-TS'!$N$6:$N$7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F-45FE-9315-9D299F24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6992"/>
        <c:axId val="222747384"/>
      </c:scatterChart>
      <c:valAx>
        <c:axId val="222746992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22747384"/>
        <c:crosses val="autoZero"/>
        <c:crossBetween val="midCat"/>
      </c:valAx>
      <c:valAx>
        <c:axId val="22274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6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'3.ES-OptDataTab'!$P$1</c:f>
          <c:strCache>
            <c:ptCount val="1"/>
            <c:pt idx="0">
              <c:v>At vs 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'3.ES-OptDataTab'!$A$6:$A$17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'3.ES-OptDataTab'!$B$6:$B$17</c:f>
              <c:numCache>
                <c:formatCode>General</c:formatCode>
                <c:ptCount val="12"/>
                <c:pt idx="0">
                  <c:v>323</c:v>
                </c:pt>
                <c:pt idx="1">
                  <c:v>1098</c:v>
                </c:pt>
                <c:pt idx="2">
                  <c:v>588</c:v>
                </c:pt>
                <c:pt idx="3">
                  <c:v>329</c:v>
                </c:pt>
                <c:pt idx="4">
                  <c:v>495</c:v>
                </c:pt>
                <c:pt idx="5">
                  <c:v>391</c:v>
                </c:pt>
                <c:pt idx="6">
                  <c:v>487</c:v>
                </c:pt>
                <c:pt idx="7">
                  <c:v>552</c:v>
                </c:pt>
                <c:pt idx="8">
                  <c:v>485</c:v>
                </c:pt>
                <c:pt idx="9">
                  <c:v>741</c:v>
                </c:pt>
                <c:pt idx="10">
                  <c:v>495</c:v>
                </c:pt>
                <c:pt idx="11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5-42FE-BB6D-EE5A87F5E0D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'3.ES-OptDataTab'!$A$6:$A$17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'3.ES-OptDataTab'!$C$6:$C$17</c:f>
              <c:numCache>
                <c:formatCode>0.0</c:formatCode>
                <c:ptCount val="12"/>
                <c:pt idx="0">
                  <c:v>323</c:v>
                </c:pt>
                <c:pt idx="1">
                  <c:v>323</c:v>
                </c:pt>
                <c:pt idx="2">
                  <c:v>633</c:v>
                </c:pt>
                <c:pt idx="3">
                  <c:v>615</c:v>
                </c:pt>
                <c:pt idx="4">
                  <c:v>500.6</c:v>
                </c:pt>
                <c:pt idx="5">
                  <c:v>498.36</c:v>
                </c:pt>
                <c:pt idx="6">
                  <c:v>455.41600000000005</c:v>
                </c:pt>
                <c:pt idx="7">
                  <c:v>468.04960000000005</c:v>
                </c:pt>
                <c:pt idx="8">
                  <c:v>501.62976000000003</c:v>
                </c:pt>
                <c:pt idx="9">
                  <c:v>494.97785600000003</c:v>
                </c:pt>
                <c:pt idx="10">
                  <c:v>593.38671360000012</c:v>
                </c:pt>
                <c:pt idx="11">
                  <c:v>554.03202815999998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5-42FE-BB6D-EE5A87F5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175912"/>
        <c:axId val="725992392"/>
      </c:scatterChart>
      <c:valAx>
        <c:axId val="80717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92392"/>
        <c:crosses val="autoZero"/>
        <c:crossBetween val="midCat"/>
      </c:valAx>
      <c:valAx>
        <c:axId val="72599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7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'4.ES-OptSolver'!$C$7</c:f>
          <c:strCache>
            <c:ptCount val="1"/>
            <c:pt idx="0">
              <c:v>Actual vs. Forcast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'4.ES-OptSolver'!$C$11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'4.ES-OptSolver'!$B$12:$B$61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'4.ES-OptSolver'!$C$12:$C$61</c:f>
              <c:numCache>
                <c:formatCode>General</c:formatCode>
                <c:ptCount val="50"/>
                <c:pt idx="0">
                  <c:v>60</c:v>
                </c:pt>
                <c:pt idx="1">
                  <c:v>38</c:v>
                </c:pt>
                <c:pt idx="2">
                  <c:v>29</c:v>
                </c:pt>
                <c:pt idx="3">
                  <c:v>21</c:v>
                </c:pt>
                <c:pt idx="4">
                  <c:v>26</c:v>
                </c:pt>
                <c:pt idx="5">
                  <c:v>43</c:v>
                </c:pt>
                <c:pt idx="6">
                  <c:v>39</c:v>
                </c:pt>
                <c:pt idx="7">
                  <c:v>38</c:v>
                </c:pt>
                <c:pt idx="8">
                  <c:v>45</c:v>
                </c:pt>
                <c:pt idx="9">
                  <c:v>73</c:v>
                </c:pt>
                <c:pt idx="10">
                  <c:v>26</c:v>
                </c:pt>
                <c:pt idx="11">
                  <c:v>96</c:v>
                </c:pt>
                <c:pt idx="12">
                  <c:v>50</c:v>
                </c:pt>
                <c:pt idx="13">
                  <c:v>57</c:v>
                </c:pt>
                <c:pt idx="14">
                  <c:v>72</c:v>
                </c:pt>
                <c:pt idx="15">
                  <c:v>56</c:v>
                </c:pt>
                <c:pt idx="16">
                  <c:v>27</c:v>
                </c:pt>
                <c:pt idx="17">
                  <c:v>33</c:v>
                </c:pt>
                <c:pt idx="18">
                  <c:v>73</c:v>
                </c:pt>
                <c:pt idx="19">
                  <c:v>55</c:v>
                </c:pt>
                <c:pt idx="20">
                  <c:v>31</c:v>
                </c:pt>
                <c:pt idx="21">
                  <c:v>60</c:v>
                </c:pt>
                <c:pt idx="22">
                  <c:v>26</c:v>
                </c:pt>
                <c:pt idx="23">
                  <c:v>25</c:v>
                </c:pt>
                <c:pt idx="24">
                  <c:v>65</c:v>
                </c:pt>
                <c:pt idx="25">
                  <c:v>68</c:v>
                </c:pt>
                <c:pt idx="26">
                  <c:v>100</c:v>
                </c:pt>
                <c:pt idx="27">
                  <c:v>66</c:v>
                </c:pt>
                <c:pt idx="28">
                  <c:v>50</c:v>
                </c:pt>
                <c:pt idx="29">
                  <c:v>57</c:v>
                </c:pt>
                <c:pt idx="30">
                  <c:v>86</c:v>
                </c:pt>
                <c:pt idx="31">
                  <c:v>54</c:v>
                </c:pt>
                <c:pt idx="32">
                  <c:v>77</c:v>
                </c:pt>
                <c:pt idx="33">
                  <c:v>28</c:v>
                </c:pt>
                <c:pt idx="34">
                  <c:v>46</c:v>
                </c:pt>
                <c:pt idx="35">
                  <c:v>34</c:v>
                </c:pt>
                <c:pt idx="36">
                  <c:v>86</c:v>
                </c:pt>
                <c:pt idx="37">
                  <c:v>64</c:v>
                </c:pt>
                <c:pt idx="38">
                  <c:v>69</c:v>
                </c:pt>
                <c:pt idx="39">
                  <c:v>33</c:v>
                </c:pt>
                <c:pt idx="40">
                  <c:v>41</c:v>
                </c:pt>
                <c:pt idx="41">
                  <c:v>56</c:v>
                </c:pt>
                <c:pt idx="42">
                  <c:v>28</c:v>
                </c:pt>
                <c:pt idx="43">
                  <c:v>19</c:v>
                </c:pt>
                <c:pt idx="44">
                  <c:v>16</c:v>
                </c:pt>
                <c:pt idx="45">
                  <c:v>53</c:v>
                </c:pt>
                <c:pt idx="46">
                  <c:v>63</c:v>
                </c:pt>
                <c:pt idx="47">
                  <c:v>84</c:v>
                </c:pt>
                <c:pt idx="48">
                  <c:v>83</c:v>
                </c:pt>
                <c:pt idx="4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4-49CB-BD3C-38AFB98B0E88}"/>
            </c:ext>
          </c:extLst>
        </c:ser>
        <c:ser>
          <c:idx val="1"/>
          <c:order val="1"/>
          <c:tx>
            <c:strRef>
              <c:f>'4.ES-OptSolver'!$D$11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'4.ES-OptSolver'!$B$12:$B$61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'4.ES-OptSolver'!$D$12:$D$61</c:f>
              <c:numCache>
                <c:formatCode>0.0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47.224223763724581</c:v>
                </c:pt>
                <c:pt idx="3">
                  <c:v>36.641105359853753</c:v>
                </c:pt>
                <c:pt idx="4">
                  <c:v>27.558047988694682</c:v>
                </c:pt>
                <c:pt idx="5">
                  <c:v>26.653262876470038</c:v>
                </c:pt>
                <c:pt idx="6">
                  <c:v>36.146092680262548</c:v>
                </c:pt>
                <c:pt idx="7">
                  <c:v>37.803405467355013</c:v>
                </c:pt>
                <c:pt idx="8">
                  <c:v>37.917571274552628</c:v>
                </c:pt>
                <c:pt idx="9">
                  <c:v>42.030458756629216</c:v>
                </c:pt>
                <c:pt idx="10">
                  <c:v>60.01500098687503</c:v>
                </c:pt>
                <c:pt idx="11">
                  <c:v>40.26190820119308</c:v>
                </c:pt>
                <c:pt idx="12">
                  <c:v>72.629971322035587</c:v>
                </c:pt>
                <c:pt idx="13">
                  <c:v>59.488359965505751</c:v>
                </c:pt>
                <c:pt idx="14">
                  <c:v>58.043326778478139</c:v>
                </c:pt>
                <c:pt idx="15">
                  <c:v>66.148205600340887</c:v>
                </c:pt>
                <c:pt idx="16">
                  <c:v>60.254969057173966</c:v>
                </c:pt>
                <c:pt idx="17">
                  <c:v>40.943239810868626</c:v>
                </c:pt>
                <c:pt idx="18">
                  <c:v>36.33046461019898</c:v>
                </c:pt>
                <c:pt idx="19">
                  <c:v>57.62509092057536</c:v>
                </c:pt>
                <c:pt idx="20">
                  <c:v>56.10065572961404</c:v>
                </c:pt>
                <c:pt idx="21">
                  <c:v>41.524275684826158</c:v>
                </c:pt>
                <c:pt idx="22">
                  <c:v>52.253444759997691</c:v>
                </c:pt>
                <c:pt idx="23">
                  <c:v>37.007620410672786</c:v>
                </c:pt>
                <c:pt idx="24">
                  <c:v>30.03458988808692</c:v>
                </c:pt>
                <c:pt idx="25">
                  <c:v>50.339601506241614</c:v>
                </c:pt>
                <c:pt idx="26">
                  <c:v>60.595296933501274</c:v>
                </c:pt>
                <c:pt idx="27">
                  <c:v>83.478281889613243</c:v>
                </c:pt>
                <c:pt idx="28">
                  <c:v>73.328344688874893</c:v>
                </c:pt>
                <c:pt idx="29">
                  <c:v>59.781175974885358</c:v>
                </c:pt>
                <c:pt idx="30">
                  <c:v>58.166099523574431</c:v>
                </c:pt>
                <c:pt idx="31">
                  <c:v>74.329721535827744</c:v>
                </c:pt>
                <c:pt idx="32">
                  <c:v>62.523904568212984</c:v>
                </c:pt>
                <c:pt idx="33">
                  <c:v>70.930420750552969</c:v>
                </c:pt>
                <c:pt idx="34">
                  <c:v>45.9999912397248</c:v>
                </c:pt>
                <c:pt idx="35">
                  <c:v>45.999996326966425</c:v>
                </c:pt>
                <c:pt idx="36">
                  <c:v>39.031393240173244</c:v>
                </c:pt>
                <c:pt idx="37">
                  <c:v>66.306866426225952</c:v>
                </c:pt>
                <c:pt idx="38">
                  <c:v>64.967229641296896</c:v>
                </c:pt>
                <c:pt idx="39">
                  <c:v>67.309128355618483</c:v>
                </c:pt>
                <c:pt idx="40">
                  <c:v>47.385230776844224</c:v>
                </c:pt>
                <c:pt idx="41">
                  <c:v>43.677218066756005</c:v>
                </c:pt>
                <c:pt idx="42">
                  <c:v>50.833268275280673</c:v>
                </c:pt>
                <c:pt idx="43">
                  <c:v>37.5735989012883</c:v>
                </c:pt>
                <c:pt idx="44">
                  <c:v>26.787592380143288</c:v>
                </c:pt>
                <c:pt idx="45">
                  <c:v>20.523052999376908</c:v>
                </c:pt>
                <c:pt idx="46">
                  <c:v>39.382971531983117</c:v>
                </c:pt>
                <c:pt idx="47">
                  <c:v>53.097783853489034</c:v>
                </c:pt>
                <c:pt idx="48">
                  <c:v>71.043229248618189</c:v>
                </c:pt>
                <c:pt idx="49">
                  <c:v>77.986730504440771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F4-49CB-BD3C-38AFB98B0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'4.ES-OptSolver'!$C$8</c:f>
          <c:strCache>
            <c:ptCount val="1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'4.ES-OptSolver'!$B$12:$B$61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'4.ES-OptSolver'!$H$12:$H$61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-3.3409171516890988</c:v>
                </c:pt>
                <c:pt idx="6">
                  <c:v>-3.4918439837969184</c:v>
                </c:pt>
                <c:pt idx="7">
                  <c:v>-3.9599930406919848</c:v>
                </c:pt>
                <c:pt idx="8">
                  <c:v>-3.3192285848125604</c:v>
                </c:pt>
                <c:pt idx="9">
                  <c:v>2.2487377836799701E-3</c:v>
                </c:pt>
                <c:pt idx="10">
                  <c:v>-2.5111620661056593</c:v>
                </c:pt>
                <c:pt idx="11">
                  <c:v>1.2754365591295989</c:v>
                </c:pt>
                <c:pt idx="12">
                  <c:v>-5.0399771363652E-2</c:v>
                </c:pt>
                <c:pt idx="13">
                  <c:v>-0.20532296349048723</c:v>
                </c:pt>
                <c:pt idx="14">
                  <c:v>0.65165582012886769</c:v>
                </c:pt>
                <c:pt idx="15">
                  <c:v>2.7673722258405972E-2</c:v>
                </c:pt>
                <c:pt idx="16">
                  <c:v>-1.9430963945021706</c:v>
                </c:pt>
                <c:pt idx="17">
                  <c:v>-2.4866019813131768</c:v>
                </c:pt>
                <c:pt idx="18">
                  <c:v>-0.23424413407349989</c:v>
                </c:pt>
                <c:pt idx="19">
                  <c:v>-0.40166721268487654</c:v>
                </c:pt>
                <c:pt idx="20">
                  <c:v>-1.8587752073599129</c:v>
                </c:pt>
                <c:pt idx="21">
                  <c:v>-0.77654922358228962</c:v>
                </c:pt>
                <c:pt idx="22">
                  <c:v>-2.2531048488917294</c:v>
                </c:pt>
                <c:pt idx="23">
                  <c:v>-2.9756819643034009</c:v>
                </c:pt>
                <c:pt idx="24">
                  <c:v>-0.92183817846018079</c:v>
                </c:pt>
                <c:pt idx="25">
                  <c:v>5.6852578039061567E-2</c:v>
                </c:pt>
                <c:pt idx="26">
                  <c:v>2.1479418865111644</c:v>
                </c:pt>
                <c:pt idx="27">
                  <c:v>1.2224795374650963</c:v>
                </c:pt>
                <c:pt idx="28">
                  <c:v>-1.9904127260108345E-2</c:v>
                </c:pt>
                <c:pt idx="29">
                  <c:v>-0.17169303853988546</c:v>
                </c:pt>
                <c:pt idx="30">
                  <c:v>1.3197234592904181</c:v>
                </c:pt>
                <c:pt idx="31">
                  <c:v>0.23181161648228543</c:v>
                </c:pt>
                <c:pt idx="32">
                  <c:v>1.0109011758853748</c:v>
                </c:pt>
                <c:pt idx="33">
                  <c:v>-1.2469076782592519</c:v>
                </c:pt>
                <c:pt idx="34">
                  <c:v>-1.2835809499764483</c:v>
                </c:pt>
                <c:pt idx="35">
                  <c:v>-1.9419710691138656</c:v>
                </c:pt>
                <c:pt idx="36">
                  <c:v>0.56096249006443732</c:v>
                </c:pt>
                <c:pt idx="37">
                  <c:v>0.45229309659340711</c:v>
                </c:pt>
                <c:pt idx="38">
                  <c:v>0.67923807983648332</c:v>
                </c:pt>
                <c:pt idx="39">
                  <c:v>-1.1478560093549814</c:v>
                </c:pt>
                <c:pt idx="40">
                  <c:v>-1.509656705980801</c:v>
                </c:pt>
                <c:pt idx="41">
                  <c:v>-0.85469136686134073</c:v>
                </c:pt>
                <c:pt idx="42">
                  <c:v>-2.0795731982062264</c:v>
                </c:pt>
                <c:pt idx="43">
                  <c:v>-3.0797344712213834</c:v>
                </c:pt>
                <c:pt idx="44">
                  <c:v>-3.6950485269822946</c:v>
                </c:pt>
                <c:pt idx="45">
                  <c:v>-1.8981776058621977</c:v>
                </c:pt>
                <c:pt idx="46">
                  <c:v>-0.63194407675095843</c:v>
                </c:pt>
                <c:pt idx="47">
                  <c:v>0.99771577066898065</c:v>
                </c:pt>
                <c:pt idx="48">
                  <c:v>1.6374902403966274</c:v>
                </c:pt>
                <c:pt idx="49">
                  <c:v>1.6716003221507449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8-4847-8CF0-6B172F674720}"/>
            </c:ext>
          </c:extLst>
        </c:ser>
        <c:ser>
          <c:idx val="1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D98-4847-8CF0-6B172F674720}"/>
              </c:ext>
            </c:extLst>
          </c:dPt>
          <c:xVal>
            <c:numRef>
              <c:f>'4.ES-OptSolver'!$K$1:$K$2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'4.ES-OptSolver'!$L$1:$L$2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8-4847-8CF0-6B172F674720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'4.ES-OptSolver'!$K$1:$K$2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'4.ES-OptSolver'!$M$1:$M$2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8-4847-8CF0-6B172F674720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'4.ES-OptSolver'!$K$1:$K$2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'4.ES-OptSolver'!$N$1:$N$2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8-4847-8CF0-6B172F674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9344"/>
        <c:axId val="222749736"/>
      </c:scatterChart>
      <c:valAx>
        <c:axId val="222749344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22749736"/>
        <c:crosses val="autoZero"/>
        <c:crossBetween val="midCat"/>
      </c:valAx>
      <c:valAx>
        <c:axId val="22274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9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'00.BookData'!$B$1</c:f>
          <c:strCache>
            <c:ptCount val="1"/>
            <c:pt idx="0">
              <c:v>Office 1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23D-A506-AB199EC6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2104"/>
        <c:axId val="718672496"/>
      </c:barChart>
      <c:catAx>
        <c:axId val="718672104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2496"/>
        <c:crosses val="autoZero"/>
        <c:auto val="1"/>
        <c:lblAlgn val="ctr"/>
        <c:lblOffset val="100"/>
        <c:noMultiLvlLbl val="0"/>
      </c:catAx>
      <c:valAx>
        <c:axId val="71867249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2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'00.BookData'!$C$1</c:f>
          <c:strCache>
            <c:ptCount val="1"/>
            <c:pt idx="0">
              <c:v>Office 2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F9C-A4D8-A042C34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3280"/>
        <c:axId val="718673672"/>
      </c:barChart>
      <c:catAx>
        <c:axId val="71867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3672"/>
        <c:crosses val="autoZero"/>
        <c:auto val="1"/>
        <c:lblAlgn val="ctr"/>
        <c:lblOffset val="100"/>
        <c:noMultiLvlLbl val="0"/>
      </c:catAx>
      <c:valAx>
        <c:axId val="7186736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'00.BookData'!$D$1</c:f>
          <c:strCache>
            <c:ptCount val="1"/>
            <c:pt idx="0">
              <c:v>Office 3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A7-94EB-870607B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4456"/>
        <c:axId val="718674848"/>
      </c:barChart>
      <c:catAx>
        <c:axId val="718674456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4848"/>
        <c:crosses val="autoZero"/>
        <c:auto val="1"/>
        <c:lblAlgn val="ctr"/>
        <c:lblOffset val="100"/>
        <c:noMultiLvlLbl val="0"/>
      </c:catAx>
      <c:valAx>
        <c:axId val="7186748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4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37F-930B-8D0ECDDB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68080"/>
        <c:axId val="719468472"/>
      </c:scatterChart>
      <c:valAx>
        <c:axId val="71946808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68472"/>
        <c:crosses val="autoZero"/>
        <c:crossBetween val="midCat"/>
      </c:valAx>
      <c:valAx>
        <c:axId val="719468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68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'00.BookData'!$C$1</c:f>
          <c:strCache>
            <c:ptCount val="1"/>
            <c:pt idx="0">
              <c:v>Office 2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A-4625-BC05-91AE3EF7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69256"/>
        <c:axId val="719469648"/>
      </c:scatterChart>
      <c:valAx>
        <c:axId val="71946925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69648"/>
        <c:crosses val="autoZero"/>
        <c:crossBetween val="midCat"/>
      </c:valAx>
      <c:valAx>
        <c:axId val="719469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69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'00.BookData'!$D$1</c:f>
          <c:strCache>
            <c:ptCount val="1"/>
            <c:pt idx="0">
              <c:v>Office 3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4-4FCA-B067-77B36B9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70432"/>
        <c:axId val="719470824"/>
      </c:scatterChart>
      <c:valAx>
        <c:axId val="71947043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70824"/>
        <c:crosses val="autoZero"/>
        <c:crossBetween val="midCat"/>
      </c:valAx>
      <c:valAx>
        <c:axId val="719470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70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27</xdr:row>
      <xdr:rowOff>66676</xdr:rowOff>
    </xdr:from>
    <xdr:to>
      <xdr:col>12</xdr:col>
      <xdr:colOff>238125</xdr:colOff>
      <xdr:row>40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391568</xdr:colOff>
      <xdr:row>27</xdr:row>
      <xdr:rowOff>79723</xdr:rowOff>
    </xdr:from>
    <xdr:to>
      <xdr:col>18</xdr:col>
      <xdr:colOff>143527</xdr:colOff>
      <xdr:row>40</xdr:row>
      <xdr:rowOff>108298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288491</xdr:colOff>
      <xdr:row>27</xdr:row>
      <xdr:rowOff>92771</xdr:rowOff>
    </xdr:from>
    <xdr:to>
      <xdr:col>25</xdr:col>
      <xdr:colOff>182672</xdr:colOff>
      <xdr:row>40</xdr:row>
      <xdr:rowOff>107058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276225</xdr:colOff>
      <xdr:row>41</xdr:row>
      <xdr:rowOff>4762</xdr:rowOff>
    </xdr:from>
    <xdr:to>
      <xdr:col>12</xdr:col>
      <xdr:colOff>221815</xdr:colOff>
      <xdr:row>56</xdr:row>
      <xdr:rowOff>65239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404619</xdr:colOff>
      <xdr:row>41</xdr:row>
      <xdr:rowOff>22574</xdr:rowOff>
    </xdr:from>
    <xdr:to>
      <xdr:col>18</xdr:col>
      <xdr:colOff>143528</xdr:colOff>
      <xdr:row>56</xdr:row>
      <xdr:rowOff>94012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294492</xdr:colOff>
      <xdr:row>41</xdr:row>
      <xdr:rowOff>26096</xdr:rowOff>
    </xdr:from>
    <xdr:to>
      <xdr:col>25</xdr:col>
      <xdr:colOff>208767</xdr:colOff>
      <xdr:row>56</xdr:row>
      <xdr:rowOff>104383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8</xdr:row>
      <xdr:rowOff>14287</xdr:rowOff>
    </xdr:from>
    <xdr:to>
      <xdr:col>16</xdr:col>
      <xdr:colOff>323850</xdr:colOff>
      <xdr:row>20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119063</xdr:colOff>
      <xdr:row>0</xdr:row>
      <xdr:rowOff>33337</xdr:rowOff>
    </xdr:from>
    <xdr:to>
      <xdr:col>21</xdr:col>
      <xdr:colOff>440531</xdr:colOff>
      <xdr:row>12</xdr:row>
      <xdr:rowOff>204787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214312</xdr:colOff>
      <xdr:row>3</xdr:row>
      <xdr:rowOff>152399</xdr:rowOff>
    </xdr:from>
    <xdr:to>
      <xdr:col>16</xdr:col>
      <xdr:colOff>535782</xdr:colOff>
      <xdr:row>16</xdr:row>
      <xdr:rowOff>109537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2</xdr:row>
      <xdr:rowOff>0</xdr:rowOff>
    </xdr:from>
    <xdr:to>
      <xdr:col>21</xdr:col>
      <xdr:colOff>504825</xdr:colOff>
      <xdr:row>14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523876</xdr:colOff>
      <xdr:row>1</xdr:row>
      <xdr:rowOff>9523</xdr:rowOff>
    </xdr:from>
    <xdr:to>
      <xdr:col>18</xdr:col>
      <xdr:colOff>238125</xdr:colOff>
      <xdr:row>13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595313</xdr:colOff>
      <xdr:row>5</xdr:row>
      <xdr:rowOff>92868</xdr:rowOff>
    </xdr:from>
    <xdr:to>
      <xdr:col>24</xdr:col>
      <xdr:colOff>309564</xdr:colOff>
      <xdr:row>18</xdr:row>
      <xdr:rowOff>50005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zoomScale="73" zoomScaleNormal="73" workbookViewId="0">
      <selection activeCell="W58" sqref="W58"/>
    </sheetView>
  </sheetViews>
  <sheetFormatPr defaultColWidth="9.140625" defaultRowHeight="13.5" x14ac:dyDescent="0.25"/>
  <cols>
    <col min="1" max="1" width="4.5703125" style="92" bestFit="1" customWidth="1"/>
    <col min="2" max="2" width="9.7109375" style="92" bestFit="1" customWidth="1"/>
    <col min="3" max="3" width="6.7109375" style="92" bestFit="1" customWidth="1"/>
    <col min="4" max="4" width="11.7109375" style="92" bestFit="1" customWidth="1"/>
    <col min="5" max="5" width="9.140625" style="100" customWidth="1"/>
    <col min="6" max="6" width="13" style="92" customWidth="1"/>
    <col min="7" max="8" width="5.85546875" style="92" customWidth="1"/>
    <col min="9" max="9" width="9.7109375" style="92" customWidth="1"/>
    <col min="10" max="10" width="6" style="92" bestFit="1" customWidth="1"/>
    <col min="11" max="11" width="4.85546875" style="92" bestFit="1" customWidth="1"/>
    <col min="12" max="12" width="8.7109375" style="92" bestFit="1" customWidth="1"/>
    <col min="13" max="13" width="9.140625" style="92"/>
    <col min="14" max="14" width="12.140625" style="92" bestFit="1" customWidth="1"/>
    <col min="15" max="15" width="11.7109375" style="92" bestFit="1" customWidth="1"/>
    <col min="16" max="16" width="12.42578125" style="92" bestFit="1" customWidth="1"/>
    <col min="17" max="17" width="12.140625" style="92" bestFit="1" customWidth="1"/>
    <col min="18" max="21" width="9.28515625" style="92" bestFit="1" customWidth="1"/>
    <col min="22" max="23" width="9.140625" style="92"/>
    <col min="24" max="24" width="9.28515625" style="92" bestFit="1" customWidth="1"/>
    <col min="25" max="27" width="9.140625" style="92"/>
    <col min="28" max="30" width="9.28515625" style="92" bestFit="1" customWidth="1"/>
    <col min="31" max="31" width="12.28515625" style="92" customWidth="1"/>
    <col min="32" max="36" width="9.28515625" style="92" bestFit="1" customWidth="1"/>
    <col min="37" max="16384" width="9.140625" style="92"/>
  </cols>
  <sheetData>
    <row r="1" spans="1:37" ht="17.25" thickBot="1" x14ac:dyDescent="0.35">
      <c r="A1" s="85" t="s">
        <v>22</v>
      </c>
      <c r="B1" s="86"/>
      <c r="C1" s="87"/>
      <c r="D1" s="86"/>
      <c r="E1" s="88"/>
      <c r="F1" s="89" t="s">
        <v>8</v>
      </c>
      <c r="G1" s="89" t="s">
        <v>9</v>
      </c>
      <c r="H1" s="90" t="s">
        <v>10</v>
      </c>
      <c r="I1" s="91" t="s">
        <v>11</v>
      </c>
      <c r="J1" s="91" t="s">
        <v>12</v>
      </c>
      <c r="K1" s="91" t="s">
        <v>13</v>
      </c>
      <c r="L1" s="91" t="s">
        <v>14</v>
      </c>
      <c r="N1" s="136" t="s">
        <v>54</v>
      </c>
      <c r="O1" s="136" t="s">
        <v>55</v>
      </c>
      <c r="P1" s="138" t="s">
        <v>56</v>
      </c>
      <c r="Q1" s="137" t="s">
        <v>57</v>
      </c>
      <c r="R1" s="93" t="s">
        <v>28</v>
      </c>
      <c r="AB1" s="82"/>
      <c r="AC1" s="94" t="s">
        <v>23</v>
      </c>
      <c r="AD1" s="94"/>
      <c r="AE1" s="94"/>
      <c r="AF1" s="82"/>
      <c r="AG1" s="82"/>
      <c r="AH1" s="95">
        <f ca="1">RANDBETWEEN(100,150)</f>
        <v>132</v>
      </c>
      <c r="AI1" s="95">
        <f ca="1">RANDBETWEEN(5,15)</f>
        <v>5</v>
      </c>
      <c r="AJ1" s="95">
        <v>0.1</v>
      </c>
      <c r="AK1" s="82"/>
    </row>
    <row r="2" spans="1:37" ht="17.25" thickBot="1" x14ac:dyDescent="0.35">
      <c r="A2" s="96" t="s">
        <v>4</v>
      </c>
      <c r="B2" s="97" t="s">
        <v>30</v>
      </c>
      <c r="C2" s="98" t="s">
        <v>24</v>
      </c>
      <c r="D2" s="99" t="s">
        <v>27</v>
      </c>
      <c r="F2" s="101" t="str">
        <f ca="1">G2&amp;" - "&amp;H2</f>
        <v>800 - 1600</v>
      </c>
      <c r="G2" s="102">
        <f ca="1">R4</f>
        <v>800</v>
      </c>
      <c r="H2" s="103">
        <f ca="1">G2+$S$5</f>
        <v>1600</v>
      </c>
      <c r="I2" s="104">
        <f ca="1">COUNTIF($C$3:$C$77, "&lt;"&amp;H2)</f>
        <v>1</v>
      </c>
      <c r="J2" s="104">
        <f ca="1">I2</f>
        <v>1</v>
      </c>
      <c r="K2" s="105">
        <f t="shared" ref="K2:K14" ca="1" si="0">J2/$J$15</f>
        <v>1.3333333333333334E-2</v>
      </c>
      <c r="L2" s="106">
        <f t="shared" ref="L2:L14" ca="1" si="1">I2/$J$15</f>
        <v>1.3333333333333334E-2</v>
      </c>
      <c r="N2" s="130" t="s">
        <v>15</v>
      </c>
      <c r="O2" s="127">
        <f ca="1">AVERAGE(B$3:B$77)</f>
        <v>4745.24</v>
      </c>
      <c r="P2" s="133">
        <f ca="1">AVERAGE(C$3:C$77)</f>
        <v>4745.24</v>
      </c>
      <c r="Q2" s="133">
        <f ca="1">AVERAGE(D$3:D$77)</f>
        <v>4745.24</v>
      </c>
      <c r="T2" s="92" t="b">
        <f ca="1">O2=P2</f>
        <v>1</v>
      </c>
      <c r="U2" s="92" t="b">
        <f ca="1">P2=Q2</f>
        <v>1</v>
      </c>
      <c r="X2" s="92">
        <v>20</v>
      </c>
      <c r="AB2" s="82"/>
      <c r="AC2" s="95"/>
      <c r="AD2" s="95"/>
      <c r="AE2" s="95" t="s">
        <v>29</v>
      </c>
      <c r="AF2" s="82" t="s">
        <v>25</v>
      </c>
      <c r="AG2" s="82" t="s">
        <v>26</v>
      </c>
      <c r="AH2" s="82"/>
      <c r="AI2" s="83"/>
      <c r="AJ2" s="82"/>
      <c r="AK2" s="82"/>
    </row>
    <row r="3" spans="1:37" ht="16.5" x14ac:dyDescent="0.3">
      <c r="A3" s="37">
        <v>1</v>
      </c>
      <c r="B3" s="107">
        <f t="shared" ref="B3:B34" ca="1" si="2">INDEX($AG$3:$AG$77,RANK(AB3,$AB$3:$AB$77))</f>
        <v>4229</v>
      </c>
      <c r="C3" s="108">
        <f ca="1">SMALL($AG$3:$AG$77,AC3)</f>
        <v>1598</v>
      </c>
      <c r="D3" s="109">
        <f ca="1">AG3</f>
        <v>1598</v>
      </c>
      <c r="E3" s="110"/>
      <c r="F3" s="111" t="str">
        <f t="shared" ref="F3:F14" ca="1" si="3">G3&amp;" - "&amp;H3</f>
        <v>1600 - 2400</v>
      </c>
      <c r="G3" s="112">
        <f ca="1">H2</f>
        <v>1600</v>
      </c>
      <c r="H3" s="113">
        <f ca="1">G3+$S$5</f>
        <v>2400</v>
      </c>
      <c r="I3" s="114">
        <f t="shared" ref="I3:I14" ca="1" si="4">COUNTIF($C$3:$C$77, "&lt;"&amp;H3)</f>
        <v>7</v>
      </c>
      <c r="J3" s="114">
        <f ca="1">I3-I2</f>
        <v>6</v>
      </c>
      <c r="K3" s="115">
        <f t="shared" ca="1" si="0"/>
        <v>0.08</v>
      </c>
      <c r="L3" s="116">
        <f t="shared" ca="1" si="1"/>
        <v>9.3333333333333338E-2</v>
      </c>
      <c r="N3" s="131" t="s">
        <v>16</v>
      </c>
      <c r="O3" s="128">
        <f ca="1">MAX(B$3:B$77)</f>
        <v>9236</v>
      </c>
      <c r="P3" s="134">
        <f ca="1">MAX(C$3:C$77)</f>
        <v>9236</v>
      </c>
      <c r="Q3" s="134">
        <f ca="1">MAX(D$3:D$77)</f>
        <v>9236</v>
      </c>
      <c r="R3" s="92">
        <f ca="1">ROUNDUP(O3/S5,0)</f>
        <v>12</v>
      </c>
      <c r="S3" s="92">
        <f ca="1">R3*S5</f>
        <v>9600</v>
      </c>
      <c r="T3" s="92" t="b">
        <f t="shared" ref="T3:T8" ca="1" si="5">O3=P3</f>
        <v>1</v>
      </c>
      <c r="U3" s="92" t="b">
        <f t="shared" ref="U3:U9" ca="1" si="6">P3=Q3</f>
        <v>1</v>
      </c>
      <c r="AB3" s="82">
        <f t="shared" ref="AB3:AB66" ca="1" si="7">RAND()</f>
        <v>0.58822522422259227</v>
      </c>
      <c r="AC3" s="95">
        <v>1</v>
      </c>
      <c r="AD3" s="95">
        <v>1</v>
      </c>
      <c r="AE3" s="95">
        <f ca="1">INT($AH$1+$AI$1*AD3)</f>
        <v>137</v>
      </c>
      <c r="AF3" s="117">
        <f ca="1">(((IF(MOD(AD3,5)&lt;&gt;0,MOD(AD3,5),5))+12)+_xlfn.NORM.S.INV(RAND()))</f>
        <v>11.665784627889749</v>
      </c>
      <c r="AG3" s="82">
        <f ca="1">ROUND(AE3*AF3,0)</f>
        <v>1598</v>
      </c>
      <c r="AH3" s="82"/>
      <c r="AI3" s="83"/>
      <c r="AJ3" s="82"/>
      <c r="AK3" s="82"/>
    </row>
    <row r="4" spans="1:37" ht="16.5" x14ac:dyDescent="0.3">
      <c r="A4" s="37">
        <v>2</v>
      </c>
      <c r="B4" s="107">
        <f t="shared" ca="1" si="2"/>
        <v>3415</v>
      </c>
      <c r="C4" s="108">
        <f t="shared" ref="C4:C67" ca="1" si="8">SMALL($AG$3:$AG$77,AC4)</f>
        <v>1950</v>
      </c>
      <c r="D4" s="109">
        <f t="shared" ref="D4:D67" ca="1" si="9">AG4</f>
        <v>2016</v>
      </c>
      <c r="E4" s="110"/>
      <c r="F4" s="111" t="str">
        <f t="shared" ca="1" si="3"/>
        <v>2400 - 3200</v>
      </c>
      <c r="G4" s="112">
        <f t="shared" ref="G4:G13" ca="1" si="10">H3</f>
        <v>2400</v>
      </c>
      <c r="H4" s="113">
        <f t="shared" ref="H4:H14" ca="1" si="11">G4+$S$5</f>
        <v>3200</v>
      </c>
      <c r="I4" s="114">
        <f t="shared" ca="1" si="4"/>
        <v>16</v>
      </c>
      <c r="J4" s="114">
        <f t="shared" ref="J4:J14" ca="1" si="12">I4-I3</f>
        <v>9</v>
      </c>
      <c r="K4" s="115">
        <f t="shared" ca="1" si="0"/>
        <v>0.12</v>
      </c>
      <c r="L4" s="116">
        <f t="shared" ca="1" si="1"/>
        <v>0.21333333333333335</v>
      </c>
      <c r="N4" s="131" t="s">
        <v>17</v>
      </c>
      <c r="O4" s="128">
        <f ca="1">MIN(B$3:B$77)</f>
        <v>1598</v>
      </c>
      <c r="P4" s="134">
        <f ca="1">MIN(C$3:C$77)</f>
        <v>1598</v>
      </c>
      <c r="Q4" s="134">
        <f ca="1">MIN(D$3:D$77)</f>
        <v>1598</v>
      </c>
      <c r="R4" s="92">
        <f ca="1">S5*INT(O4/S5)</f>
        <v>800</v>
      </c>
      <c r="T4" s="92" t="b">
        <f ca="1">O4=P4</f>
        <v>1</v>
      </c>
      <c r="U4" s="92" t="b">
        <f t="shared" ca="1" si="6"/>
        <v>1</v>
      </c>
      <c r="AB4" s="82">
        <f t="shared" ca="1" si="7"/>
        <v>0.81278999631633375</v>
      </c>
      <c r="AC4" s="95">
        <v>2</v>
      </c>
      <c r="AD4" s="95">
        <v>2</v>
      </c>
      <c r="AE4" s="95">
        <f t="shared" ref="AE4:AE67" ca="1" si="13">INT($AH$1+$AI$1*AD4)</f>
        <v>142</v>
      </c>
      <c r="AF4" s="117">
        <f t="shared" ref="AF4:AF67" ca="1" si="14">(((IF(MOD(AD4,5)&lt;&gt;0,MOD(AD4,5),5))+12)+_xlfn.NORM.S.INV(RAND()))</f>
        <v>14.195499298397575</v>
      </c>
      <c r="AG4" s="82">
        <f t="shared" ref="AG4:AG67" ca="1" si="15">ROUND(AE4*AF4,0)</f>
        <v>2016</v>
      </c>
      <c r="AH4" s="82"/>
      <c r="AI4" s="83"/>
      <c r="AJ4" s="82"/>
      <c r="AK4" s="82"/>
    </row>
    <row r="5" spans="1:37" ht="16.5" x14ac:dyDescent="0.3">
      <c r="A5" s="37">
        <v>3</v>
      </c>
      <c r="B5" s="107">
        <f t="shared" ca="1" si="2"/>
        <v>3308</v>
      </c>
      <c r="C5" s="108">
        <f t="shared" ca="1" si="8"/>
        <v>2016</v>
      </c>
      <c r="D5" s="109">
        <f t="shared" ca="1" si="9"/>
        <v>2065</v>
      </c>
      <c r="E5" s="110"/>
      <c r="F5" s="111" t="str">
        <f t="shared" ca="1" si="3"/>
        <v>3200 - 4000</v>
      </c>
      <c r="G5" s="112">
        <f t="shared" ca="1" si="10"/>
        <v>3200</v>
      </c>
      <c r="H5" s="113">
        <f t="shared" ca="1" si="11"/>
        <v>4000</v>
      </c>
      <c r="I5" s="114">
        <f t="shared" ca="1" si="4"/>
        <v>28</v>
      </c>
      <c r="J5" s="114">
        <f t="shared" ca="1" si="12"/>
        <v>12</v>
      </c>
      <c r="K5" s="115">
        <f t="shared" ca="1" si="0"/>
        <v>0.16</v>
      </c>
      <c r="L5" s="116">
        <f t="shared" ca="1" si="1"/>
        <v>0.37333333333333335</v>
      </c>
      <c r="N5" s="131" t="s">
        <v>8</v>
      </c>
      <c r="O5" s="128">
        <f ca="1">O3-O4</f>
        <v>7638</v>
      </c>
      <c r="P5" s="134">
        <f ca="1">P3-P4</f>
        <v>7638</v>
      </c>
      <c r="Q5" s="134">
        <f ca="1">Q3-Q4</f>
        <v>7638</v>
      </c>
      <c r="R5" s="92">
        <f ca="1">ROUND(O5/10,0)</f>
        <v>764</v>
      </c>
      <c r="S5" s="92">
        <f ca="1">ROUND(R5,-LEN(R5)+1)</f>
        <v>800</v>
      </c>
      <c r="T5" s="92" t="b">
        <f t="shared" ca="1" si="5"/>
        <v>1</v>
      </c>
      <c r="U5" s="92" t="b">
        <f t="shared" ca="1" si="6"/>
        <v>1</v>
      </c>
      <c r="AB5" s="82">
        <f t="shared" ca="1" si="7"/>
        <v>0.81910967798033119</v>
      </c>
      <c r="AC5" s="95">
        <v>3</v>
      </c>
      <c r="AD5" s="95">
        <v>3</v>
      </c>
      <c r="AE5" s="95">
        <f t="shared" ca="1" si="13"/>
        <v>147</v>
      </c>
      <c r="AF5" s="117">
        <f t="shared" ca="1" si="14"/>
        <v>14.049277775095222</v>
      </c>
      <c r="AG5" s="82">
        <f t="shared" ca="1" si="15"/>
        <v>2065</v>
      </c>
      <c r="AH5" s="82"/>
      <c r="AI5" s="83"/>
      <c r="AJ5" s="82"/>
      <c r="AK5" s="82"/>
    </row>
    <row r="6" spans="1:37" ht="16.5" x14ac:dyDescent="0.3">
      <c r="A6" s="37">
        <v>4</v>
      </c>
      <c r="B6" s="107">
        <f t="shared" ca="1" si="2"/>
        <v>5108</v>
      </c>
      <c r="C6" s="108">
        <f t="shared" ca="1" si="8"/>
        <v>2065</v>
      </c>
      <c r="D6" s="109">
        <f t="shared" ca="1" si="9"/>
        <v>2312</v>
      </c>
      <c r="E6" s="110"/>
      <c r="F6" s="111" t="str">
        <f t="shared" ca="1" si="3"/>
        <v>4000 - 4800</v>
      </c>
      <c r="G6" s="112">
        <f t="shared" ca="1" si="10"/>
        <v>4000</v>
      </c>
      <c r="H6" s="113">
        <f t="shared" ca="1" si="11"/>
        <v>4800</v>
      </c>
      <c r="I6" s="114">
        <f t="shared" ca="1" si="4"/>
        <v>38</v>
      </c>
      <c r="J6" s="114">
        <f t="shared" ca="1" si="12"/>
        <v>10</v>
      </c>
      <c r="K6" s="115">
        <f t="shared" ca="1" si="0"/>
        <v>0.13333333333333333</v>
      </c>
      <c r="L6" s="116">
        <f t="shared" ca="1" si="1"/>
        <v>0.50666666666666671</v>
      </c>
      <c r="N6" s="131" t="s">
        <v>18</v>
      </c>
      <c r="O6" s="128">
        <f ca="1">_xlfn.STDEV.S(B$3:B$77)</f>
        <v>1730.071532968851</v>
      </c>
      <c r="P6" s="134">
        <f ca="1">_xlfn.STDEV.S(C$3:C$77)</f>
        <v>1730.071532968851</v>
      </c>
      <c r="Q6" s="134">
        <f ca="1">_xlfn.STDEV.S(D$3:D$77)</f>
        <v>1730.071532968851</v>
      </c>
      <c r="T6" s="92" t="b">
        <f t="shared" ca="1" si="5"/>
        <v>1</v>
      </c>
      <c r="U6" s="92" t="b">
        <f t="shared" ca="1" si="6"/>
        <v>1</v>
      </c>
      <c r="AB6" s="82">
        <f t="shared" ca="1" si="7"/>
        <v>0.35015800086914228</v>
      </c>
      <c r="AC6" s="95">
        <v>4</v>
      </c>
      <c r="AD6" s="95">
        <v>4</v>
      </c>
      <c r="AE6" s="95">
        <f t="shared" ca="1" si="13"/>
        <v>152</v>
      </c>
      <c r="AF6" s="117">
        <f t="shared" ca="1" si="14"/>
        <v>15.209722686206053</v>
      </c>
      <c r="AG6" s="82">
        <f t="shared" ca="1" si="15"/>
        <v>2312</v>
      </c>
      <c r="AH6" s="82"/>
      <c r="AI6" s="83"/>
      <c r="AJ6" s="82"/>
      <c r="AK6" s="82"/>
    </row>
    <row r="7" spans="1:37" ht="16.5" x14ac:dyDescent="0.3">
      <c r="A7" s="37">
        <v>5</v>
      </c>
      <c r="B7" s="107">
        <f t="shared" ca="1" si="2"/>
        <v>6667</v>
      </c>
      <c r="C7" s="108">
        <f t="shared" ca="1" si="8"/>
        <v>2281</v>
      </c>
      <c r="D7" s="109">
        <f t="shared" ca="1" si="9"/>
        <v>2731</v>
      </c>
      <c r="E7" s="110"/>
      <c r="F7" s="111" t="str">
        <f t="shared" ca="1" si="3"/>
        <v>4800 - 5600</v>
      </c>
      <c r="G7" s="112">
        <f t="shared" ca="1" si="10"/>
        <v>4800</v>
      </c>
      <c r="H7" s="113">
        <f t="shared" ca="1" si="11"/>
        <v>5600</v>
      </c>
      <c r="I7" s="114">
        <f t="shared" ca="1" si="4"/>
        <v>47</v>
      </c>
      <c r="J7" s="114">
        <f t="shared" ca="1" si="12"/>
        <v>9</v>
      </c>
      <c r="K7" s="115">
        <f t="shared" ca="1" si="0"/>
        <v>0.12</v>
      </c>
      <c r="L7" s="116">
        <f t="shared" ca="1" si="1"/>
        <v>0.62666666666666671</v>
      </c>
      <c r="N7" s="131" t="s">
        <v>19</v>
      </c>
      <c r="O7" s="128">
        <f ca="1">O6/O2</f>
        <v>0.36459094439245454</v>
      </c>
      <c r="P7" s="134">
        <f ca="1">P6/P2</f>
        <v>0.36459094439245454</v>
      </c>
      <c r="Q7" s="134">
        <f ca="1">Q6/Q2</f>
        <v>0.36459094439245454</v>
      </c>
      <c r="T7" s="92" t="b">
        <f t="shared" ca="1" si="5"/>
        <v>1</v>
      </c>
      <c r="U7" s="92" t="b">
        <f t="shared" ca="1" si="6"/>
        <v>1</v>
      </c>
      <c r="AB7" s="82">
        <f t="shared" ca="1" si="7"/>
        <v>0.25712198966875011</v>
      </c>
      <c r="AC7" s="95">
        <v>5</v>
      </c>
      <c r="AD7" s="95">
        <v>5</v>
      </c>
      <c r="AE7" s="95">
        <f t="shared" ca="1" si="13"/>
        <v>157</v>
      </c>
      <c r="AF7" s="117">
        <f t="shared" ca="1" si="14"/>
        <v>17.396805345179494</v>
      </c>
      <c r="AG7" s="82">
        <f t="shared" ca="1" si="15"/>
        <v>2731</v>
      </c>
      <c r="AH7" s="82"/>
      <c r="AI7" s="83"/>
      <c r="AJ7" s="82"/>
      <c r="AK7" s="82"/>
    </row>
    <row r="8" spans="1:37" ht="16.5" x14ac:dyDescent="0.3">
      <c r="A8" s="37">
        <v>6</v>
      </c>
      <c r="B8" s="107">
        <f t="shared" ca="1" si="2"/>
        <v>3865</v>
      </c>
      <c r="C8" s="108">
        <f t="shared" ca="1" si="8"/>
        <v>2312</v>
      </c>
      <c r="D8" s="109">
        <f t="shared" ca="1" si="9"/>
        <v>1950</v>
      </c>
      <c r="E8" s="110"/>
      <c r="F8" s="111" t="str">
        <f t="shared" ca="1" si="3"/>
        <v>5600 - 6400</v>
      </c>
      <c r="G8" s="112">
        <f t="shared" ca="1" si="10"/>
        <v>5600</v>
      </c>
      <c r="H8" s="113">
        <f t="shared" ca="1" si="11"/>
        <v>6400</v>
      </c>
      <c r="I8" s="114">
        <f t="shared" ca="1" si="4"/>
        <v>62</v>
      </c>
      <c r="J8" s="114">
        <f t="shared" ca="1" si="12"/>
        <v>15</v>
      </c>
      <c r="K8" s="115">
        <f t="shared" ca="1" si="0"/>
        <v>0.2</v>
      </c>
      <c r="L8" s="116">
        <f t="shared" ca="1" si="1"/>
        <v>0.82666666666666666</v>
      </c>
      <c r="N8" s="131" t="s">
        <v>58</v>
      </c>
      <c r="O8" s="128">
        <f ca="1">O5/O2</f>
        <v>1.6096130016606116</v>
      </c>
      <c r="P8" s="134">
        <f ca="1">P5/P2</f>
        <v>1.6096130016606116</v>
      </c>
      <c r="Q8" s="134">
        <f ca="1">Q5/Q2</f>
        <v>1.6096130016606116</v>
      </c>
      <c r="T8" s="92" t="b">
        <f t="shared" ca="1" si="5"/>
        <v>1</v>
      </c>
      <c r="U8" s="92" t="b">
        <f t="shared" ca="1" si="6"/>
        <v>1</v>
      </c>
      <c r="AB8" s="82">
        <f t="shared" ca="1" si="7"/>
        <v>0.52412020890646527</v>
      </c>
      <c r="AC8" s="95">
        <v>6</v>
      </c>
      <c r="AD8" s="95">
        <v>6</v>
      </c>
      <c r="AE8" s="95">
        <f t="shared" ca="1" si="13"/>
        <v>162</v>
      </c>
      <c r="AF8" s="117">
        <f t="shared" ca="1" si="14"/>
        <v>12.03975602961405</v>
      </c>
      <c r="AG8" s="82">
        <f t="shared" ca="1" si="15"/>
        <v>1950</v>
      </c>
      <c r="AH8" s="82"/>
      <c r="AI8" s="83"/>
      <c r="AJ8" s="82"/>
      <c r="AK8" s="82"/>
    </row>
    <row r="9" spans="1:37" ht="17.25" thickBot="1" x14ac:dyDescent="0.35">
      <c r="A9" s="37">
        <v>7</v>
      </c>
      <c r="B9" s="107">
        <f t="shared" ca="1" si="2"/>
        <v>6343</v>
      </c>
      <c r="C9" s="108">
        <f t="shared" ca="1" si="8"/>
        <v>2487</v>
      </c>
      <c r="D9" s="109">
        <f t="shared" ca="1" si="9"/>
        <v>2281</v>
      </c>
      <c r="E9" s="110"/>
      <c r="F9" s="111" t="str">
        <f t="shared" ca="1" si="3"/>
        <v>6400 - 7200</v>
      </c>
      <c r="G9" s="112">
        <f t="shared" ca="1" si="10"/>
        <v>6400</v>
      </c>
      <c r="H9" s="113">
        <f t="shared" ca="1" si="11"/>
        <v>7200</v>
      </c>
      <c r="I9" s="114">
        <f t="shared" ca="1" si="4"/>
        <v>70</v>
      </c>
      <c r="J9" s="114">
        <f t="shared" ca="1" si="12"/>
        <v>8</v>
      </c>
      <c r="K9" s="115">
        <f t="shared" ca="1" si="0"/>
        <v>0.10666666666666667</v>
      </c>
      <c r="L9" s="116">
        <f t="shared" ca="1" si="1"/>
        <v>0.93333333333333335</v>
      </c>
      <c r="N9" s="132" t="s">
        <v>21</v>
      </c>
      <c r="O9" s="129">
        <f ca="1">SKEW(B$3:B$77)</f>
        <v>0.20741185548703359</v>
      </c>
      <c r="P9" s="135">
        <f ca="1">SKEW(C$3:C$77)</f>
        <v>0.2074118554870335</v>
      </c>
      <c r="Q9" s="135">
        <f ca="1">SKEW(D$3:D$77)</f>
        <v>0.20741185548703353</v>
      </c>
      <c r="T9" s="92" t="b">
        <f ca="1">O9=P9</f>
        <v>1</v>
      </c>
      <c r="U9" s="92" t="b">
        <f t="shared" ca="1" si="6"/>
        <v>1</v>
      </c>
      <c r="AB9" s="82">
        <f t="shared" ca="1" si="7"/>
        <v>0.30560427126383505</v>
      </c>
      <c r="AC9" s="95">
        <v>8</v>
      </c>
      <c r="AD9" s="95">
        <v>7</v>
      </c>
      <c r="AE9" s="95">
        <f t="shared" ca="1" si="13"/>
        <v>167</v>
      </c>
      <c r="AF9" s="117">
        <f t="shared" ca="1" si="14"/>
        <v>13.657816129445617</v>
      </c>
      <c r="AG9" s="82">
        <f t="shared" ca="1" si="15"/>
        <v>2281</v>
      </c>
      <c r="AH9" s="82"/>
      <c r="AI9" s="83"/>
      <c r="AJ9" s="82"/>
      <c r="AK9" s="82"/>
    </row>
    <row r="10" spans="1:37" ht="16.5" x14ac:dyDescent="0.3">
      <c r="A10" s="37">
        <v>8</v>
      </c>
      <c r="B10" s="107">
        <f t="shared" ca="1" si="2"/>
        <v>7360</v>
      </c>
      <c r="C10" s="108">
        <f t="shared" ca="1" si="8"/>
        <v>2348</v>
      </c>
      <c r="D10" s="109">
        <f t="shared" ca="1" si="9"/>
        <v>2697</v>
      </c>
      <c r="E10" s="110"/>
      <c r="F10" s="111" t="str">
        <f t="shared" ca="1" si="3"/>
        <v>7200 - 8000</v>
      </c>
      <c r="G10" s="112">
        <f t="shared" ca="1" si="10"/>
        <v>7200</v>
      </c>
      <c r="H10" s="113">
        <f t="shared" ca="1" si="11"/>
        <v>8000</v>
      </c>
      <c r="I10" s="114">
        <f t="shared" ca="1" si="4"/>
        <v>72</v>
      </c>
      <c r="J10" s="114">
        <f t="shared" ca="1" si="12"/>
        <v>2</v>
      </c>
      <c r="K10" s="115">
        <f t="shared" ca="1" si="0"/>
        <v>2.6666666666666668E-2</v>
      </c>
      <c r="L10" s="116">
        <f t="shared" ca="1" si="1"/>
        <v>0.96</v>
      </c>
      <c r="AB10" s="82">
        <f t="shared" ca="1" si="7"/>
        <v>0.20741006672879825</v>
      </c>
      <c r="AC10" s="95">
        <v>7</v>
      </c>
      <c r="AD10" s="95">
        <v>8</v>
      </c>
      <c r="AE10" s="95">
        <f ca="1">INT($AH$1+$AI$1*AD10)</f>
        <v>172</v>
      </c>
      <c r="AF10" s="117">
        <f t="shared" ca="1" si="14"/>
        <v>15.678053883711462</v>
      </c>
      <c r="AG10" s="82">
        <f t="shared" ca="1" si="15"/>
        <v>2697</v>
      </c>
      <c r="AH10" s="82"/>
      <c r="AI10" s="83"/>
      <c r="AJ10" s="82"/>
      <c r="AK10" s="82"/>
    </row>
    <row r="11" spans="1:37" ht="16.5" x14ac:dyDescent="0.3">
      <c r="A11" s="37">
        <v>9</v>
      </c>
      <c r="B11" s="107">
        <f t="shared" ca="1" si="2"/>
        <v>5014</v>
      </c>
      <c r="C11" s="108">
        <f t="shared" ca="1" si="8"/>
        <v>2731</v>
      </c>
      <c r="D11" s="109">
        <f t="shared" ca="1" si="9"/>
        <v>2928</v>
      </c>
      <c r="E11" s="110"/>
      <c r="F11" s="111" t="str">
        <f t="shared" ca="1" si="3"/>
        <v>8000 - 8800</v>
      </c>
      <c r="G11" s="112">
        <f t="shared" ca="1" si="10"/>
        <v>8000</v>
      </c>
      <c r="H11" s="113">
        <f t="shared" ca="1" si="11"/>
        <v>8800</v>
      </c>
      <c r="I11" s="114">
        <f t="shared" ca="1" si="4"/>
        <v>74</v>
      </c>
      <c r="J11" s="114">
        <f t="shared" ca="1" si="12"/>
        <v>2</v>
      </c>
      <c r="K11" s="115">
        <f t="shared" ca="1" si="0"/>
        <v>2.6666666666666668E-2</v>
      </c>
      <c r="L11" s="116">
        <f t="shared" ca="1" si="1"/>
        <v>0.98666666666666669</v>
      </c>
      <c r="AB11" s="82">
        <f t="shared" ca="1" si="7"/>
        <v>0.28170385006456278</v>
      </c>
      <c r="AC11" s="95">
        <v>12</v>
      </c>
      <c r="AD11" s="95">
        <v>9</v>
      </c>
      <c r="AE11" s="95">
        <f t="shared" ca="1" si="13"/>
        <v>177</v>
      </c>
      <c r="AF11" s="117">
        <f t="shared" ca="1" si="14"/>
        <v>16.540969991490858</v>
      </c>
      <c r="AG11" s="82">
        <f t="shared" ca="1" si="15"/>
        <v>2928</v>
      </c>
      <c r="AH11" s="82"/>
      <c r="AI11" s="83"/>
      <c r="AJ11" s="82"/>
      <c r="AK11" s="82"/>
    </row>
    <row r="12" spans="1:37" ht="16.5" x14ac:dyDescent="0.3">
      <c r="A12" s="37">
        <v>10</v>
      </c>
      <c r="B12" s="107">
        <f t="shared" ca="1" si="2"/>
        <v>5041</v>
      </c>
      <c r="C12" s="108">
        <f t="shared" ca="1" si="8"/>
        <v>2521</v>
      </c>
      <c r="D12" s="109">
        <f t="shared" ca="1" si="9"/>
        <v>3003</v>
      </c>
      <c r="E12" s="110"/>
      <c r="F12" s="111" t="str">
        <f t="shared" ca="1" si="3"/>
        <v>8800 - 9600</v>
      </c>
      <c r="G12" s="112">
        <f t="shared" ca="1" si="10"/>
        <v>8800</v>
      </c>
      <c r="H12" s="113">
        <f t="shared" ca="1" si="11"/>
        <v>9600</v>
      </c>
      <c r="I12" s="114">
        <f t="shared" ca="1" si="4"/>
        <v>75</v>
      </c>
      <c r="J12" s="114">
        <f t="shared" ca="1" si="12"/>
        <v>1</v>
      </c>
      <c r="K12" s="115">
        <f t="shared" ca="1" si="0"/>
        <v>1.3333333333333334E-2</v>
      </c>
      <c r="L12" s="116">
        <f t="shared" ca="1" si="1"/>
        <v>1</v>
      </c>
      <c r="AB12" s="82">
        <f t="shared" ca="1" si="7"/>
        <v>0.2923113821807013</v>
      </c>
      <c r="AC12" s="95">
        <v>9</v>
      </c>
      <c r="AD12" s="95">
        <v>10</v>
      </c>
      <c r="AE12" s="95">
        <f t="shared" ca="1" si="13"/>
        <v>182</v>
      </c>
      <c r="AF12" s="117">
        <f t="shared" ca="1" si="14"/>
        <v>16.497360328790588</v>
      </c>
      <c r="AG12" s="82">
        <f t="shared" ca="1" si="15"/>
        <v>3003</v>
      </c>
      <c r="AH12" s="82"/>
      <c r="AI12" s="83"/>
      <c r="AJ12" s="82"/>
      <c r="AK12" s="82"/>
    </row>
    <row r="13" spans="1:37" ht="16.5" x14ac:dyDescent="0.3">
      <c r="A13" s="37">
        <v>11</v>
      </c>
      <c r="B13" s="107">
        <f t="shared" ca="1" si="2"/>
        <v>3432</v>
      </c>
      <c r="C13" s="108">
        <f t="shared" ca="1" si="8"/>
        <v>2526</v>
      </c>
      <c r="D13" s="109">
        <f t="shared" ca="1" si="9"/>
        <v>2348</v>
      </c>
      <c r="E13" s="110"/>
      <c r="F13" s="111" t="str">
        <f t="shared" ca="1" si="3"/>
        <v>9600 - 10400</v>
      </c>
      <c r="G13" s="112">
        <f t="shared" ca="1" si="10"/>
        <v>9600</v>
      </c>
      <c r="H13" s="113">
        <f t="shared" ca="1" si="11"/>
        <v>10400</v>
      </c>
      <c r="I13" s="114">
        <f t="shared" ca="1" si="4"/>
        <v>75</v>
      </c>
      <c r="J13" s="114">
        <f t="shared" ca="1" si="12"/>
        <v>0</v>
      </c>
      <c r="K13" s="115">
        <f t="shared" ca="1" si="0"/>
        <v>0</v>
      </c>
      <c r="L13" s="116">
        <f t="shared" ca="1" si="1"/>
        <v>1</v>
      </c>
      <c r="AB13" s="82">
        <f t="shared" ca="1" si="7"/>
        <v>0.63520851240051224</v>
      </c>
      <c r="AC13" s="95">
        <v>10</v>
      </c>
      <c r="AD13" s="95">
        <v>11</v>
      </c>
      <c r="AE13" s="95">
        <f t="shared" ca="1" si="13"/>
        <v>187</v>
      </c>
      <c r="AF13" s="117">
        <f t="shared" ca="1" si="14"/>
        <v>12.558659788113314</v>
      </c>
      <c r="AG13" s="82">
        <f t="shared" ca="1" si="15"/>
        <v>2348</v>
      </c>
      <c r="AH13" s="82"/>
      <c r="AI13" s="83"/>
      <c r="AJ13" s="82"/>
      <c r="AK13" s="82"/>
    </row>
    <row r="14" spans="1:37" ht="17.25" thickBot="1" x14ac:dyDescent="0.35">
      <c r="A14" s="37">
        <v>12</v>
      </c>
      <c r="B14" s="107">
        <f t="shared" ca="1" si="2"/>
        <v>6361</v>
      </c>
      <c r="C14" s="108">
        <f t="shared" ca="1" si="8"/>
        <v>2697</v>
      </c>
      <c r="D14" s="109">
        <f t="shared" ca="1" si="9"/>
        <v>2753</v>
      </c>
      <c r="E14" s="110"/>
      <c r="F14" s="118" t="str">
        <f t="shared" ca="1" si="3"/>
        <v>10400 - 11200</v>
      </c>
      <c r="G14" s="119">
        <f ca="1">H13</f>
        <v>10400</v>
      </c>
      <c r="H14" s="120">
        <f t="shared" ca="1" si="11"/>
        <v>11200</v>
      </c>
      <c r="I14" s="121">
        <f t="shared" ca="1" si="4"/>
        <v>75</v>
      </c>
      <c r="J14" s="121">
        <f t="shared" ca="1" si="12"/>
        <v>0</v>
      </c>
      <c r="K14" s="122">
        <f t="shared" ca="1" si="0"/>
        <v>0</v>
      </c>
      <c r="L14" s="123">
        <f t="shared" ca="1" si="1"/>
        <v>1</v>
      </c>
      <c r="AB14" s="82">
        <f t="shared" ca="1" si="7"/>
        <v>7.927903036518158E-2</v>
      </c>
      <c r="AC14" s="95">
        <v>11</v>
      </c>
      <c r="AD14" s="95">
        <v>12</v>
      </c>
      <c r="AE14" s="95">
        <f t="shared" ca="1" si="13"/>
        <v>192</v>
      </c>
      <c r="AF14" s="117">
        <f t="shared" ca="1" si="14"/>
        <v>14.337262888414347</v>
      </c>
      <c r="AG14" s="82">
        <f t="shared" ca="1" si="15"/>
        <v>2753</v>
      </c>
      <c r="AH14" s="82"/>
      <c r="AI14" s="83"/>
      <c r="AJ14" s="82"/>
      <c r="AK14" s="82"/>
    </row>
    <row r="15" spans="1:37" ht="16.5" x14ac:dyDescent="0.3">
      <c r="A15" s="37">
        <v>13</v>
      </c>
      <c r="B15" s="107">
        <f t="shared" ca="1" si="2"/>
        <v>2928</v>
      </c>
      <c r="C15" s="108">
        <f t="shared" ca="1" si="8"/>
        <v>2928</v>
      </c>
      <c r="D15" s="109">
        <f t="shared" ca="1" si="9"/>
        <v>3162</v>
      </c>
      <c r="E15" s="110"/>
      <c r="F15" s="124"/>
      <c r="G15" s="114"/>
      <c r="H15" s="114"/>
      <c r="I15" s="114"/>
      <c r="J15" s="114">
        <f ca="1">SUM(J2:J14)</f>
        <v>75</v>
      </c>
      <c r="K15" s="115">
        <f ca="1">SUM(K2:K14)</f>
        <v>0.99999999999999989</v>
      </c>
      <c r="L15" s="115"/>
      <c r="AB15" s="82">
        <f t="shared" ca="1" si="7"/>
        <v>0.84723655206997206</v>
      </c>
      <c r="AC15" s="95">
        <v>14</v>
      </c>
      <c r="AD15" s="95">
        <v>13</v>
      </c>
      <c r="AE15" s="95">
        <f t="shared" ca="1" si="13"/>
        <v>197</v>
      </c>
      <c r="AF15" s="117">
        <f t="shared" ca="1" si="14"/>
        <v>16.051441752452813</v>
      </c>
      <c r="AG15" s="82">
        <f t="shared" ca="1" si="15"/>
        <v>3162</v>
      </c>
      <c r="AH15" s="82"/>
      <c r="AI15" s="83"/>
      <c r="AJ15" s="82"/>
      <c r="AK15" s="82"/>
    </row>
    <row r="16" spans="1:37" ht="16.5" x14ac:dyDescent="0.3">
      <c r="A16" s="37">
        <v>14</v>
      </c>
      <c r="B16" s="107">
        <f t="shared" ca="1" si="2"/>
        <v>7031</v>
      </c>
      <c r="C16" s="108">
        <f t="shared" ca="1" si="8"/>
        <v>3162</v>
      </c>
      <c r="D16" s="109">
        <f t="shared" ca="1" si="9"/>
        <v>3290</v>
      </c>
      <c r="E16" s="110"/>
      <c r="F16" s="125"/>
      <c r="G16" s="125"/>
      <c r="H16" s="125"/>
      <c r="I16" s="125"/>
      <c r="L16" s="125"/>
      <c r="AB16" s="82">
        <f t="shared" ca="1" si="7"/>
        <v>6.3557574443666942E-2</v>
      </c>
      <c r="AC16" s="95">
        <v>16</v>
      </c>
      <c r="AD16" s="95">
        <v>14</v>
      </c>
      <c r="AE16" s="95">
        <f t="shared" ca="1" si="13"/>
        <v>202</v>
      </c>
      <c r="AF16" s="117">
        <f t="shared" ca="1" si="14"/>
        <v>16.286162617934778</v>
      </c>
      <c r="AG16" s="82">
        <f t="shared" ca="1" si="15"/>
        <v>3290</v>
      </c>
      <c r="AH16" s="82"/>
      <c r="AI16" s="83"/>
      <c r="AJ16" s="82"/>
      <c r="AK16" s="82"/>
    </row>
    <row r="17" spans="1:37" ht="16.5" x14ac:dyDescent="0.3">
      <c r="A17" s="37">
        <v>15</v>
      </c>
      <c r="B17" s="107">
        <f t="shared" ca="1" si="2"/>
        <v>3737</v>
      </c>
      <c r="C17" s="108">
        <f t="shared" ca="1" si="8"/>
        <v>3308</v>
      </c>
      <c r="D17" s="109">
        <f t="shared" ca="1" si="9"/>
        <v>3308</v>
      </c>
      <c r="E17" s="110"/>
      <c r="J17" s="126"/>
      <c r="K17" s="126"/>
      <c r="AB17" s="82">
        <f t="shared" ca="1" si="7"/>
        <v>0.60540448988318474</v>
      </c>
      <c r="AC17" s="95">
        <v>18</v>
      </c>
      <c r="AD17" s="95">
        <v>15</v>
      </c>
      <c r="AE17" s="95">
        <f t="shared" ca="1" si="13"/>
        <v>207</v>
      </c>
      <c r="AF17" s="117">
        <f t="shared" ca="1" si="14"/>
        <v>15.980126324376394</v>
      </c>
      <c r="AG17" s="82">
        <f t="shared" ca="1" si="15"/>
        <v>3308</v>
      </c>
      <c r="AH17" s="82"/>
      <c r="AI17" s="83"/>
      <c r="AJ17" s="82"/>
      <c r="AK17" s="82"/>
    </row>
    <row r="18" spans="1:37" ht="16.5" x14ac:dyDescent="0.3">
      <c r="A18" s="37">
        <v>16</v>
      </c>
      <c r="B18" s="107">
        <f t="shared" ca="1" si="2"/>
        <v>4800</v>
      </c>
      <c r="C18" s="108">
        <f t="shared" ca="1" si="8"/>
        <v>2753</v>
      </c>
      <c r="D18" s="109">
        <f t="shared" ca="1" si="9"/>
        <v>2526</v>
      </c>
      <c r="E18" s="110"/>
      <c r="AB18" s="82">
        <f t="shared" ca="1" si="7"/>
        <v>0.49347252441583433</v>
      </c>
      <c r="AC18" s="95">
        <v>13</v>
      </c>
      <c r="AD18" s="95">
        <v>16</v>
      </c>
      <c r="AE18" s="95">
        <f t="shared" ca="1" si="13"/>
        <v>212</v>
      </c>
      <c r="AF18" s="117">
        <f t="shared" ca="1" si="14"/>
        <v>11.913751363422014</v>
      </c>
      <c r="AG18" s="82">
        <f t="shared" ca="1" si="15"/>
        <v>2526</v>
      </c>
      <c r="AH18" s="82"/>
      <c r="AI18" s="83"/>
      <c r="AJ18" s="82"/>
      <c r="AK18" s="82"/>
    </row>
    <row r="19" spans="1:37" ht="16.5" x14ac:dyDescent="0.3">
      <c r="A19" s="37">
        <v>17</v>
      </c>
      <c r="B19" s="107">
        <f t="shared" ca="1" si="2"/>
        <v>6399</v>
      </c>
      <c r="C19" s="108">
        <f t="shared" ca="1" si="8"/>
        <v>3290</v>
      </c>
      <c r="D19" s="109">
        <f t="shared" ca="1" si="9"/>
        <v>2521</v>
      </c>
      <c r="E19" s="110"/>
      <c r="AB19" s="82">
        <f t="shared" ca="1" si="7"/>
        <v>0.23938624145781617</v>
      </c>
      <c r="AC19" s="95">
        <v>17</v>
      </c>
      <c r="AD19" s="95">
        <v>17</v>
      </c>
      <c r="AE19" s="95">
        <f t="shared" ca="1" si="13"/>
        <v>217</v>
      </c>
      <c r="AF19" s="117">
        <f t="shared" ca="1" si="14"/>
        <v>11.618847616788191</v>
      </c>
      <c r="AG19" s="82">
        <f t="shared" ca="1" si="15"/>
        <v>2521</v>
      </c>
      <c r="AH19" s="82"/>
      <c r="AI19" s="83"/>
      <c r="AJ19" s="82"/>
      <c r="AK19" s="82"/>
    </row>
    <row r="20" spans="1:37" ht="16.5" x14ac:dyDescent="0.3">
      <c r="A20" s="37">
        <v>18</v>
      </c>
      <c r="B20" s="107">
        <f t="shared" ca="1" si="2"/>
        <v>6768</v>
      </c>
      <c r="C20" s="108">
        <f t="shared" ca="1" si="8"/>
        <v>3003</v>
      </c>
      <c r="D20" s="109">
        <f t="shared" ca="1" si="9"/>
        <v>3415</v>
      </c>
      <c r="E20" s="110"/>
      <c r="AB20" s="82">
        <f t="shared" ca="1" si="7"/>
        <v>7.2820361864471828E-3</v>
      </c>
      <c r="AC20" s="95">
        <v>15</v>
      </c>
      <c r="AD20" s="95">
        <v>18</v>
      </c>
      <c r="AE20" s="95">
        <f t="shared" ca="1" si="13"/>
        <v>222</v>
      </c>
      <c r="AF20" s="117">
        <f t="shared" ca="1" si="14"/>
        <v>15.383578507071109</v>
      </c>
      <c r="AG20" s="82">
        <f t="shared" ca="1" si="15"/>
        <v>3415</v>
      </c>
      <c r="AH20" s="82"/>
      <c r="AI20" s="83"/>
      <c r="AJ20" s="82"/>
      <c r="AK20" s="82"/>
    </row>
    <row r="21" spans="1:37" ht="16.5" x14ac:dyDescent="0.3">
      <c r="A21" s="37">
        <v>19</v>
      </c>
      <c r="B21" s="107">
        <f t="shared" ca="1" si="2"/>
        <v>2348</v>
      </c>
      <c r="C21" s="108">
        <f t="shared" ca="1" si="8"/>
        <v>3415</v>
      </c>
      <c r="D21" s="109">
        <f t="shared" ca="1" si="9"/>
        <v>3543</v>
      </c>
      <c r="E21" s="110"/>
      <c r="AB21" s="82">
        <f t="shared" ca="1" si="7"/>
        <v>0.84103680744996523</v>
      </c>
      <c r="AC21" s="95">
        <v>19</v>
      </c>
      <c r="AD21" s="95">
        <v>19</v>
      </c>
      <c r="AE21" s="95">
        <f t="shared" ca="1" si="13"/>
        <v>227</v>
      </c>
      <c r="AF21" s="117">
        <f t="shared" ca="1" si="14"/>
        <v>15.605756859497513</v>
      </c>
      <c r="AG21" s="82">
        <f t="shared" ca="1" si="15"/>
        <v>3543</v>
      </c>
      <c r="AH21" s="82"/>
      <c r="AI21" s="83"/>
      <c r="AJ21" s="82"/>
      <c r="AK21" s="82"/>
    </row>
    <row r="22" spans="1:37" ht="16.5" x14ac:dyDescent="0.3">
      <c r="A22" s="37">
        <v>20</v>
      </c>
      <c r="B22" s="107">
        <f t="shared" ca="1" si="2"/>
        <v>3526</v>
      </c>
      <c r="C22" s="108">
        <f t="shared" ca="1" si="8"/>
        <v>3432</v>
      </c>
      <c r="D22" s="109">
        <f t="shared" ca="1" si="9"/>
        <v>3660</v>
      </c>
      <c r="E22" s="110"/>
      <c r="AB22" s="82">
        <f t="shared" ca="1" si="7"/>
        <v>0.68360012970224759</v>
      </c>
      <c r="AC22" s="95">
        <v>20</v>
      </c>
      <c r="AD22" s="95">
        <v>20</v>
      </c>
      <c r="AE22" s="95">
        <f t="shared" ca="1" si="13"/>
        <v>232</v>
      </c>
      <c r="AF22" s="117">
        <f t="shared" ca="1" si="14"/>
        <v>15.775532537731756</v>
      </c>
      <c r="AG22" s="82">
        <f t="shared" ca="1" si="15"/>
        <v>3660</v>
      </c>
      <c r="AH22" s="82"/>
      <c r="AI22" s="83"/>
      <c r="AJ22" s="82"/>
      <c r="AK22" s="82"/>
    </row>
    <row r="23" spans="1:37" ht="16.5" x14ac:dyDescent="0.3">
      <c r="A23" s="37">
        <v>21</v>
      </c>
      <c r="B23" s="107">
        <f t="shared" ca="1" si="2"/>
        <v>7119</v>
      </c>
      <c r="C23" s="108">
        <f t="shared" ca="1" si="8"/>
        <v>3629</v>
      </c>
      <c r="D23" s="109">
        <f t="shared" ca="1" si="9"/>
        <v>2487</v>
      </c>
      <c r="E23" s="110"/>
      <c r="AB23" s="82">
        <f t="shared" ca="1" si="7"/>
        <v>9.8430888625455459E-2</v>
      </c>
      <c r="AC23" s="95">
        <v>24</v>
      </c>
      <c r="AD23" s="95">
        <v>21</v>
      </c>
      <c r="AE23" s="95">
        <f t="shared" ca="1" si="13"/>
        <v>237</v>
      </c>
      <c r="AF23" s="117">
        <f t="shared" ca="1" si="14"/>
        <v>10.49252029201714</v>
      </c>
      <c r="AG23" s="82">
        <f t="shared" ca="1" si="15"/>
        <v>2487</v>
      </c>
      <c r="AH23" s="82"/>
      <c r="AI23" s="83"/>
      <c r="AJ23" s="82"/>
      <c r="AK23" s="82"/>
    </row>
    <row r="24" spans="1:37" ht="16.5" x14ac:dyDescent="0.3">
      <c r="A24" s="37">
        <v>22</v>
      </c>
      <c r="B24" s="107">
        <f t="shared" ca="1" si="2"/>
        <v>4664</v>
      </c>
      <c r="C24" s="108">
        <f t="shared" ca="1" si="8"/>
        <v>3526</v>
      </c>
      <c r="D24" s="109">
        <f t="shared" ca="1" si="9"/>
        <v>3526</v>
      </c>
      <c r="E24" s="110"/>
      <c r="AB24" s="82">
        <f t="shared" ca="1" si="7"/>
        <v>0.64907619465425082</v>
      </c>
      <c r="AC24" s="95">
        <v>22</v>
      </c>
      <c r="AD24" s="95">
        <v>22</v>
      </c>
      <c r="AE24" s="95">
        <f t="shared" ca="1" si="13"/>
        <v>242</v>
      </c>
      <c r="AF24" s="117">
        <f t="shared" ca="1" si="14"/>
        <v>14.568678810402131</v>
      </c>
      <c r="AG24" s="82">
        <f t="shared" ca="1" si="15"/>
        <v>3526</v>
      </c>
      <c r="AH24" s="82"/>
      <c r="AI24" s="83"/>
      <c r="AJ24" s="82"/>
      <c r="AK24" s="82"/>
    </row>
    <row r="25" spans="1:37" ht="16.5" x14ac:dyDescent="0.3">
      <c r="A25" s="37">
        <v>23</v>
      </c>
      <c r="B25" s="107">
        <f t="shared" ca="1" si="2"/>
        <v>4397</v>
      </c>
      <c r="C25" s="108">
        <f t="shared" ca="1" si="8"/>
        <v>3543</v>
      </c>
      <c r="D25" s="109">
        <f t="shared" ca="1" si="9"/>
        <v>3760</v>
      </c>
      <c r="E25" s="110"/>
      <c r="AB25" s="82">
        <f t="shared" ca="1" si="7"/>
        <v>0.32658560670049075</v>
      </c>
      <c r="AC25" s="95">
        <v>23</v>
      </c>
      <c r="AD25" s="95">
        <v>23</v>
      </c>
      <c r="AE25" s="95">
        <f t="shared" ca="1" si="13"/>
        <v>247</v>
      </c>
      <c r="AF25" s="117">
        <f t="shared" ca="1" si="14"/>
        <v>15.224533022519287</v>
      </c>
      <c r="AG25" s="82">
        <f t="shared" ca="1" si="15"/>
        <v>3760</v>
      </c>
      <c r="AH25" s="82"/>
      <c r="AI25" s="83"/>
      <c r="AJ25" s="82"/>
      <c r="AK25" s="82"/>
    </row>
    <row r="26" spans="1:37" ht="16.5" x14ac:dyDescent="0.3">
      <c r="A26" s="37">
        <v>24</v>
      </c>
      <c r="B26" s="107">
        <f t="shared" ca="1" si="2"/>
        <v>6021</v>
      </c>
      <c r="C26" s="108">
        <f t="shared" ca="1" si="8"/>
        <v>3660</v>
      </c>
      <c r="D26" s="109">
        <f t="shared" ca="1" si="9"/>
        <v>4056</v>
      </c>
      <c r="E26" s="110"/>
      <c r="AB26" s="82">
        <f t="shared" ca="1" si="7"/>
        <v>2.6474675346324861E-2</v>
      </c>
      <c r="AC26" s="95">
        <v>25</v>
      </c>
      <c r="AD26" s="95">
        <v>24</v>
      </c>
      <c r="AE26" s="95">
        <f t="shared" ca="1" si="13"/>
        <v>252</v>
      </c>
      <c r="AF26" s="117">
        <f t="shared" ca="1" si="14"/>
        <v>16.096810497510262</v>
      </c>
      <c r="AG26" s="82">
        <f t="shared" ca="1" si="15"/>
        <v>4056</v>
      </c>
      <c r="AH26" s="82"/>
      <c r="AI26" s="83"/>
      <c r="AJ26" s="82"/>
      <c r="AK26" s="82"/>
    </row>
    <row r="27" spans="1:37" ht="16.5" x14ac:dyDescent="0.3">
      <c r="A27" s="37">
        <v>25</v>
      </c>
      <c r="B27" s="107">
        <f t="shared" ca="1" si="2"/>
        <v>5825</v>
      </c>
      <c r="C27" s="108">
        <f t="shared" ca="1" si="8"/>
        <v>3459</v>
      </c>
      <c r="D27" s="109">
        <f t="shared" ca="1" si="9"/>
        <v>4664</v>
      </c>
      <c r="E27" s="139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82">
        <f t="shared" ca="1" si="7"/>
        <v>0.11569670077321359</v>
      </c>
      <c r="AC27" s="95">
        <v>21</v>
      </c>
      <c r="AD27" s="95">
        <v>25</v>
      </c>
      <c r="AE27" s="95">
        <f t="shared" ca="1" si="13"/>
        <v>257</v>
      </c>
      <c r="AF27" s="117">
        <f t="shared" ca="1" si="14"/>
        <v>18.147851397420816</v>
      </c>
      <c r="AG27" s="82">
        <f t="shared" ca="1" si="15"/>
        <v>4664</v>
      </c>
      <c r="AH27" s="82"/>
      <c r="AI27" s="83"/>
      <c r="AJ27" s="82"/>
      <c r="AK27" s="82"/>
    </row>
    <row r="28" spans="1:37" ht="16.5" x14ac:dyDescent="0.3">
      <c r="A28" s="37">
        <v>26</v>
      </c>
      <c r="B28" s="107">
        <f t="shared" ca="1" si="2"/>
        <v>2697</v>
      </c>
      <c r="C28" s="108">
        <f t="shared" ca="1" si="8"/>
        <v>3760</v>
      </c>
      <c r="D28" s="109">
        <f t="shared" ca="1" si="9"/>
        <v>3459</v>
      </c>
      <c r="E28" s="139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82">
        <f t="shared" ca="1" si="7"/>
        <v>0.85980256286722501</v>
      </c>
      <c r="AC28" s="95">
        <v>27</v>
      </c>
      <c r="AD28" s="95">
        <v>26</v>
      </c>
      <c r="AE28" s="95">
        <f t="shared" ca="1" si="13"/>
        <v>262</v>
      </c>
      <c r="AF28" s="117">
        <f t="shared" ca="1" si="14"/>
        <v>13.201856972158346</v>
      </c>
      <c r="AG28" s="82">
        <f t="shared" ca="1" si="15"/>
        <v>3459</v>
      </c>
      <c r="AH28" s="82"/>
      <c r="AI28" s="83"/>
      <c r="AJ28" s="82"/>
      <c r="AK28" s="82"/>
    </row>
    <row r="29" spans="1:37" ht="16.5" x14ac:dyDescent="0.3">
      <c r="A29" s="37">
        <v>27</v>
      </c>
      <c r="B29" s="107">
        <f t="shared" ca="1" si="2"/>
        <v>6844</v>
      </c>
      <c r="C29" s="108">
        <f t="shared" ca="1" si="8"/>
        <v>3737</v>
      </c>
      <c r="D29" s="109">
        <f t="shared" ca="1" si="9"/>
        <v>3432</v>
      </c>
      <c r="E29" s="139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82">
        <f t="shared" ca="1" si="7"/>
        <v>0.2224103891578747</v>
      </c>
      <c r="AC29" s="95">
        <v>26</v>
      </c>
      <c r="AD29" s="95">
        <v>27</v>
      </c>
      <c r="AE29" s="95">
        <f t="shared" ca="1" si="13"/>
        <v>267</v>
      </c>
      <c r="AF29" s="117">
        <f t="shared" ca="1" si="14"/>
        <v>12.853078237908829</v>
      </c>
      <c r="AG29" s="82">
        <f t="shared" ca="1" si="15"/>
        <v>3432</v>
      </c>
      <c r="AH29" s="82"/>
      <c r="AI29" s="83"/>
      <c r="AJ29" s="82"/>
      <c r="AK29" s="82"/>
    </row>
    <row r="30" spans="1:37" ht="16.5" x14ac:dyDescent="0.3">
      <c r="A30" s="37">
        <v>28</v>
      </c>
      <c r="B30" s="107">
        <f t="shared" ca="1" si="2"/>
        <v>5804</v>
      </c>
      <c r="C30" s="108">
        <f t="shared" ca="1" si="8"/>
        <v>4397</v>
      </c>
      <c r="D30" s="109">
        <f t="shared" ca="1" si="9"/>
        <v>3737</v>
      </c>
      <c r="E30" s="139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82">
        <f t="shared" ca="1" si="7"/>
        <v>0.28583729223670096</v>
      </c>
      <c r="AC30" s="95">
        <v>33</v>
      </c>
      <c r="AD30" s="95">
        <v>28</v>
      </c>
      <c r="AE30" s="95">
        <f t="shared" ca="1" si="13"/>
        <v>272</v>
      </c>
      <c r="AF30" s="117">
        <f t="shared" ca="1" si="14"/>
        <v>13.737297192438406</v>
      </c>
      <c r="AG30" s="82">
        <f t="shared" ca="1" si="15"/>
        <v>3737</v>
      </c>
      <c r="AH30" s="82"/>
      <c r="AI30" s="83"/>
      <c r="AJ30" s="82"/>
      <c r="AK30" s="82"/>
    </row>
    <row r="31" spans="1:37" ht="16.5" x14ac:dyDescent="0.3">
      <c r="A31" s="37">
        <v>29</v>
      </c>
      <c r="B31" s="107">
        <f t="shared" ca="1" si="2"/>
        <v>5095</v>
      </c>
      <c r="C31" s="108">
        <f t="shared" ca="1" si="8"/>
        <v>4439</v>
      </c>
      <c r="D31" s="109">
        <f t="shared" ca="1" si="9"/>
        <v>4229</v>
      </c>
      <c r="E31" s="139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82">
        <f t="shared" ca="1" si="7"/>
        <v>0.31208292765279422</v>
      </c>
      <c r="AC31" s="95">
        <v>34</v>
      </c>
      <c r="AD31" s="95">
        <v>29</v>
      </c>
      <c r="AE31" s="95">
        <f t="shared" ca="1" si="13"/>
        <v>277</v>
      </c>
      <c r="AF31" s="117">
        <f t="shared" ca="1" si="14"/>
        <v>15.267724184555567</v>
      </c>
      <c r="AG31" s="82">
        <f t="shared" ca="1" si="15"/>
        <v>4229</v>
      </c>
      <c r="AH31" s="82"/>
      <c r="AI31" s="83"/>
      <c r="AJ31" s="82"/>
      <c r="AK31" s="82"/>
    </row>
    <row r="32" spans="1:37" ht="16.5" x14ac:dyDescent="0.3">
      <c r="A32" s="37">
        <v>30</v>
      </c>
      <c r="B32" s="107">
        <f t="shared" ca="1" si="2"/>
        <v>4252</v>
      </c>
      <c r="C32" s="108">
        <f t="shared" ca="1" si="8"/>
        <v>3865</v>
      </c>
      <c r="D32" s="109">
        <f t="shared" ca="1" si="9"/>
        <v>4252</v>
      </c>
      <c r="E32" s="139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82">
        <f t="shared" ca="1" si="7"/>
        <v>0.55882218873189582</v>
      </c>
      <c r="AC32" s="95">
        <v>28</v>
      </c>
      <c r="AD32" s="95">
        <v>30</v>
      </c>
      <c r="AE32" s="95">
        <f t="shared" ca="1" si="13"/>
        <v>282</v>
      </c>
      <c r="AF32" s="117">
        <f t="shared" ca="1" si="14"/>
        <v>15.077486022205735</v>
      </c>
      <c r="AG32" s="82">
        <f t="shared" ca="1" si="15"/>
        <v>4252</v>
      </c>
      <c r="AH32" s="82"/>
      <c r="AI32" s="83"/>
      <c r="AJ32" s="82"/>
      <c r="AK32" s="82"/>
    </row>
    <row r="33" spans="1:37" ht="16.5" x14ac:dyDescent="0.3">
      <c r="A33" s="37">
        <v>31</v>
      </c>
      <c r="B33" s="107">
        <f t="shared" ca="1" si="2"/>
        <v>3660</v>
      </c>
      <c r="C33" s="108">
        <f t="shared" ca="1" si="8"/>
        <v>4062</v>
      </c>
      <c r="D33" s="109">
        <f t="shared" ca="1" si="9"/>
        <v>3865</v>
      </c>
      <c r="E33" s="139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82">
        <f t="shared" ca="1" si="7"/>
        <v>0.77472860815154532</v>
      </c>
      <c r="AC33" s="95">
        <v>30</v>
      </c>
      <c r="AD33" s="95">
        <v>31</v>
      </c>
      <c r="AE33" s="95">
        <f t="shared" ca="1" si="13"/>
        <v>287</v>
      </c>
      <c r="AF33" s="117">
        <f t="shared" ca="1" si="14"/>
        <v>13.467956085152686</v>
      </c>
      <c r="AG33" s="82">
        <f t="shared" ca="1" si="15"/>
        <v>3865</v>
      </c>
      <c r="AH33" s="82"/>
      <c r="AI33" s="83"/>
      <c r="AJ33" s="82"/>
      <c r="AK33" s="82"/>
    </row>
    <row r="34" spans="1:37" ht="16.5" x14ac:dyDescent="0.3">
      <c r="A34" s="37">
        <v>32</v>
      </c>
      <c r="B34" s="107">
        <f t="shared" ca="1" si="2"/>
        <v>6422</v>
      </c>
      <c r="C34" s="108">
        <f t="shared" ca="1" si="8"/>
        <v>4056</v>
      </c>
      <c r="D34" s="109">
        <f t="shared" ca="1" si="9"/>
        <v>3629</v>
      </c>
      <c r="E34" s="139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82">
        <f t="shared" ca="1" si="7"/>
        <v>1.8172676384465625E-2</v>
      </c>
      <c r="AC34" s="95">
        <v>29</v>
      </c>
      <c r="AD34" s="95">
        <v>32</v>
      </c>
      <c r="AE34" s="95">
        <f t="shared" ca="1" si="13"/>
        <v>292</v>
      </c>
      <c r="AF34" s="117">
        <f t="shared" ca="1" si="14"/>
        <v>12.427386649210566</v>
      </c>
      <c r="AG34" s="82">
        <f t="shared" ca="1" si="15"/>
        <v>3629</v>
      </c>
      <c r="AH34" s="82"/>
      <c r="AI34" s="83"/>
      <c r="AJ34" s="82"/>
      <c r="AK34" s="82"/>
    </row>
    <row r="35" spans="1:37" ht="16.5" x14ac:dyDescent="0.3">
      <c r="A35" s="37">
        <v>33</v>
      </c>
      <c r="B35" s="107">
        <f t="shared" ref="B35:B67" ca="1" si="16">INDEX($AG$3:$AG$77,RANK(AB35,$AB$3:$AB$77))</f>
        <v>5111</v>
      </c>
      <c r="C35" s="108">
        <f t="shared" ca="1" si="8"/>
        <v>4229</v>
      </c>
      <c r="D35" s="109">
        <f t="shared" ca="1" si="9"/>
        <v>4761</v>
      </c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82">
        <f t="shared" ca="1" si="7"/>
        <v>0.48805866119175412</v>
      </c>
      <c r="AC35" s="95">
        <v>31</v>
      </c>
      <c r="AD35" s="95">
        <v>33</v>
      </c>
      <c r="AE35" s="95">
        <f t="shared" ca="1" si="13"/>
        <v>297</v>
      </c>
      <c r="AF35" s="117">
        <f t="shared" ca="1" si="14"/>
        <v>16.030021183618619</v>
      </c>
      <c r="AG35" s="82">
        <f t="shared" ca="1" si="15"/>
        <v>4761</v>
      </c>
      <c r="AH35" s="82"/>
      <c r="AI35" s="83"/>
      <c r="AJ35" s="82"/>
      <c r="AK35" s="82"/>
    </row>
    <row r="36" spans="1:37" ht="16.5" x14ac:dyDescent="0.3">
      <c r="A36" s="37">
        <v>34</v>
      </c>
      <c r="B36" s="107">
        <f t="shared" ca="1" si="16"/>
        <v>6821</v>
      </c>
      <c r="C36" s="108">
        <f t="shared" ca="1" si="8"/>
        <v>4252</v>
      </c>
      <c r="D36" s="109">
        <f t="shared" ca="1" si="9"/>
        <v>4800</v>
      </c>
      <c r="E36" s="139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82">
        <f t="shared" ca="1" si="7"/>
        <v>3.7175448836608505E-2</v>
      </c>
      <c r="AC36" s="95">
        <v>32</v>
      </c>
      <c r="AD36" s="95">
        <v>34</v>
      </c>
      <c r="AE36" s="95">
        <f t="shared" ca="1" si="13"/>
        <v>302</v>
      </c>
      <c r="AF36" s="117">
        <f t="shared" ca="1" si="14"/>
        <v>15.893805049761859</v>
      </c>
      <c r="AG36" s="82">
        <f t="shared" ca="1" si="15"/>
        <v>4800</v>
      </c>
      <c r="AH36" s="82"/>
      <c r="AI36" s="83"/>
      <c r="AJ36" s="82"/>
      <c r="AK36" s="82"/>
    </row>
    <row r="37" spans="1:37" ht="16.5" x14ac:dyDescent="0.3">
      <c r="A37" s="37">
        <v>35</v>
      </c>
      <c r="B37" s="107">
        <f t="shared" ca="1" si="16"/>
        <v>3629</v>
      </c>
      <c r="C37" s="108">
        <f t="shared" ca="1" si="8"/>
        <v>4500</v>
      </c>
      <c r="D37" s="109">
        <f t="shared" ca="1" si="9"/>
        <v>5111</v>
      </c>
      <c r="E37" s="139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82">
        <f t="shared" ca="1" si="7"/>
        <v>0.52385998125920408</v>
      </c>
      <c r="AC37" s="95">
        <v>35</v>
      </c>
      <c r="AD37" s="95">
        <v>35</v>
      </c>
      <c r="AE37" s="95">
        <f t="shared" ca="1" si="13"/>
        <v>307</v>
      </c>
      <c r="AF37" s="117">
        <f t="shared" ca="1" si="14"/>
        <v>16.64902438461106</v>
      </c>
      <c r="AG37" s="82">
        <f t="shared" ca="1" si="15"/>
        <v>5111</v>
      </c>
      <c r="AH37" s="82"/>
      <c r="AI37" s="83"/>
      <c r="AJ37" s="82"/>
      <c r="AK37" s="82"/>
    </row>
    <row r="38" spans="1:37" ht="16.5" x14ac:dyDescent="0.3">
      <c r="A38" s="37">
        <v>36</v>
      </c>
      <c r="B38" s="107">
        <f t="shared" ca="1" si="16"/>
        <v>2731</v>
      </c>
      <c r="C38" s="108">
        <f t="shared" ca="1" si="8"/>
        <v>4800</v>
      </c>
      <c r="D38" s="109">
        <f t="shared" ca="1" si="9"/>
        <v>4062</v>
      </c>
      <c r="E38" s="139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82">
        <f t="shared" ca="1" si="7"/>
        <v>0.93258058261136378</v>
      </c>
      <c r="AC38" s="95">
        <v>39</v>
      </c>
      <c r="AD38" s="95">
        <v>36</v>
      </c>
      <c r="AE38" s="95">
        <f t="shared" ca="1" si="13"/>
        <v>312</v>
      </c>
      <c r="AF38" s="117">
        <f t="shared" ca="1" si="14"/>
        <v>13.018634113675201</v>
      </c>
      <c r="AG38" s="82">
        <f t="shared" ca="1" si="15"/>
        <v>4062</v>
      </c>
      <c r="AH38" s="82"/>
      <c r="AI38" s="83"/>
      <c r="AJ38" s="82"/>
      <c r="AK38" s="82"/>
    </row>
    <row r="39" spans="1:37" ht="16.5" x14ac:dyDescent="0.3">
      <c r="A39" s="37">
        <v>37</v>
      </c>
      <c r="B39" s="107">
        <f t="shared" ca="1" si="16"/>
        <v>4989</v>
      </c>
      <c r="C39" s="108">
        <f t="shared" ca="1" si="8"/>
        <v>4639</v>
      </c>
      <c r="D39" s="109">
        <f t="shared" ca="1" si="9"/>
        <v>4500</v>
      </c>
      <c r="E39" s="139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82">
        <f t="shared" ca="1" si="7"/>
        <v>0.3118527248670665</v>
      </c>
      <c r="AC39" s="95">
        <v>36</v>
      </c>
      <c r="AD39" s="95">
        <v>37</v>
      </c>
      <c r="AE39" s="95">
        <f t="shared" ca="1" si="13"/>
        <v>317</v>
      </c>
      <c r="AF39" s="117">
        <f t="shared" ca="1" si="14"/>
        <v>14.194324728609185</v>
      </c>
      <c r="AG39" s="82">
        <f t="shared" ca="1" si="15"/>
        <v>4500</v>
      </c>
      <c r="AH39" s="82"/>
      <c r="AI39" s="83"/>
      <c r="AJ39" s="82"/>
      <c r="AK39" s="82"/>
    </row>
    <row r="40" spans="1:37" ht="16.5" x14ac:dyDescent="0.3">
      <c r="A40" s="37">
        <v>38</v>
      </c>
      <c r="B40" s="107">
        <f t="shared" ca="1" si="16"/>
        <v>7444</v>
      </c>
      <c r="C40" s="108">
        <f t="shared" ca="1" si="8"/>
        <v>4664</v>
      </c>
      <c r="D40" s="109">
        <f t="shared" ca="1" si="9"/>
        <v>5108</v>
      </c>
      <c r="E40" s="139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82">
        <f t="shared" ca="1" si="7"/>
        <v>9.2486866572912274E-2</v>
      </c>
      <c r="AC40" s="95">
        <v>37</v>
      </c>
      <c r="AD40" s="95">
        <v>38</v>
      </c>
      <c r="AE40" s="95">
        <f t="shared" ca="1" si="13"/>
        <v>322</v>
      </c>
      <c r="AF40" s="117">
        <f t="shared" ca="1" si="14"/>
        <v>15.862994991553789</v>
      </c>
      <c r="AG40" s="82">
        <f t="shared" ca="1" si="15"/>
        <v>5108</v>
      </c>
      <c r="AH40" s="82"/>
      <c r="AI40" s="83"/>
      <c r="AJ40" s="82"/>
      <c r="AK40" s="82"/>
    </row>
    <row r="41" spans="1:37" ht="16.5" x14ac:dyDescent="0.3">
      <c r="A41" s="37">
        <v>39</v>
      </c>
      <c r="B41" s="107">
        <f t="shared" ca="1" si="16"/>
        <v>4062</v>
      </c>
      <c r="C41" s="108">
        <f t="shared" ca="1" si="8"/>
        <v>4761</v>
      </c>
      <c r="D41" s="109">
        <f t="shared" ca="1" si="9"/>
        <v>4639</v>
      </c>
      <c r="E41" s="139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82">
        <f t="shared" ca="1" si="7"/>
        <v>0.41485880514632711</v>
      </c>
      <c r="AC41" s="95">
        <v>38</v>
      </c>
      <c r="AD41" s="95">
        <v>39</v>
      </c>
      <c r="AE41" s="95">
        <f t="shared" ca="1" si="13"/>
        <v>327</v>
      </c>
      <c r="AF41" s="117">
        <f t="shared" ca="1" si="14"/>
        <v>14.188063066610731</v>
      </c>
      <c r="AG41" s="82">
        <f t="shared" ca="1" si="15"/>
        <v>4639</v>
      </c>
      <c r="AH41" s="82"/>
      <c r="AI41" s="83"/>
      <c r="AJ41" s="82"/>
      <c r="AK41" s="82"/>
    </row>
    <row r="42" spans="1:37" ht="16.5" x14ac:dyDescent="0.3">
      <c r="A42" s="37">
        <v>40</v>
      </c>
      <c r="B42" s="107">
        <f t="shared" ca="1" si="16"/>
        <v>1950</v>
      </c>
      <c r="C42" s="108">
        <f t="shared" ca="1" si="8"/>
        <v>4989</v>
      </c>
      <c r="D42" s="109">
        <f t="shared" ca="1" si="9"/>
        <v>5834</v>
      </c>
      <c r="E42" s="139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82">
        <f t="shared" ca="1" si="7"/>
        <v>0.93137005123145666</v>
      </c>
      <c r="AC42" s="95">
        <v>41</v>
      </c>
      <c r="AD42" s="95">
        <v>40</v>
      </c>
      <c r="AE42" s="95">
        <f t="shared" ca="1" si="13"/>
        <v>332</v>
      </c>
      <c r="AF42" s="117">
        <f t="shared" ca="1" si="14"/>
        <v>17.571119341186051</v>
      </c>
      <c r="AG42" s="82">
        <f t="shared" ca="1" si="15"/>
        <v>5834</v>
      </c>
      <c r="AH42" s="82"/>
      <c r="AI42" s="83"/>
      <c r="AJ42" s="82"/>
      <c r="AK42" s="82"/>
    </row>
    <row r="43" spans="1:37" ht="16.5" x14ac:dyDescent="0.3">
      <c r="A43" s="37">
        <v>41</v>
      </c>
      <c r="B43" s="107">
        <f t="shared" ca="1" si="16"/>
        <v>5932</v>
      </c>
      <c r="C43" s="108">
        <f t="shared" ca="1" si="8"/>
        <v>4941</v>
      </c>
      <c r="D43" s="109">
        <f t="shared" ca="1" si="9"/>
        <v>4397</v>
      </c>
      <c r="E43" s="139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82">
        <f t="shared" ca="1" si="7"/>
        <v>0.25945275094075027</v>
      </c>
      <c r="AC43" s="95">
        <v>40</v>
      </c>
      <c r="AD43" s="95">
        <v>41</v>
      </c>
      <c r="AE43" s="95">
        <f t="shared" ca="1" si="13"/>
        <v>337</v>
      </c>
      <c r="AF43" s="117">
        <f t="shared" ca="1" si="14"/>
        <v>13.047240727218558</v>
      </c>
      <c r="AG43" s="82">
        <f t="shared" ca="1" si="15"/>
        <v>4397</v>
      </c>
      <c r="AH43" s="82"/>
      <c r="AI43" s="83"/>
      <c r="AJ43" s="82"/>
      <c r="AK43" s="82"/>
    </row>
    <row r="44" spans="1:37" ht="16.5" x14ac:dyDescent="0.3">
      <c r="A44" s="37">
        <v>42</v>
      </c>
      <c r="B44" s="107">
        <f t="shared" ca="1" si="16"/>
        <v>3003</v>
      </c>
      <c r="C44" s="108">
        <f t="shared" ca="1" si="8"/>
        <v>5111</v>
      </c>
      <c r="D44" s="109">
        <f t="shared" ca="1" si="9"/>
        <v>5095</v>
      </c>
      <c r="E44" s="139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82">
        <f t="shared" ca="1" si="7"/>
        <v>0.84248272332398622</v>
      </c>
      <c r="AC44" s="95">
        <v>46</v>
      </c>
      <c r="AD44" s="95">
        <v>42</v>
      </c>
      <c r="AE44" s="95">
        <f t="shared" ca="1" si="13"/>
        <v>342</v>
      </c>
      <c r="AF44" s="117">
        <f t="shared" ca="1" si="14"/>
        <v>14.898702257382661</v>
      </c>
      <c r="AG44" s="82">
        <f t="shared" ca="1" si="15"/>
        <v>5095</v>
      </c>
      <c r="AH44" s="82"/>
      <c r="AI44" s="83"/>
      <c r="AJ44" s="82"/>
      <c r="AK44" s="82"/>
    </row>
    <row r="45" spans="1:37" ht="16.5" x14ac:dyDescent="0.3">
      <c r="A45" s="37">
        <v>43</v>
      </c>
      <c r="B45" s="107">
        <f t="shared" ca="1" si="16"/>
        <v>2065</v>
      </c>
      <c r="C45" s="108">
        <f t="shared" ca="1" si="8"/>
        <v>5095</v>
      </c>
      <c r="D45" s="109">
        <f t="shared" ca="1" si="9"/>
        <v>4989</v>
      </c>
      <c r="E45" s="139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82">
        <f t="shared" ca="1" si="7"/>
        <v>0.94856913868276083</v>
      </c>
      <c r="AC45" s="95">
        <v>44</v>
      </c>
      <c r="AD45" s="95">
        <v>43</v>
      </c>
      <c r="AE45" s="95">
        <f t="shared" ca="1" si="13"/>
        <v>347</v>
      </c>
      <c r="AF45" s="117">
        <f t="shared" ca="1" si="14"/>
        <v>14.37704694856113</v>
      </c>
      <c r="AG45" s="82">
        <f t="shared" ca="1" si="15"/>
        <v>4989</v>
      </c>
      <c r="AH45" s="82"/>
      <c r="AI45" s="83"/>
      <c r="AJ45" s="82"/>
      <c r="AK45" s="82"/>
    </row>
    <row r="46" spans="1:37" ht="16.5" x14ac:dyDescent="0.3">
      <c r="A46" s="37">
        <v>44</v>
      </c>
      <c r="B46" s="107">
        <f t="shared" ca="1" si="16"/>
        <v>9236</v>
      </c>
      <c r="C46" s="108">
        <f t="shared" ca="1" si="8"/>
        <v>5108</v>
      </c>
      <c r="D46" s="109">
        <f t="shared" ca="1" si="9"/>
        <v>5222</v>
      </c>
      <c r="E46" s="139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82">
        <f t="shared" ca="1" si="7"/>
        <v>4.5323546644314705E-3</v>
      </c>
      <c r="AC46" s="92">
        <v>45</v>
      </c>
      <c r="AD46" s="95">
        <v>44</v>
      </c>
      <c r="AE46" s="95">
        <f t="shared" ca="1" si="13"/>
        <v>352</v>
      </c>
      <c r="AF46" s="117">
        <f t="shared" ca="1" si="14"/>
        <v>14.835727245201575</v>
      </c>
      <c r="AG46" s="82">
        <f t="shared" ca="1" si="15"/>
        <v>5222</v>
      </c>
      <c r="AH46" s="82"/>
      <c r="AI46" s="83"/>
      <c r="AJ46" s="82"/>
      <c r="AK46" s="82"/>
    </row>
    <row r="47" spans="1:37" ht="16.5" x14ac:dyDescent="0.3">
      <c r="A47" s="37">
        <v>45</v>
      </c>
      <c r="B47" s="107">
        <f t="shared" ca="1" si="16"/>
        <v>1598</v>
      </c>
      <c r="C47" s="108">
        <f t="shared" ca="1" si="8"/>
        <v>5222</v>
      </c>
      <c r="D47" s="109">
        <f t="shared" ca="1" si="9"/>
        <v>6343</v>
      </c>
      <c r="E47" s="139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82">
        <f t="shared" ca="1" si="7"/>
        <v>0.96944508374713556</v>
      </c>
      <c r="AC47" s="95">
        <v>47</v>
      </c>
      <c r="AD47" s="95">
        <v>45</v>
      </c>
      <c r="AE47" s="95">
        <f t="shared" ca="1" si="13"/>
        <v>357</v>
      </c>
      <c r="AF47" s="117">
        <f t="shared" ca="1" si="14"/>
        <v>17.768863263841485</v>
      </c>
      <c r="AG47" s="82">
        <f t="shared" ca="1" si="15"/>
        <v>6343</v>
      </c>
      <c r="AH47" s="82"/>
      <c r="AI47" s="83"/>
      <c r="AJ47" s="82"/>
      <c r="AK47" s="82"/>
    </row>
    <row r="48" spans="1:37" ht="16.5" x14ac:dyDescent="0.3">
      <c r="A48" s="37">
        <v>46</v>
      </c>
      <c r="B48" s="107">
        <f t="shared" ca="1" si="16"/>
        <v>8159</v>
      </c>
      <c r="C48" s="108">
        <f t="shared" ca="1" si="8"/>
        <v>5629</v>
      </c>
      <c r="D48" s="109">
        <f t="shared" ca="1" si="9"/>
        <v>4439</v>
      </c>
      <c r="E48" s="139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82">
        <f t="shared" ca="1" si="7"/>
        <v>3.0189911467140562E-2</v>
      </c>
      <c r="AC48" s="95">
        <v>48</v>
      </c>
      <c r="AD48" s="95">
        <v>46</v>
      </c>
      <c r="AE48" s="95">
        <f t="shared" ca="1" si="13"/>
        <v>362</v>
      </c>
      <c r="AF48" s="117">
        <f t="shared" ca="1" si="14"/>
        <v>12.261101491398131</v>
      </c>
      <c r="AG48" s="82">
        <f t="shared" ca="1" si="15"/>
        <v>4439</v>
      </c>
      <c r="AH48" s="82"/>
      <c r="AI48" s="83"/>
      <c r="AJ48" s="82"/>
      <c r="AK48" s="82"/>
    </row>
    <row r="49" spans="1:37" ht="16.5" x14ac:dyDescent="0.3">
      <c r="A49" s="37">
        <v>47</v>
      </c>
      <c r="B49" s="107">
        <f t="shared" ca="1" si="16"/>
        <v>5901</v>
      </c>
      <c r="C49" s="108">
        <f t="shared" ca="1" si="8"/>
        <v>5014</v>
      </c>
      <c r="D49" s="109">
        <f t="shared" ca="1" si="9"/>
        <v>5041</v>
      </c>
      <c r="E49" s="139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82">
        <f t="shared" ca="1" si="7"/>
        <v>0.24291619789770225</v>
      </c>
      <c r="AC49" s="95">
        <v>42</v>
      </c>
      <c r="AD49" s="95">
        <v>47</v>
      </c>
      <c r="AE49" s="95">
        <f t="shared" ca="1" si="13"/>
        <v>367</v>
      </c>
      <c r="AF49" s="117">
        <f t="shared" ca="1" si="14"/>
        <v>13.735589955277812</v>
      </c>
      <c r="AG49" s="82">
        <f t="shared" ca="1" si="15"/>
        <v>5041</v>
      </c>
      <c r="AH49" s="82"/>
      <c r="AI49" s="83"/>
      <c r="AJ49" s="82"/>
      <c r="AK49" s="82"/>
    </row>
    <row r="50" spans="1:37" ht="16.5" x14ac:dyDescent="0.3">
      <c r="A50" s="37">
        <v>48</v>
      </c>
      <c r="B50" s="107">
        <f t="shared" ca="1" si="16"/>
        <v>5222</v>
      </c>
      <c r="C50" s="108">
        <f t="shared" ca="1" si="8"/>
        <v>5041</v>
      </c>
      <c r="D50" s="109">
        <f t="shared" ca="1" si="9"/>
        <v>5940</v>
      </c>
      <c r="E50" s="139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82">
        <f t="shared" ca="1" si="7"/>
        <v>0.30560528346281368</v>
      </c>
      <c r="AC50" s="95">
        <v>43</v>
      </c>
      <c r="AD50" s="95">
        <v>48</v>
      </c>
      <c r="AE50" s="95">
        <f t="shared" ca="1" si="13"/>
        <v>372</v>
      </c>
      <c r="AF50" s="117">
        <f t="shared" ca="1" si="14"/>
        <v>15.967034319604954</v>
      </c>
      <c r="AG50" s="82">
        <f t="shared" ca="1" si="15"/>
        <v>5940</v>
      </c>
      <c r="AH50" s="82"/>
      <c r="AI50" s="83"/>
      <c r="AJ50" s="82"/>
      <c r="AK50" s="82"/>
    </row>
    <row r="51" spans="1:37" ht="16.5" x14ac:dyDescent="0.3">
      <c r="A51" s="37">
        <v>49</v>
      </c>
      <c r="B51" s="107">
        <f t="shared" ca="1" si="16"/>
        <v>5926</v>
      </c>
      <c r="C51" s="108">
        <f t="shared" ca="1" si="8"/>
        <v>5804</v>
      </c>
      <c r="D51" s="109">
        <f t="shared" ca="1" si="9"/>
        <v>5804</v>
      </c>
      <c r="E51" s="139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82">
        <f t="shared" ca="1" si="7"/>
        <v>0.16215058579478192</v>
      </c>
      <c r="AC51" s="95">
        <v>50</v>
      </c>
      <c r="AD51" s="95">
        <v>49</v>
      </c>
      <c r="AE51" s="95">
        <f t="shared" ca="1" si="13"/>
        <v>377</v>
      </c>
      <c r="AF51" s="117">
        <f t="shared" ca="1" si="14"/>
        <v>15.395383780663989</v>
      </c>
      <c r="AG51" s="82">
        <f t="shared" ca="1" si="15"/>
        <v>5804</v>
      </c>
      <c r="AH51" s="82"/>
      <c r="AI51" s="83"/>
      <c r="AJ51" s="82"/>
      <c r="AK51" s="82"/>
    </row>
    <row r="52" spans="1:37" ht="16.5" x14ac:dyDescent="0.3">
      <c r="A52" s="37">
        <v>50</v>
      </c>
      <c r="B52" s="107">
        <f t="shared" ca="1" si="16"/>
        <v>4941</v>
      </c>
      <c r="C52" s="108">
        <f t="shared" ca="1" si="8"/>
        <v>5682</v>
      </c>
      <c r="D52" s="109">
        <f t="shared" ca="1" si="9"/>
        <v>6366</v>
      </c>
      <c r="E52" s="139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82">
        <f t="shared" ca="1" si="7"/>
        <v>0.19064790915930518</v>
      </c>
      <c r="AC52" s="95">
        <v>49</v>
      </c>
      <c r="AD52" s="95">
        <v>50</v>
      </c>
      <c r="AE52" s="95">
        <f t="shared" ca="1" si="13"/>
        <v>382</v>
      </c>
      <c r="AF52" s="117">
        <f t="shared" ca="1" si="14"/>
        <v>16.666008284591715</v>
      </c>
      <c r="AG52" s="82">
        <f t="shared" ca="1" si="15"/>
        <v>6366</v>
      </c>
      <c r="AH52" s="82"/>
      <c r="AI52" s="83"/>
      <c r="AJ52" s="82"/>
      <c r="AK52" s="82"/>
    </row>
    <row r="53" spans="1:37" ht="16.5" x14ac:dyDescent="0.3">
      <c r="A53" s="37">
        <v>51</v>
      </c>
      <c r="B53" s="107">
        <f t="shared" ca="1" si="16"/>
        <v>4500</v>
      </c>
      <c r="C53" s="108">
        <f t="shared" ca="1" si="8"/>
        <v>5825</v>
      </c>
      <c r="D53" s="109">
        <f t="shared" ca="1" si="9"/>
        <v>5014</v>
      </c>
      <c r="E53" s="139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82">
        <f t="shared" ca="1" si="7"/>
        <v>0.3810836672092307</v>
      </c>
      <c r="AC53" s="95">
        <v>51</v>
      </c>
      <c r="AD53" s="95">
        <v>51</v>
      </c>
      <c r="AE53" s="95">
        <f t="shared" ca="1" si="13"/>
        <v>387</v>
      </c>
      <c r="AF53" s="117">
        <f t="shared" ca="1" si="14"/>
        <v>12.955926303580974</v>
      </c>
      <c r="AG53" s="82">
        <f t="shared" ca="1" si="15"/>
        <v>5014</v>
      </c>
      <c r="AH53" s="82"/>
      <c r="AI53" s="83"/>
      <c r="AJ53" s="82"/>
      <c r="AK53" s="82"/>
    </row>
    <row r="54" spans="1:37" ht="16.5" x14ac:dyDescent="0.3">
      <c r="A54" s="37">
        <v>52</v>
      </c>
      <c r="B54" s="107">
        <f t="shared" ca="1" si="16"/>
        <v>4639</v>
      </c>
      <c r="C54" s="108">
        <f t="shared" ca="1" si="8"/>
        <v>5926</v>
      </c>
      <c r="D54" s="109">
        <f t="shared" ca="1" si="9"/>
        <v>5682</v>
      </c>
      <c r="E54" s="139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82">
        <f t="shared" ca="1" si="7"/>
        <v>0.34456774255388367</v>
      </c>
      <c r="AC54" s="95">
        <v>54</v>
      </c>
      <c r="AD54" s="95">
        <v>52</v>
      </c>
      <c r="AE54" s="95">
        <f t="shared" ca="1" si="13"/>
        <v>392</v>
      </c>
      <c r="AF54" s="117">
        <f t="shared" ca="1" si="14"/>
        <v>14.495779166998728</v>
      </c>
      <c r="AG54" s="82">
        <f t="shared" ca="1" si="15"/>
        <v>5682</v>
      </c>
      <c r="AH54" s="82"/>
      <c r="AI54" s="83"/>
      <c r="AJ54" s="82"/>
      <c r="AK54" s="82"/>
    </row>
    <row r="55" spans="1:37" ht="16.5" x14ac:dyDescent="0.3">
      <c r="A55" s="37">
        <v>53</v>
      </c>
      <c r="B55" s="107">
        <f t="shared" ca="1" si="16"/>
        <v>5940</v>
      </c>
      <c r="C55" s="108">
        <f t="shared" ca="1" si="8"/>
        <v>5901</v>
      </c>
      <c r="D55" s="109">
        <f t="shared" ca="1" si="9"/>
        <v>5932</v>
      </c>
      <c r="E55" s="139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82">
        <f t="shared" ca="1" si="7"/>
        <v>0.28979184724795581</v>
      </c>
      <c r="AC55" s="95">
        <v>53</v>
      </c>
      <c r="AD55" s="95">
        <v>53</v>
      </c>
      <c r="AE55" s="95">
        <f t="shared" ca="1" si="13"/>
        <v>397</v>
      </c>
      <c r="AF55" s="117">
        <f t="shared" ca="1" si="14"/>
        <v>14.94229809686777</v>
      </c>
      <c r="AG55" s="82">
        <f t="shared" ca="1" si="15"/>
        <v>5932</v>
      </c>
      <c r="AH55" s="82"/>
      <c r="AI55" s="82"/>
      <c r="AJ55" s="82"/>
      <c r="AK55" s="82"/>
    </row>
    <row r="56" spans="1:37" ht="16.5" x14ac:dyDescent="0.3">
      <c r="A56" s="37">
        <v>54</v>
      </c>
      <c r="B56" s="107">
        <f t="shared" ca="1" si="16"/>
        <v>2753</v>
      </c>
      <c r="C56" s="108">
        <f t="shared" ca="1" si="8"/>
        <v>5834</v>
      </c>
      <c r="D56" s="109">
        <f t="shared" ca="1" si="9"/>
        <v>6667</v>
      </c>
      <c r="E56" s="139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82">
        <f t="shared" ca="1" si="7"/>
        <v>0.82942054631069462</v>
      </c>
      <c r="AC56" s="95">
        <v>52</v>
      </c>
      <c r="AD56" s="95">
        <v>54</v>
      </c>
      <c r="AE56" s="95">
        <f t="shared" ca="1" si="13"/>
        <v>402</v>
      </c>
      <c r="AF56" s="117">
        <f t="shared" ca="1" si="14"/>
        <v>16.585296292385223</v>
      </c>
      <c r="AG56" s="82">
        <f t="shared" ca="1" si="15"/>
        <v>6667</v>
      </c>
      <c r="AH56" s="82"/>
      <c r="AI56" s="82"/>
      <c r="AJ56" s="82"/>
      <c r="AK56" s="82"/>
    </row>
    <row r="57" spans="1:37" ht="16.5" x14ac:dyDescent="0.3">
      <c r="A57" s="37">
        <v>55</v>
      </c>
      <c r="B57" s="107">
        <f t="shared" ca="1" si="16"/>
        <v>5629</v>
      </c>
      <c r="C57" s="108">
        <f t="shared" ca="1" si="8"/>
        <v>5932</v>
      </c>
      <c r="D57" s="109">
        <f t="shared" ca="1" si="9"/>
        <v>6447</v>
      </c>
      <c r="E57" s="139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82">
        <f t="shared" ca="1" si="7"/>
        <v>8.5787406245149356E-2</v>
      </c>
      <c r="AC57" s="95">
        <v>55</v>
      </c>
      <c r="AD57" s="95">
        <v>55</v>
      </c>
      <c r="AE57" s="95">
        <f t="shared" ca="1" si="13"/>
        <v>407</v>
      </c>
      <c r="AF57" s="117">
        <f t="shared" ca="1" si="14"/>
        <v>15.840236564947356</v>
      </c>
      <c r="AG57" s="82">
        <f t="shared" ca="1" si="15"/>
        <v>6447</v>
      </c>
      <c r="AH57" s="82"/>
      <c r="AI57" s="82"/>
      <c r="AJ57" s="82"/>
      <c r="AK57" s="82"/>
    </row>
    <row r="58" spans="1:37" ht="16.5" x14ac:dyDescent="0.3">
      <c r="A58" s="37">
        <v>56</v>
      </c>
      <c r="B58" s="107">
        <f t="shared" ca="1" si="16"/>
        <v>5682</v>
      </c>
      <c r="C58" s="108">
        <f t="shared" ca="1" si="8"/>
        <v>5940</v>
      </c>
      <c r="D58" s="109">
        <f t="shared" ca="1" si="9"/>
        <v>5901</v>
      </c>
      <c r="E58" s="110"/>
      <c r="AB58" s="82">
        <f t="shared" ca="1" si="7"/>
        <v>0.26089621268127416</v>
      </c>
      <c r="AC58" s="95">
        <v>56</v>
      </c>
      <c r="AD58" s="95">
        <v>56</v>
      </c>
      <c r="AE58" s="95">
        <f t="shared" ca="1" si="13"/>
        <v>412</v>
      </c>
      <c r="AF58" s="117">
        <f t="shared" ca="1" si="14"/>
        <v>14.323441107986895</v>
      </c>
      <c r="AG58" s="82">
        <f t="shared" ca="1" si="15"/>
        <v>5901</v>
      </c>
      <c r="AH58" s="82"/>
      <c r="AI58" s="82"/>
      <c r="AJ58" s="82"/>
      <c r="AK58" s="82"/>
    </row>
    <row r="59" spans="1:37" ht="16.5" x14ac:dyDescent="0.3">
      <c r="A59" s="37">
        <v>57</v>
      </c>
      <c r="B59" s="107">
        <f t="shared" ca="1" si="16"/>
        <v>2016</v>
      </c>
      <c r="C59" s="108">
        <f t="shared" ca="1" si="8"/>
        <v>6165</v>
      </c>
      <c r="D59" s="109">
        <f t="shared" ca="1" si="9"/>
        <v>6399</v>
      </c>
      <c r="E59" s="110"/>
      <c r="AB59" s="82">
        <f t="shared" ca="1" si="7"/>
        <v>0.96777495432019101</v>
      </c>
      <c r="AC59" s="95">
        <v>58</v>
      </c>
      <c r="AD59" s="95">
        <v>57</v>
      </c>
      <c r="AE59" s="95">
        <f t="shared" ca="1" si="13"/>
        <v>417</v>
      </c>
      <c r="AF59" s="117">
        <f t="shared" ca="1" si="14"/>
        <v>15.345989050320117</v>
      </c>
      <c r="AG59" s="82">
        <f t="shared" ca="1" si="15"/>
        <v>6399</v>
      </c>
      <c r="AH59" s="82"/>
      <c r="AI59" s="82"/>
      <c r="AJ59" s="82"/>
      <c r="AK59" s="82"/>
    </row>
    <row r="60" spans="1:37" ht="16.5" x14ac:dyDescent="0.3">
      <c r="A60" s="37">
        <v>58</v>
      </c>
      <c r="B60" s="107">
        <f t="shared" ca="1" si="16"/>
        <v>5834</v>
      </c>
      <c r="C60" s="108">
        <f t="shared" ca="1" si="8"/>
        <v>6399</v>
      </c>
      <c r="D60" s="109">
        <f t="shared" ca="1" si="9"/>
        <v>6165</v>
      </c>
      <c r="E60" s="110"/>
      <c r="AB60" s="82">
        <f t="shared" ca="1" si="7"/>
        <v>0.33566642571174088</v>
      </c>
      <c r="AC60" s="95">
        <v>62</v>
      </c>
      <c r="AD60" s="95">
        <v>58</v>
      </c>
      <c r="AE60" s="95">
        <f t="shared" ca="1" si="13"/>
        <v>422</v>
      </c>
      <c r="AF60" s="117">
        <f t="shared" ca="1" si="14"/>
        <v>14.609171101399335</v>
      </c>
      <c r="AG60" s="82">
        <f t="shared" ca="1" si="15"/>
        <v>6165</v>
      </c>
      <c r="AH60" s="82"/>
      <c r="AI60" s="82"/>
      <c r="AJ60" s="82"/>
      <c r="AK60" s="82"/>
    </row>
    <row r="61" spans="1:37" ht="16.5" x14ac:dyDescent="0.3">
      <c r="A61" s="37">
        <v>59</v>
      </c>
      <c r="B61" s="107">
        <f t="shared" ca="1" si="16"/>
        <v>4056</v>
      </c>
      <c r="C61" s="108">
        <f t="shared" ca="1" si="8"/>
        <v>6021</v>
      </c>
      <c r="D61" s="109">
        <f t="shared" ca="1" si="9"/>
        <v>6844</v>
      </c>
      <c r="E61" s="110"/>
      <c r="AB61" s="82">
        <f t="shared" ca="1" si="7"/>
        <v>0.6672541757429381</v>
      </c>
      <c r="AC61" s="95">
        <v>57</v>
      </c>
      <c r="AD61" s="95">
        <v>59</v>
      </c>
      <c r="AE61" s="95">
        <f t="shared" ca="1" si="13"/>
        <v>427</v>
      </c>
      <c r="AF61" s="117">
        <f t="shared" ca="1" si="14"/>
        <v>16.028547329794232</v>
      </c>
      <c r="AG61" s="82">
        <f t="shared" ca="1" si="15"/>
        <v>6844</v>
      </c>
      <c r="AH61" s="82"/>
      <c r="AI61" s="82"/>
      <c r="AJ61" s="82"/>
      <c r="AK61" s="82"/>
    </row>
    <row r="62" spans="1:37" ht="16.5" x14ac:dyDescent="0.3">
      <c r="A62" s="37">
        <v>60</v>
      </c>
      <c r="B62" s="107">
        <f t="shared" ca="1" si="16"/>
        <v>2281</v>
      </c>
      <c r="C62" s="108">
        <f t="shared" ca="1" si="8"/>
        <v>6343</v>
      </c>
      <c r="D62" s="109">
        <f t="shared" ca="1" si="9"/>
        <v>7360</v>
      </c>
      <c r="E62" s="110"/>
      <c r="AB62" s="82">
        <f t="shared" ca="1" si="7"/>
        <v>0.88131210773909141</v>
      </c>
      <c r="AC62" s="95">
        <v>59</v>
      </c>
      <c r="AD62" s="95">
        <v>60</v>
      </c>
      <c r="AE62" s="95">
        <f t="shared" ca="1" si="13"/>
        <v>432</v>
      </c>
      <c r="AF62" s="117">
        <f t="shared" ca="1" si="14"/>
        <v>17.036594003945908</v>
      </c>
      <c r="AG62" s="82">
        <f t="shared" ca="1" si="15"/>
        <v>7360</v>
      </c>
      <c r="AH62" s="82"/>
      <c r="AI62" s="82"/>
      <c r="AJ62" s="82"/>
      <c r="AK62" s="82"/>
    </row>
    <row r="63" spans="1:37" ht="16.5" x14ac:dyDescent="0.3">
      <c r="A63" s="37">
        <v>61</v>
      </c>
      <c r="B63" s="107">
        <f t="shared" ca="1" si="16"/>
        <v>3760</v>
      </c>
      <c r="C63" s="108">
        <f t="shared" ca="1" si="8"/>
        <v>6361</v>
      </c>
      <c r="D63" s="109">
        <f t="shared" ca="1" si="9"/>
        <v>4941</v>
      </c>
      <c r="E63" s="110"/>
      <c r="AB63" s="82">
        <f t="shared" ca="1" si="7"/>
        <v>0.67783186896482106</v>
      </c>
      <c r="AC63" s="95">
        <v>60</v>
      </c>
      <c r="AD63" s="95">
        <v>61</v>
      </c>
      <c r="AE63" s="95">
        <f t="shared" ca="1" si="13"/>
        <v>437</v>
      </c>
      <c r="AF63" s="117">
        <f t="shared" ca="1" si="14"/>
        <v>11.307105423121506</v>
      </c>
      <c r="AG63" s="82">
        <f t="shared" ca="1" si="15"/>
        <v>4941</v>
      </c>
      <c r="AH63" s="82"/>
      <c r="AI63" s="82"/>
      <c r="AJ63" s="82"/>
      <c r="AK63" s="82"/>
    </row>
    <row r="64" spans="1:37" ht="16.5" x14ac:dyDescent="0.3">
      <c r="A64" s="37">
        <v>62</v>
      </c>
      <c r="B64" s="107">
        <f t="shared" ca="1" si="16"/>
        <v>8125</v>
      </c>
      <c r="C64" s="108">
        <f t="shared" ca="1" si="8"/>
        <v>6366</v>
      </c>
      <c r="D64" s="109">
        <f t="shared" ca="1" si="9"/>
        <v>5926</v>
      </c>
      <c r="E64" s="110"/>
      <c r="AB64" s="82">
        <f t="shared" ca="1" si="7"/>
        <v>1.3893723835204375E-3</v>
      </c>
      <c r="AC64" s="95">
        <v>61</v>
      </c>
      <c r="AD64" s="95">
        <v>62</v>
      </c>
      <c r="AE64" s="95">
        <f t="shared" ca="1" si="13"/>
        <v>442</v>
      </c>
      <c r="AF64" s="117">
        <f t="shared" ca="1" si="14"/>
        <v>13.406392912011148</v>
      </c>
      <c r="AG64" s="82">
        <f t="shared" ca="1" si="15"/>
        <v>5926</v>
      </c>
      <c r="AH64" s="82"/>
      <c r="AI64" s="82"/>
      <c r="AJ64" s="82"/>
      <c r="AK64" s="82"/>
    </row>
    <row r="65" spans="1:38" ht="16.5" x14ac:dyDescent="0.3">
      <c r="A65" s="37">
        <v>63</v>
      </c>
      <c r="B65" s="107">
        <f t="shared" ca="1" si="16"/>
        <v>6366</v>
      </c>
      <c r="C65" s="108">
        <f t="shared" ca="1" si="8"/>
        <v>6447</v>
      </c>
      <c r="D65" s="109">
        <f t="shared" ca="1" si="9"/>
        <v>5825</v>
      </c>
      <c r="E65" s="110"/>
      <c r="AB65" s="82">
        <f t="shared" ca="1" si="7"/>
        <v>0.28255242858254004</v>
      </c>
      <c r="AC65" s="95">
        <v>64</v>
      </c>
      <c r="AD65" s="95">
        <v>63</v>
      </c>
      <c r="AE65" s="95">
        <f t="shared" ca="1" si="13"/>
        <v>447</v>
      </c>
      <c r="AF65" s="117">
        <f t="shared" ca="1" si="14"/>
        <v>13.030803289901264</v>
      </c>
      <c r="AG65" s="82">
        <f t="shared" ca="1" si="15"/>
        <v>5825</v>
      </c>
      <c r="AH65" s="82"/>
      <c r="AI65" s="82"/>
      <c r="AJ65" s="82"/>
      <c r="AK65" s="82"/>
    </row>
    <row r="66" spans="1:38" ht="16.5" x14ac:dyDescent="0.3">
      <c r="A66" s="37">
        <v>64</v>
      </c>
      <c r="B66" s="107">
        <f t="shared" ca="1" si="16"/>
        <v>2487</v>
      </c>
      <c r="C66" s="108">
        <f t="shared" ca="1" si="8"/>
        <v>6422</v>
      </c>
      <c r="D66" s="109">
        <f t="shared" ca="1" si="9"/>
        <v>7119</v>
      </c>
      <c r="E66" s="110"/>
      <c r="AB66" s="82">
        <f t="shared" ca="1" si="7"/>
        <v>0.71800801270614834</v>
      </c>
      <c r="AC66" s="95">
        <v>63</v>
      </c>
      <c r="AD66" s="95">
        <v>64</v>
      </c>
      <c r="AE66" s="95">
        <f t="shared" ca="1" si="13"/>
        <v>452</v>
      </c>
      <c r="AF66" s="117">
        <f t="shared" ca="1" si="14"/>
        <v>15.749795094719673</v>
      </c>
      <c r="AG66" s="82">
        <f t="shared" ca="1" si="15"/>
        <v>7119</v>
      </c>
      <c r="AH66" s="82"/>
      <c r="AI66" s="82"/>
      <c r="AJ66" s="82"/>
      <c r="AK66" s="82"/>
    </row>
    <row r="67" spans="1:38" ht="16.5" x14ac:dyDescent="0.3">
      <c r="A67" s="37">
        <v>65</v>
      </c>
      <c r="B67" s="107">
        <f t="shared" ca="1" si="16"/>
        <v>2312</v>
      </c>
      <c r="C67" s="108">
        <f t="shared" ca="1" si="8"/>
        <v>6844</v>
      </c>
      <c r="D67" s="109">
        <f t="shared" ca="1" si="9"/>
        <v>7444</v>
      </c>
      <c r="E67" s="110"/>
      <c r="AB67" s="82">
        <f t="shared" ref="AB67:AB77" ca="1" si="17">RAND()</f>
        <v>0.94731979313573889</v>
      </c>
      <c r="AC67" s="95">
        <v>68</v>
      </c>
      <c r="AD67" s="95">
        <v>65</v>
      </c>
      <c r="AE67" s="95">
        <f t="shared" ca="1" si="13"/>
        <v>457</v>
      </c>
      <c r="AF67" s="117">
        <f t="shared" ca="1" si="14"/>
        <v>16.288829215195456</v>
      </c>
      <c r="AG67" s="82">
        <f t="shared" ca="1" si="15"/>
        <v>7444</v>
      </c>
      <c r="AH67" s="82"/>
      <c r="AI67" s="82"/>
      <c r="AJ67" s="82"/>
      <c r="AK67" s="82"/>
    </row>
    <row r="68" spans="1:38" ht="16.5" x14ac:dyDescent="0.3">
      <c r="A68" s="37">
        <v>66</v>
      </c>
      <c r="B68" s="107">
        <f t="shared" ref="B68:B77" ca="1" si="18">INDEX($AG$3:$AG$77,RANK(AB68,$AB$3:$AB$77))</f>
        <v>3162</v>
      </c>
      <c r="C68" s="108">
        <f t="shared" ref="C68:C77" ca="1" si="19">SMALL($AG$3:$AG$77,AC68)</f>
        <v>6768</v>
      </c>
      <c r="D68" s="109">
        <f t="shared" ref="D68:D77" ca="1" si="20">AG68</f>
        <v>5629</v>
      </c>
      <c r="E68" s="110"/>
      <c r="AB68" s="82">
        <f t="shared" ca="1" si="17"/>
        <v>0.82916330510948932</v>
      </c>
      <c r="AC68" s="95">
        <v>66</v>
      </c>
      <c r="AD68" s="95">
        <v>66</v>
      </c>
      <c r="AE68" s="95">
        <f t="shared" ref="AE68:AE77" ca="1" si="21">INT($AH$1+$AI$1*AD68)</f>
        <v>462</v>
      </c>
      <c r="AF68" s="117">
        <f t="shared" ref="AF68:AF77" ca="1" si="22">(((IF(MOD(AD68,5)&lt;&gt;0,MOD(AD68,5),5))+12)+_xlfn.NORM.S.INV(RAND()))</f>
        <v>12.184351913802743</v>
      </c>
      <c r="AG68" s="82">
        <f t="shared" ref="AG68:AG76" ca="1" si="23">ROUND(AE68*AF68,0)</f>
        <v>5629</v>
      </c>
      <c r="AH68" s="82"/>
      <c r="AI68" s="82"/>
      <c r="AJ68" s="82"/>
      <c r="AK68" s="82"/>
    </row>
    <row r="69" spans="1:38" ht="16.5" x14ac:dyDescent="0.3">
      <c r="A69" s="37">
        <v>67</v>
      </c>
      <c r="B69" s="107">
        <f t="shared" ca="1" si="18"/>
        <v>4439</v>
      </c>
      <c r="C69" s="108">
        <f t="shared" ca="1" si="19"/>
        <v>6821</v>
      </c>
      <c r="D69" s="109">
        <f t="shared" ca="1" si="20"/>
        <v>6361</v>
      </c>
      <c r="E69" s="110"/>
      <c r="AB69" s="82">
        <f t="shared" ca="1" si="17"/>
        <v>0.29597884369126093</v>
      </c>
      <c r="AC69" s="95">
        <v>67</v>
      </c>
      <c r="AD69" s="95">
        <v>67</v>
      </c>
      <c r="AE69" s="95">
        <f t="shared" ca="1" si="21"/>
        <v>467</v>
      </c>
      <c r="AF69" s="117">
        <f t="shared" ca="1" si="22"/>
        <v>13.620848736769513</v>
      </c>
      <c r="AG69" s="82">
        <f t="shared" ca="1" si="23"/>
        <v>6361</v>
      </c>
      <c r="AH69" s="82"/>
      <c r="AI69" s="82"/>
      <c r="AJ69" s="82"/>
      <c r="AK69" s="82"/>
    </row>
    <row r="70" spans="1:38" ht="16.5" x14ac:dyDescent="0.3">
      <c r="A70" s="37">
        <v>68</v>
      </c>
      <c r="B70" s="107">
        <f t="shared" ca="1" si="18"/>
        <v>4761</v>
      </c>
      <c r="C70" s="108">
        <f t="shared" ca="1" si="19"/>
        <v>6667</v>
      </c>
      <c r="D70" s="109">
        <f t="shared" ca="1" si="20"/>
        <v>7031</v>
      </c>
      <c r="E70" s="110"/>
      <c r="AB70" s="82">
        <f t="shared" ca="1" si="17"/>
        <v>0.52259322882176495</v>
      </c>
      <c r="AC70" s="95">
        <v>65</v>
      </c>
      <c r="AD70" s="95">
        <v>68</v>
      </c>
      <c r="AE70" s="95">
        <f t="shared" ca="1" si="21"/>
        <v>472</v>
      </c>
      <c r="AF70" s="117">
        <f t="shared" ca="1" si="22"/>
        <v>14.895387759361963</v>
      </c>
      <c r="AG70" s="82">
        <f t="shared" ca="1" si="23"/>
        <v>7031</v>
      </c>
      <c r="AH70" s="82"/>
      <c r="AI70" s="82"/>
      <c r="AJ70" s="82"/>
      <c r="AK70" s="82"/>
    </row>
    <row r="71" spans="1:38" ht="16.5" x14ac:dyDescent="0.3">
      <c r="A71" s="37">
        <v>69</v>
      </c>
      <c r="B71" s="107">
        <f t="shared" ca="1" si="18"/>
        <v>3543</v>
      </c>
      <c r="C71" s="108">
        <f t="shared" ca="1" si="19"/>
        <v>7031</v>
      </c>
      <c r="D71" s="109">
        <f t="shared" ca="1" si="20"/>
        <v>6821</v>
      </c>
      <c r="E71" s="110"/>
      <c r="AB71" s="82">
        <f t="shared" ca="1" si="17"/>
        <v>0.78368161441234607</v>
      </c>
      <c r="AC71" s="95">
        <v>69</v>
      </c>
      <c r="AD71" s="95">
        <v>69</v>
      </c>
      <c r="AE71" s="95">
        <f t="shared" ca="1" si="21"/>
        <v>477</v>
      </c>
      <c r="AF71" s="117">
        <f t="shared" ca="1" si="22"/>
        <v>14.30042319030329</v>
      </c>
      <c r="AG71" s="82">
        <f t="shared" ca="1" si="23"/>
        <v>6821</v>
      </c>
      <c r="AH71" s="82"/>
      <c r="AI71" s="82"/>
      <c r="AJ71" s="82"/>
      <c r="AK71" s="82"/>
    </row>
    <row r="72" spans="1:38" ht="16.5" x14ac:dyDescent="0.3">
      <c r="A72" s="37">
        <v>70</v>
      </c>
      <c r="B72" s="107">
        <f t="shared" ca="1" si="18"/>
        <v>3290</v>
      </c>
      <c r="C72" s="108">
        <f t="shared" ca="1" si="19"/>
        <v>7119</v>
      </c>
      <c r="D72" s="109">
        <f t="shared" ca="1" si="20"/>
        <v>8159</v>
      </c>
      <c r="E72" s="110"/>
      <c r="AB72" s="82">
        <f t="shared" ca="1" si="17"/>
        <v>0.82207900172057224</v>
      </c>
      <c r="AC72" s="95">
        <v>70</v>
      </c>
      <c r="AD72" s="95">
        <v>70</v>
      </c>
      <c r="AE72" s="95">
        <f t="shared" ca="1" si="21"/>
        <v>482</v>
      </c>
      <c r="AF72" s="117">
        <f t="shared" ca="1" si="22"/>
        <v>16.926980670988215</v>
      </c>
      <c r="AG72" s="82">
        <f t="shared" ca="1" si="23"/>
        <v>8159</v>
      </c>
      <c r="AH72" s="82"/>
      <c r="AI72" s="82"/>
      <c r="AJ72" s="82"/>
      <c r="AK72" s="82"/>
    </row>
    <row r="73" spans="1:38" ht="16.5" x14ac:dyDescent="0.3">
      <c r="A73" s="37">
        <v>71</v>
      </c>
      <c r="B73" s="107">
        <f t="shared" ca="1" si="18"/>
        <v>2521</v>
      </c>
      <c r="C73" s="108">
        <f t="shared" ca="1" si="19"/>
        <v>7444</v>
      </c>
      <c r="D73" s="109">
        <f t="shared" ca="1" si="20"/>
        <v>6021</v>
      </c>
      <c r="E73" s="110"/>
      <c r="AB73" s="82">
        <f t="shared" ca="1" si="17"/>
        <v>0.81430094919882434</v>
      </c>
      <c r="AC73" s="95">
        <v>72</v>
      </c>
      <c r="AD73" s="95">
        <v>71</v>
      </c>
      <c r="AE73" s="95">
        <f t="shared" ca="1" si="21"/>
        <v>487</v>
      </c>
      <c r="AF73" s="117">
        <f t="shared" ca="1" si="22"/>
        <v>12.364142878150101</v>
      </c>
      <c r="AG73" s="82">
        <f t="shared" ca="1" si="23"/>
        <v>6021</v>
      </c>
      <c r="AH73" s="82"/>
      <c r="AI73" s="82"/>
      <c r="AJ73" s="82"/>
      <c r="AK73" s="82"/>
    </row>
    <row r="74" spans="1:38" ht="16.5" x14ac:dyDescent="0.3">
      <c r="A74" s="37">
        <v>72</v>
      </c>
      <c r="B74" s="107">
        <f t="shared" ca="1" si="18"/>
        <v>6165</v>
      </c>
      <c r="C74" s="108">
        <f t="shared" ca="1" si="19"/>
        <v>9236</v>
      </c>
      <c r="D74" s="109">
        <f t="shared" ca="1" si="20"/>
        <v>6422</v>
      </c>
      <c r="E74" s="110"/>
      <c r="AB74" s="82">
        <f t="shared" ca="1" si="17"/>
        <v>0.23728225099676292</v>
      </c>
      <c r="AC74" s="95">
        <v>75</v>
      </c>
      <c r="AD74" s="95">
        <v>72</v>
      </c>
      <c r="AE74" s="95">
        <f t="shared" ca="1" si="21"/>
        <v>492</v>
      </c>
      <c r="AF74" s="117">
        <f t="shared" ca="1" si="22"/>
        <v>13.053281399725099</v>
      </c>
      <c r="AG74" s="82">
        <f t="shared" ca="1" si="23"/>
        <v>6422</v>
      </c>
      <c r="AH74" s="82"/>
      <c r="AI74" s="82"/>
      <c r="AJ74" s="82"/>
      <c r="AK74" s="82"/>
    </row>
    <row r="75" spans="1:38" ht="16.5" x14ac:dyDescent="0.3">
      <c r="A75" s="37">
        <v>73</v>
      </c>
      <c r="B75" s="107">
        <f t="shared" ca="1" si="18"/>
        <v>2526</v>
      </c>
      <c r="C75" s="108">
        <f t="shared" ca="1" si="19"/>
        <v>7360</v>
      </c>
      <c r="D75" s="109">
        <f t="shared" ca="1" si="20"/>
        <v>6768</v>
      </c>
      <c r="E75" s="110"/>
      <c r="AB75" s="82">
        <f t="shared" ca="1" si="17"/>
        <v>0.81542050046803238</v>
      </c>
      <c r="AC75" s="95">
        <v>71</v>
      </c>
      <c r="AD75" s="95">
        <v>73</v>
      </c>
      <c r="AE75" s="95">
        <f t="shared" ca="1" si="21"/>
        <v>497</v>
      </c>
      <c r="AF75" s="117">
        <f t="shared" ca="1" si="22"/>
        <v>13.618510773563747</v>
      </c>
      <c r="AG75" s="82">
        <f t="shared" ca="1" si="23"/>
        <v>6768</v>
      </c>
      <c r="AH75" s="82"/>
      <c r="AI75" s="82"/>
      <c r="AJ75" s="82"/>
      <c r="AK75" s="82"/>
    </row>
    <row r="76" spans="1:38" ht="16.5" x14ac:dyDescent="0.3">
      <c r="A76" s="37">
        <v>74</v>
      </c>
      <c r="B76" s="107">
        <f t="shared" ca="1" si="18"/>
        <v>3459</v>
      </c>
      <c r="C76" s="108">
        <f t="shared" ca="1" si="19"/>
        <v>8125</v>
      </c>
      <c r="D76" s="109">
        <f t="shared" ca="1" si="20"/>
        <v>9236</v>
      </c>
      <c r="E76" s="110"/>
      <c r="AB76" s="82">
        <f t="shared" ca="1" si="17"/>
        <v>0.6429548762766113</v>
      </c>
      <c r="AC76" s="95">
        <v>73</v>
      </c>
      <c r="AD76" s="95">
        <v>74</v>
      </c>
      <c r="AE76" s="95">
        <f t="shared" ca="1" si="21"/>
        <v>502</v>
      </c>
      <c r="AF76" s="117">
        <f t="shared" ca="1" si="22"/>
        <v>18.399185296581123</v>
      </c>
      <c r="AG76" s="82">
        <f t="shared" ca="1" si="23"/>
        <v>9236</v>
      </c>
      <c r="AH76" s="82"/>
      <c r="AI76" s="82"/>
      <c r="AJ76" s="82"/>
      <c r="AK76" s="82"/>
    </row>
    <row r="77" spans="1:38" ht="16.5" x14ac:dyDescent="0.3">
      <c r="A77" s="37">
        <v>75</v>
      </c>
      <c r="B77" s="107">
        <f t="shared" ca="1" si="18"/>
        <v>6447</v>
      </c>
      <c r="C77" s="108">
        <f t="shared" ca="1" si="19"/>
        <v>8159</v>
      </c>
      <c r="D77" s="109">
        <f t="shared" ca="1" si="20"/>
        <v>8125</v>
      </c>
      <c r="E77" s="110"/>
      <c r="AB77" s="82">
        <f t="shared" ca="1" si="17"/>
        <v>0.25626667092401445</v>
      </c>
      <c r="AC77" s="95">
        <v>74</v>
      </c>
      <c r="AD77" s="95">
        <v>75</v>
      </c>
      <c r="AE77" s="95">
        <f t="shared" ca="1" si="21"/>
        <v>507</v>
      </c>
      <c r="AF77" s="117">
        <f t="shared" ca="1" si="22"/>
        <v>16.025570814237497</v>
      </c>
      <c r="AG77" s="82">
        <f ca="1">ROUND(AE77*AF77,0)</f>
        <v>8125</v>
      </c>
      <c r="AH77" s="82"/>
      <c r="AI77" s="82"/>
      <c r="AJ77" s="82"/>
      <c r="AK77" s="82"/>
    </row>
    <row r="78" spans="1:38" ht="16.5" x14ac:dyDescent="0.3">
      <c r="A78" s="39"/>
      <c r="B78" s="39"/>
      <c r="C78" s="39"/>
      <c r="D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</row>
    <row r="79" spans="1:38" ht="16.5" x14ac:dyDescent="0.3">
      <c r="A79" s="39"/>
      <c r="B79" s="39"/>
      <c r="C79" s="39"/>
      <c r="D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</row>
    <row r="80" spans="1:38" ht="16.5" x14ac:dyDescent="0.3">
      <c r="A80" s="39"/>
      <c r="B80" s="39"/>
      <c r="C80" s="39"/>
      <c r="D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</row>
    <row r="81" spans="1:38" ht="16.5" x14ac:dyDescent="0.3">
      <c r="A81" s="39"/>
      <c r="B81" s="39"/>
      <c r="C81" s="39"/>
      <c r="D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</row>
    <row r="82" spans="1:38" ht="16.5" x14ac:dyDescent="0.3"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</row>
    <row r="83" spans="1:38" ht="16.5" x14ac:dyDescent="0.3"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</row>
    <row r="84" spans="1:38" ht="16.5" x14ac:dyDescent="0.3"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</row>
    <row r="85" spans="1:38" ht="16.5" x14ac:dyDescent="0.3"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</row>
    <row r="86" spans="1:38" ht="16.5" x14ac:dyDescent="0.3"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</row>
    <row r="87" spans="1:38" ht="16.5" x14ac:dyDescent="0.3"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</row>
    <row r="88" spans="1:38" ht="16.5" x14ac:dyDescent="0.3"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</row>
    <row r="89" spans="1:38" ht="16.5" x14ac:dyDescent="0.3"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4"/>
  <sheetViews>
    <sheetView workbookViewId="0">
      <selection activeCell="D28" sqref="D28"/>
    </sheetView>
  </sheetViews>
  <sheetFormatPr defaultColWidth="9.140625" defaultRowHeight="16.5" x14ac:dyDescent="0.3"/>
  <cols>
    <col min="1" max="1" width="3.28515625" style="39" bestFit="1" customWidth="1"/>
    <col min="2" max="2" width="5.85546875" style="39" customWidth="1"/>
    <col min="3" max="3" width="7.42578125" style="39" customWidth="1"/>
    <col min="4" max="4" width="27.28515625" style="39" bestFit="1" customWidth="1"/>
    <col min="5" max="5" width="13.85546875" style="39" bestFit="1" customWidth="1"/>
    <col min="6" max="6" width="16.5703125" style="39" bestFit="1" customWidth="1"/>
    <col min="7" max="7" width="11.140625" style="39" bestFit="1" customWidth="1"/>
    <col min="8" max="8" width="23.28515625" style="39" bestFit="1" customWidth="1"/>
    <col min="9" max="9" width="9.140625" style="39"/>
    <col min="10" max="14" width="8.85546875" customWidth="1"/>
    <col min="15" max="16384" width="9.140625" style="39"/>
  </cols>
  <sheetData>
    <row r="1" spans="1:16" ht="17.25" thickBot="1" x14ac:dyDescent="0.35">
      <c r="A1" s="52" t="s">
        <v>75</v>
      </c>
      <c r="B1" s="52"/>
      <c r="C1" s="52"/>
      <c r="D1" s="52"/>
      <c r="E1" s="52"/>
      <c r="F1" s="52"/>
      <c r="G1" s="52"/>
      <c r="I1" s="52"/>
      <c r="P1" s="39" t="str">
        <f>B8&amp;" vs "&amp;C8</f>
        <v>At vs Ft</v>
      </c>
    </row>
    <row r="2" spans="1:16" ht="17.25" thickBot="1" x14ac:dyDescent="0.35">
      <c r="A2" s="52" t="s">
        <v>66</v>
      </c>
      <c r="B2" s="52"/>
      <c r="C2" s="52"/>
      <c r="D2" s="142" t="s">
        <v>62</v>
      </c>
      <c r="E2" s="149">
        <v>0.4</v>
      </c>
      <c r="I2" s="52"/>
    </row>
    <row r="3" spans="1:16" ht="17.25" thickBot="1" x14ac:dyDescent="0.35">
      <c r="A3" s="52" t="s">
        <v>72</v>
      </c>
      <c r="B3" s="52"/>
      <c r="C3" s="52"/>
      <c r="D3" s="52"/>
      <c r="G3" s="52"/>
      <c r="H3" s="52"/>
    </row>
    <row r="4" spans="1:16" ht="17.25" thickBot="1" x14ac:dyDescent="0.35">
      <c r="A4" s="52" t="s">
        <v>69</v>
      </c>
      <c r="E4" s="150">
        <f>C21</f>
        <v>712.41921689599997</v>
      </c>
      <c r="H4" s="52"/>
    </row>
    <row r="5" spans="1:16" ht="17.25" thickBot="1" x14ac:dyDescent="0.35">
      <c r="A5" s="52" t="s">
        <v>67</v>
      </c>
      <c r="E5" s="150">
        <f>G20</f>
        <v>174.29174911999999</v>
      </c>
      <c r="H5" s="52"/>
      <c r="O5" s="52"/>
    </row>
    <row r="6" spans="1:16" ht="17.25" thickBot="1" x14ac:dyDescent="0.35">
      <c r="A6" s="52" t="s">
        <v>68</v>
      </c>
      <c r="G6" s="150">
        <f>H22</f>
        <v>217.86468639999998</v>
      </c>
      <c r="H6" s="52"/>
      <c r="O6" s="52"/>
      <c r="P6" s="52"/>
    </row>
    <row r="7" spans="1:16" ht="17.25" thickBot="1" x14ac:dyDescent="0.35">
      <c r="A7" s="52" t="s">
        <v>74</v>
      </c>
      <c r="G7" s="162">
        <f>G6/E4</f>
        <v>0.30580967109398483</v>
      </c>
      <c r="H7" s="52"/>
      <c r="O7" s="52"/>
      <c r="P7" s="52"/>
    </row>
    <row r="8" spans="1:16" x14ac:dyDescent="0.3">
      <c r="A8" s="40" t="s">
        <v>61</v>
      </c>
      <c r="B8" s="40" t="s">
        <v>0</v>
      </c>
      <c r="C8" s="39" t="s">
        <v>3</v>
      </c>
      <c r="E8" s="39" t="s">
        <v>60</v>
      </c>
      <c r="G8" s="39" t="s">
        <v>1</v>
      </c>
    </row>
    <row r="9" spans="1:16" x14ac:dyDescent="0.3">
      <c r="A9" s="40">
        <v>1</v>
      </c>
      <c r="B9" s="40">
        <v>323</v>
      </c>
      <c r="C9" s="63">
        <f>B9</f>
        <v>323</v>
      </c>
      <c r="D9" s="39" t="str">
        <f t="shared" ref="D9:D21" ca="1" si="0">_xlfn.FORMULATEXT(C9)</f>
        <v>=B9</v>
      </c>
      <c r="E9" s="141">
        <f t="shared" ref="E9:E20" si="1">ABS(B9-C9)</f>
        <v>0</v>
      </c>
      <c r="F9" s="39" t="str">
        <f t="shared" ref="F9:F20" ca="1" si="2">_xlfn.FORMULATEXT(E9)</f>
        <v>=ABS(B9-C9)</v>
      </c>
      <c r="G9" s="141">
        <f>AVERAGE($E$9:E9)</f>
        <v>0</v>
      </c>
      <c r="H9" s="39" t="str">
        <f t="shared" ref="H9:H20" ca="1" si="3">_xlfn.FORMULATEXT(G9)</f>
        <v>=AVERAGE($E$9:E9)</v>
      </c>
    </row>
    <row r="10" spans="1:16" x14ac:dyDescent="0.3">
      <c r="A10" s="40">
        <v>2</v>
      </c>
      <c r="B10" s="40">
        <v>1098</v>
      </c>
      <c r="C10" s="63">
        <f t="shared" ref="C10:C21" si="4">(1-$E$2)*C9+$E$2*B9</f>
        <v>323</v>
      </c>
      <c r="D10" s="39" t="str">
        <f t="shared" ca="1" si="0"/>
        <v>=(1-$E$2)*C9+$E$2*B9</v>
      </c>
      <c r="E10" s="141">
        <f t="shared" si="1"/>
        <v>775</v>
      </c>
      <c r="F10" s="39" t="str">
        <f t="shared" ca="1" si="2"/>
        <v>=ABS(B10-C10)</v>
      </c>
      <c r="G10" s="141">
        <f>AVERAGE($E$9:E10)</f>
        <v>387.5</v>
      </c>
      <c r="H10" s="39" t="str">
        <f t="shared" ca="1" si="3"/>
        <v>=AVERAGE($E$9:E10)</v>
      </c>
    </row>
    <row r="11" spans="1:16" x14ac:dyDescent="0.3">
      <c r="A11" s="40">
        <v>3</v>
      </c>
      <c r="B11" s="40">
        <v>588</v>
      </c>
      <c r="C11" s="63">
        <f t="shared" si="4"/>
        <v>633</v>
      </c>
      <c r="D11" s="39" t="str">
        <f t="shared" ca="1" si="0"/>
        <v>=(1-$E$2)*C10+$E$2*B10</v>
      </c>
      <c r="E11" s="141">
        <f t="shared" si="1"/>
        <v>45</v>
      </c>
      <c r="F11" s="39" t="str">
        <f t="shared" ca="1" si="2"/>
        <v>=ABS(B11-C11)</v>
      </c>
      <c r="G11" s="141">
        <f>AVERAGE($E$9:E11)</f>
        <v>273.33333333333331</v>
      </c>
      <c r="H11" s="39" t="str">
        <f t="shared" ca="1" si="3"/>
        <v>=AVERAGE($E$9:E11)</v>
      </c>
    </row>
    <row r="12" spans="1:16" x14ac:dyDescent="0.3">
      <c r="A12" s="40">
        <v>4</v>
      </c>
      <c r="B12" s="40">
        <v>329</v>
      </c>
      <c r="C12" s="63">
        <f t="shared" si="4"/>
        <v>615</v>
      </c>
      <c r="D12" s="39" t="str">
        <f t="shared" ca="1" si="0"/>
        <v>=(1-$E$2)*C11+$E$2*B11</v>
      </c>
      <c r="E12" s="141">
        <f t="shared" si="1"/>
        <v>286</v>
      </c>
      <c r="F12" s="39" t="str">
        <f t="shared" ca="1" si="2"/>
        <v>=ABS(B12-C12)</v>
      </c>
      <c r="G12" s="141">
        <f>AVERAGE($E$9:E12)</f>
        <v>276.5</v>
      </c>
      <c r="H12" s="39" t="str">
        <f t="shared" ca="1" si="3"/>
        <v>=AVERAGE($E$9:E12)</v>
      </c>
    </row>
    <row r="13" spans="1:16" x14ac:dyDescent="0.3">
      <c r="A13" s="40">
        <v>5</v>
      </c>
      <c r="B13" s="40">
        <v>495</v>
      </c>
      <c r="C13" s="63">
        <f t="shared" si="4"/>
        <v>500.6</v>
      </c>
      <c r="D13" s="39" t="str">
        <f t="shared" ca="1" si="0"/>
        <v>=(1-$E$2)*C12+$E$2*B12</v>
      </c>
      <c r="E13" s="141">
        <f t="shared" si="1"/>
        <v>5.6000000000000227</v>
      </c>
      <c r="F13" s="39" t="str">
        <f t="shared" ca="1" si="2"/>
        <v>=ABS(B13-C13)</v>
      </c>
      <c r="G13" s="141">
        <f>AVERAGE($E$9:E13)</f>
        <v>222.32</v>
      </c>
      <c r="H13" s="39" t="str">
        <f t="shared" ca="1" si="3"/>
        <v>=AVERAGE($E$9:E13)</v>
      </c>
    </row>
    <row r="14" spans="1:16" x14ac:dyDescent="0.3">
      <c r="A14" s="40">
        <v>6</v>
      </c>
      <c r="B14" s="40">
        <v>391</v>
      </c>
      <c r="C14" s="63">
        <f t="shared" si="4"/>
        <v>498.36</v>
      </c>
      <c r="D14" s="39" t="str">
        <f t="shared" ca="1" si="0"/>
        <v>=(1-$E$2)*C13+$E$2*B13</v>
      </c>
      <c r="E14" s="141">
        <f t="shared" si="1"/>
        <v>107.36000000000001</v>
      </c>
      <c r="F14" s="39" t="str">
        <f t="shared" ca="1" si="2"/>
        <v>=ABS(B14-C14)</v>
      </c>
      <c r="G14" s="141">
        <f>AVERAGE($E$9:E14)</f>
        <v>203.16</v>
      </c>
      <c r="H14" s="39" t="str">
        <f t="shared" ca="1" si="3"/>
        <v>=AVERAGE($E$9:E14)</v>
      </c>
    </row>
    <row r="15" spans="1:16" x14ac:dyDescent="0.3">
      <c r="A15" s="40">
        <v>7</v>
      </c>
      <c r="B15" s="40">
        <v>487</v>
      </c>
      <c r="C15" s="63">
        <f t="shared" si="4"/>
        <v>455.41600000000005</v>
      </c>
      <c r="D15" s="39" t="str">
        <f t="shared" ca="1" si="0"/>
        <v>=(1-$E$2)*C14+$E$2*B14</v>
      </c>
      <c r="E15" s="141">
        <f t="shared" si="1"/>
        <v>31.583999999999946</v>
      </c>
      <c r="F15" s="39" t="str">
        <f t="shared" ca="1" si="2"/>
        <v>=ABS(B15-C15)</v>
      </c>
      <c r="G15" s="141">
        <f>AVERAGE($E$9:E15)</f>
        <v>178.64914285714283</v>
      </c>
      <c r="H15" s="39" t="str">
        <f t="shared" ca="1" si="3"/>
        <v>=AVERAGE($E$9:E15)</v>
      </c>
    </row>
    <row r="16" spans="1:16" x14ac:dyDescent="0.3">
      <c r="A16" s="40">
        <v>8</v>
      </c>
      <c r="B16" s="40">
        <v>552</v>
      </c>
      <c r="C16" s="63">
        <f t="shared" si="4"/>
        <v>468.04960000000005</v>
      </c>
      <c r="D16" s="39" t="str">
        <f t="shared" ca="1" si="0"/>
        <v>=(1-$E$2)*C15+$E$2*B15</v>
      </c>
      <c r="E16" s="141">
        <f t="shared" si="1"/>
        <v>83.950399999999945</v>
      </c>
      <c r="F16" s="39" t="str">
        <f t="shared" ca="1" si="2"/>
        <v>=ABS(B16-C16)</v>
      </c>
      <c r="G16" s="141">
        <f>AVERAGE($E$9:E16)</f>
        <v>166.81179999999998</v>
      </c>
      <c r="H16" s="39" t="str">
        <f t="shared" ca="1" si="3"/>
        <v>=AVERAGE($E$9:E16)</v>
      </c>
    </row>
    <row r="17" spans="1:8" x14ac:dyDescent="0.3">
      <c r="A17" s="40">
        <v>9</v>
      </c>
      <c r="B17" s="40">
        <v>485</v>
      </c>
      <c r="C17" s="63">
        <f t="shared" si="4"/>
        <v>501.62976000000003</v>
      </c>
      <c r="D17" s="39" t="str">
        <f t="shared" ca="1" si="0"/>
        <v>=(1-$E$2)*C16+$E$2*B16</v>
      </c>
      <c r="E17" s="141">
        <f t="shared" si="1"/>
        <v>16.629760000000033</v>
      </c>
      <c r="F17" s="39" t="str">
        <f t="shared" ca="1" si="2"/>
        <v>=ABS(B17-C17)</v>
      </c>
      <c r="G17" s="141">
        <f>AVERAGE($E$9:E17)</f>
        <v>150.12490666666665</v>
      </c>
      <c r="H17" s="39" t="str">
        <f t="shared" ca="1" si="3"/>
        <v>=AVERAGE($E$9:E17)</v>
      </c>
    </row>
    <row r="18" spans="1:8" x14ac:dyDescent="0.3">
      <c r="A18" s="40">
        <v>10</v>
      </c>
      <c r="B18" s="40">
        <v>741</v>
      </c>
      <c r="C18" s="63">
        <f t="shared" si="4"/>
        <v>494.97785600000003</v>
      </c>
      <c r="D18" s="39" t="str">
        <f t="shared" ca="1" si="0"/>
        <v>=(1-$E$2)*C17+$E$2*B17</v>
      </c>
      <c r="E18" s="141">
        <f t="shared" si="1"/>
        <v>246.02214399999997</v>
      </c>
      <c r="F18" s="39" t="str">
        <f t="shared" ca="1" si="2"/>
        <v>=ABS(B18-C18)</v>
      </c>
      <c r="G18" s="141">
        <f>AVERAGE($E$9:E18)</f>
        <v>159.71463039999998</v>
      </c>
      <c r="H18" s="39" t="str">
        <f t="shared" ca="1" si="3"/>
        <v>=AVERAGE($E$9:E18)</v>
      </c>
    </row>
    <row r="19" spans="1:8" ht="17.25" thickBot="1" x14ac:dyDescent="0.35">
      <c r="A19" s="40">
        <v>11</v>
      </c>
      <c r="B19" s="40">
        <v>495</v>
      </c>
      <c r="C19" s="63">
        <f t="shared" si="4"/>
        <v>593.38671360000012</v>
      </c>
      <c r="D19" s="39" t="str">
        <f t="shared" ca="1" si="0"/>
        <v>=(1-$E$2)*C18+$E$2*B18</v>
      </c>
      <c r="E19" s="141">
        <f t="shared" si="1"/>
        <v>98.386713600000121</v>
      </c>
      <c r="F19" s="39" t="str">
        <f t="shared" ca="1" si="2"/>
        <v>=ABS(B19-C19)</v>
      </c>
      <c r="G19" s="141">
        <f>AVERAGE($E$9:E19)</f>
        <v>154.13936523636363</v>
      </c>
      <c r="H19" s="39" t="str">
        <f t="shared" ca="1" si="3"/>
        <v>=AVERAGE($E$9:E19)</v>
      </c>
    </row>
    <row r="20" spans="1:8" ht="17.25" thickBot="1" x14ac:dyDescent="0.35">
      <c r="A20" s="40">
        <v>12</v>
      </c>
      <c r="B20" s="40">
        <v>950</v>
      </c>
      <c r="C20" s="63">
        <f t="shared" si="4"/>
        <v>554.03202815999998</v>
      </c>
      <c r="D20" s="39" t="str">
        <f t="shared" ca="1" si="0"/>
        <v>=(1-$E$2)*C19+$E$2*B19</v>
      </c>
      <c r="E20" s="141">
        <f t="shared" si="1"/>
        <v>395.96797184000002</v>
      </c>
      <c r="F20" s="39" t="str">
        <f t="shared" ca="1" si="2"/>
        <v>=ABS(B20-C20)</v>
      </c>
      <c r="G20" s="143">
        <f>AVERAGE($E$9:E20)</f>
        <v>174.29174911999999</v>
      </c>
      <c r="H20" s="39" t="str">
        <f t="shared" ca="1" si="3"/>
        <v>=AVERAGE($E$9:E20)</v>
      </c>
    </row>
    <row r="21" spans="1:8" ht="17.25" thickBot="1" x14ac:dyDescent="0.35">
      <c r="A21" s="40">
        <v>13</v>
      </c>
      <c r="B21" s="40"/>
      <c r="C21" s="144">
        <f t="shared" si="4"/>
        <v>712.41921689599997</v>
      </c>
      <c r="D21" s="39" t="str">
        <f t="shared" ca="1" si="0"/>
        <v>=(1-$E$2)*C20+$E$2*B20</v>
      </c>
      <c r="E21" s="141"/>
      <c r="G21" s="141"/>
    </row>
    <row r="22" spans="1:8" x14ac:dyDescent="0.3">
      <c r="A22" s="148" t="s">
        <v>63</v>
      </c>
      <c r="C22" s="148"/>
      <c r="E22" s="145" t="s">
        <v>65</v>
      </c>
      <c r="F22" s="146">
        <f>C21</f>
        <v>712.41921689599997</v>
      </c>
      <c r="G22" s="147" t="s">
        <v>64</v>
      </c>
      <c r="H22" s="146">
        <f>1.25*G20</f>
        <v>217.86468639999998</v>
      </c>
    </row>
    <row r="23" spans="1:8" x14ac:dyDescent="0.3">
      <c r="F23" s="39" t="str">
        <f ca="1">_xlfn.FORMULATEXT(F22)</f>
        <v>=C21</v>
      </c>
      <c r="H23" s="39" t="str">
        <f ca="1">_xlfn.FORMULATEXT(H22)</f>
        <v>=1.25*G20</v>
      </c>
    </row>
    <row r="24" spans="1:8" x14ac:dyDescent="0.3">
      <c r="G24" s="142" t="s">
        <v>73</v>
      </c>
      <c r="H24" s="152">
        <f>H22/F22</f>
        <v>0.30580967109398483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2"/>
  <sheetViews>
    <sheetView zoomScale="80" zoomScaleNormal="80" workbookViewId="0">
      <selection activeCell="M30" sqref="M30"/>
    </sheetView>
  </sheetViews>
  <sheetFormatPr defaultColWidth="9.140625" defaultRowHeight="16.5" x14ac:dyDescent="0.3"/>
  <cols>
    <col min="1" max="1" width="9.140625" style="39"/>
    <col min="2" max="2" width="4.85546875" style="39" customWidth="1"/>
    <col min="3" max="3" width="9.7109375" style="39" bestFit="1" customWidth="1"/>
    <col min="4" max="4" width="15.7109375" style="39" customWidth="1"/>
    <col min="5" max="5" width="11.42578125" style="40" customWidth="1"/>
    <col min="6" max="6" width="10.7109375" style="40" customWidth="1"/>
    <col min="7" max="7" width="18.42578125" style="40" bestFit="1" customWidth="1"/>
    <col min="8" max="8" width="15.42578125" style="39" bestFit="1" customWidth="1"/>
    <col min="9" max="16384" width="9.140625" style="39"/>
  </cols>
  <sheetData>
    <row r="1" spans="1:24" x14ac:dyDescent="0.3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/>
    </row>
    <row r="2" spans="1:24" ht="17.25" thickBot="1" x14ac:dyDescent="0.35">
      <c r="A2" s="52" t="s">
        <v>44</v>
      </c>
      <c r="B2" s="52"/>
      <c r="C2" s="52"/>
      <c r="D2" s="52"/>
      <c r="E2">
        <v>0.3</v>
      </c>
      <c r="F2"/>
      <c r="G2" s="52"/>
      <c r="H2" s="52"/>
      <c r="I2" s="52"/>
      <c r="J2" s="52"/>
      <c r="K2"/>
    </row>
    <row r="3" spans="1:24" ht="17.25" thickBot="1" x14ac:dyDescent="0.35">
      <c r="A3" s="52" t="s">
        <v>45</v>
      </c>
      <c r="B3"/>
      <c r="C3"/>
      <c r="D3"/>
      <c r="E3"/>
      <c r="F3"/>
      <c r="G3" s="56">
        <f>G60</f>
        <v>18.772602390637807</v>
      </c>
      <c r="H3" s="52"/>
      <c r="I3" s="52"/>
      <c r="N3"/>
      <c r="O3"/>
      <c r="P3"/>
      <c r="Q3"/>
      <c r="R3"/>
      <c r="S3"/>
      <c r="T3"/>
      <c r="U3"/>
      <c r="V3"/>
      <c r="W3" s="52"/>
      <c r="X3"/>
    </row>
    <row r="4" spans="1:24" ht="17.25" thickBot="1" x14ac:dyDescent="0.35">
      <c r="A4" s="53" t="s">
        <v>38</v>
      </c>
      <c r="B4" s="53"/>
      <c r="C4" s="53"/>
      <c r="D4" s="53"/>
      <c r="E4" s="38"/>
      <c r="F4" s="54"/>
      <c r="G4" s="53"/>
      <c r="H4" s="57">
        <f>D61</f>
        <v>68.637112428336991</v>
      </c>
      <c r="I4"/>
    </row>
    <row r="5" spans="1:24" ht="17.25" thickBot="1" x14ac:dyDescent="0.35">
      <c r="A5" s="53" t="s">
        <v>39</v>
      </c>
      <c r="B5"/>
      <c r="C5"/>
      <c r="D5"/>
      <c r="E5"/>
      <c r="F5"/>
      <c r="G5"/>
      <c r="H5"/>
      <c r="I5" s="56">
        <f>1.25*G3</f>
        <v>23.465752988297261</v>
      </c>
      <c r="J5"/>
    </row>
    <row r="6" spans="1:24" x14ac:dyDescent="0.3">
      <c r="A6" s="53" t="s">
        <v>40</v>
      </c>
      <c r="B6"/>
      <c r="C6" s="53" t="s">
        <v>41</v>
      </c>
      <c r="D6"/>
      <c r="E6" s="53" t="s">
        <v>42</v>
      </c>
      <c r="F6" s="39"/>
      <c r="G6"/>
      <c r="J6" s="52"/>
      <c r="K6" s="39">
        <v>0</v>
      </c>
      <c r="L6" s="39">
        <v>4</v>
      </c>
      <c r="M6" s="39">
        <v>0</v>
      </c>
      <c r="N6" s="39">
        <v>-4</v>
      </c>
    </row>
    <row r="7" spans="1:24" x14ac:dyDescent="0.3">
      <c r="A7" s="53" t="s">
        <v>46</v>
      </c>
      <c r="B7"/>
      <c r="C7" t="s">
        <v>33</v>
      </c>
      <c r="D7"/>
      <c r="E7" t="s">
        <v>42</v>
      </c>
      <c r="F7"/>
      <c r="G7"/>
      <c r="H7"/>
      <c r="I7"/>
      <c r="J7"/>
      <c r="K7" s="39">
        <v>50</v>
      </c>
      <c r="L7" s="39">
        <v>4</v>
      </c>
      <c r="M7" s="39">
        <v>0</v>
      </c>
      <c r="N7" s="39">
        <v>-4</v>
      </c>
    </row>
    <row r="8" spans="1:24" x14ac:dyDescent="0.3">
      <c r="E8" s="39"/>
      <c r="F8" s="39"/>
      <c r="G8" s="39"/>
      <c r="H8"/>
      <c r="I8" s="53"/>
      <c r="J8"/>
    </row>
    <row r="9" spans="1:24" ht="17.25" thickBot="1" x14ac:dyDescent="0.35"/>
    <row r="10" spans="1:24" ht="17.25" thickBot="1" x14ac:dyDescent="0.35">
      <c r="A10" s="41" t="s">
        <v>32</v>
      </c>
      <c r="B10" s="43" t="s">
        <v>31</v>
      </c>
      <c r="C10" s="44" t="s">
        <v>0</v>
      </c>
      <c r="D10" s="44" t="s">
        <v>34</v>
      </c>
      <c r="E10" s="72" t="s">
        <v>35</v>
      </c>
      <c r="F10" s="72" t="s">
        <v>2</v>
      </c>
      <c r="G10" s="72" t="s">
        <v>36</v>
      </c>
      <c r="H10" s="78" t="s">
        <v>37</v>
      </c>
    </row>
    <row r="11" spans="1:24" x14ac:dyDescent="0.3">
      <c r="A11" s="64" t="e">
        <f>#REF!</f>
        <v>#REF!</v>
      </c>
      <c r="B11" s="49">
        <v>1</v>
      </c>
      <c r="C11" s="67">
        <v>60</v>
      </c>
      <c r="D11" s="69">
        <f>C11</f>
        <v>60</v>
      </c>
      <c r="E11" s="73">
        <f>C11-D11</f>
        <v>0</v>
      </c>
      <c r="F11" s="75">
        <f>ABS(E11)</f>
        <v>0</v>
      </c>
      <c r="G11" s="77">
        <f>AVERAGE($F$11:F11)</f>
        <v>0</v>
      </c>
      <c r="H11" s="79" t="e">
        <f>SUM($E$11:E11)/G11</f>
        <v>#DIV/0!</v>
      </c>
    </row>
    <row r="12" spans="1:24" x14ac:dyDescent="0.3">
      <c r="A12" s="65" t="e">
        <f>#REF!</f>
        <v>#REF!</v>
      </c>
      <c r="B12" s="49">
        <v>2</v>
      </c>
      <c r="C12" s="67">
        <v>38</v>
      </c>
      <c r="D12" s="69">
        <f>(1-$E$2)*D11+$E$2*C11</f>
        <v>60</v>
      </c>
      <c r="E12" s="73">
        <f>C12-D12</f>
        <v>-22</v>
      </c>
      <c r="F12" s="75">
        <f>ABS(E12)</f>
        <v>22</v>
      </c>
      <c r="G12" s="77">
        <f>AVERAGE($F$11:F12)</f>
        <v>11</v>
      </c>
      <c r="H12" s="80">
        <f>SUM($E$11:E12)/G12</f>
        <v>-2</v>
      </c>
    </row>
    <row r="13" spans="1:24" x14ac:dyDescent="0.3">
      <c r="A13" s="65" t="e">
        <f>#REF!</f>
        <v>#REF!</v>
      </c>
      <c r="B13" s="49">
        <v>3</v>
      </c>
      <c r="C13" s="67">
        <v>29</v>
      </c>
      <c r="D13" s="69">
        <f t="shared" ref="D13:D61" si="0">(1-$E$2)*D12+$E$2*C12</f>
        <v>53.4</v>
      </c>
      <c r="E13" s="73">
        <f t="shared" ref="E13:E60" si="1">C13-D13</f>
        <v>-24.4</v>
      </c>
      <c r="F13" s="75">
        <f t="shared" ref="F13:F60" si="2">ABS(E13)</f>
        <v>24.4</v>
      </c>
      <c r="G13" s="77">
        <f>AVERAGE($F$11:F13)</f>
        <v>15.466666666666667</v>
      </c>
      <c r="H13" s="80">
        <f>SUM($E$11:E13)/G13</f>
        <v>-3</v>
      </c>
    </row>
    <row r="14" spans="1:24" x14ac:dyDescent="0.3">
      <c r="A14" s="65" t="e">
        <f>#REF!</f>
        <v>#REF!</v>
      </c>
      <c r="B14" s="49">
        <v>4</v>
      </c>
      <c r="C14" s="67">
        <v>21</v>
      </c>
      <c r="D14" s="69">
        <f t="shared" si="0"/>
        <v>46.08</v>
      </c>
      <c r="E14" s="73">
        <f t="shared" si="1"/>
        <v>-25.08</v>
      </c>
      <c r="F14" s="75">
        <f t="shared" si="2"/>
        <v>25.08</v>
      </c>
      <c r="G14" s="77">
        <f>AVERAGE($F$11:F14)</f>
        <v>17.869999999999997</v>
      </c>
      <c r="H14" s="80">
        <f>SUM($E$11:E14)/G14</f>
        <v>-4</v>
      </c>
    </row>
    <row r="15" spans="1:24" x14ac:dyDescent="0.3">
      <c r="A15" s="65" t="e">
        <f>#REF!</f>
        <v>#REF!</v>
      </c>
      <c r="B15" s="49">
        <v>5</v>
      </c>
      <c r="C15" s="67">
        <v>26</v>
      </c>
      <c r="D15" s="69">
        <f t="shared" si="0"/>
        <v>38.555999999999997</v>
      </c>
      <c r="E15" s="73">
        <f t="shared" si="1"/>
        <v>-12.555999999999997</v>
      </c>
      <c r="F15" s="75">
        <f t="shared" si="2"/>
        <v>12.555999999999997</v>
      </c>
      <c r="G15" s="77">
        <f>AVERAGE($F$11:F15)</f>
        <v>16.807199999999998</v>
      </c>
      <c r="H15" s="80">
        <f>SUM($E$11:E15)/G15</f>
        <v>-5</v>
      </c>
    </row>
    <row r="16" spans="1:24" x14ac:dyDescent="0.3">
      <c r="A16" s="65" t="e">
        <f>#REF!</f>
        <v>#REF!</v>
      </c>
      <c r="B16" s="49">
        <v>6</v>
      </c>
      <c r="C16" s="67">
        <v>43</v>
      </c>
      <c r="D16" s="69">
        <f t="shared" si="0"/>
        <v>34.789199999999994</v>
      </c>
      <c r="E16" s="73">
        <f t="shared" si="1"/>
        <v>8.2108000000000061</v>
      </c>
      <c r="F16" s="75">
        <f t="shared" si="2"/>
        <v>8.2108000000000061</v>
      </c>
      <c r="G16" s="77">
        <f>AVERAGE($F$11:F16)</f>
        <v>15.374466666666665</v>
      </c>
      <c r="H16" s="80">
        <f>SUM($E$11:E16)/G16</f>
        <v>-4.9318914043630775</v>
      </c>
    </row>
    <row r="17" spans="1:8" x14ac:dyDescent="0.3">
      <c r="A17" s="65" t="e">
        <f>#REF!</f>
        <v>#REF!</v>
      </c>
      <c r="B17" s="49">
        <v>7</v>
      </c>
      <c r="C17" s="67">
        <v>39</v>
      </c>
      <c r="D17" s="69">
        <f t="shared" si="0"/>
        <v>37.252439999999993</v>
      </c>
      <c r="E17" s="73">
        <f t="shared" si="1"/>
        <v>1.7475600000000071</v>
      </c>
      <c r="F17" s="75">
        <f t="shared" si="2"/>
        <v>1.7475600000000071</v>
      </c>
      <c r="G17" s="77">
        <f>AVERAGE($F$11:F17)</f>
        <v>13.427765714285714</v>
      </c>
      <c r="H17" s="80">
        <f>SUM($E$11:E17)/G17</f>
        <v>-5.5167510050603017</v>
      </c>
    </row>
    <row r="18" spans="1:8" x14ac:dyDescent="0.3">
      <c r="A18" s="65" t="e">
        <f>#REF!</f>
        <v>#REF!</v>
      </c>
      <c r="B18" s="49">
        <v>8</v>
      </c>
      <c r="C18" s="67">
        <v>38</v>
      </c>
      <c r="D18" s="69">
        <f t="shared" si="0"/>
        <v>37.776707999999992</v>
      </c>
      <c r="E18" s="73">
        <f t="shared" si="1"/>
        <v>0.22329200000000782</v>
      </c>
      <c r="F18" s="75">
        <f t="shared" si="2"/>
        <v>0.22329200000000782</v>
      </c>
      <c r="G18" s="77">
        <f>AVERAGE($F$11:F18)</f>
        <v>11.777206500000002</v>
      </c>
      <c r="H18" s="80">
        <f>SUM($E$11:E18)/G18</f>
        <v>-6.2709563596426658</v>
      </c>
    </row>
    <row r="19" spans="1:8" x14ac:dyDescent="0.3">
      <c r="A19" s="65" t="e">
        <f>#REF!</f>
        <v>#REF!</v>
      </c>
      <c r="B19" s="49">
        <v>9</v>
      </c>
      <c r="C19" s="67">
        <v>45</v>
      </c>
      <c r="D19" s="69">
        <f t="shared" si="0"/>
        <v>37.843695599999997</v>
      </c>
      <c r="E19" s="73">
        <f t="shared" si="1"/>
        <v>7.1563044000000033</v>
      </c>
      <c r="F19" s="75">
        <f t="shared" si="2"/>
        <v>7.1563044000000033</v>
      </c>
      <c r="G19" s="77">
        <f>AVERAGE($F$11:F19)</f>
        <v>11.263772933333335</v>
      </c>
      <c r="H19" s="80">
        <f>SUM($E$11:E19)/G19</f>
        <v>-5.921465568843078</v>
      </c>
    </row>
    <row r="20" spans="1:8" x14ac:dyDescent="0.3">
      <c r="A20" s="65" t="e">
        <f>#REF!</f>
        <v>#REF!</v>
      </c>
      <c r="B20" s="49">
        <v>10</v>
      </c>
      <c r="C20" s="67">
        <v>73</v>
      </c>
      <c r="D20" s="69">
        <f t="shared" si="0"/>
        <v>39.990586919999998</v>
      </c>
      <c r="E20" s="73">
        <f t="shared" si="1"/>
        <v>33.009413080000002</v>
      </c>
      <c r="F20" s="75">
        <f t="shared" si="2"/>
        <v>33.009413080000002</v>
      </c>
      <c r="G20" s="77">
        <f>AVERAGE($F$11:F20)</f>
        <v>13.438336948000003</v>
      </c>
      <c r="H20" s="80">
        <f>SUM($E$11:E20)/G20</f>
        <v>-2.5069047345932005</v>
      </c>
    </row>
    <row r="21" spans="1:8" x14ac:dyDescent="0.3">
      <c r="A21" s="65" t="e">
        <f>#REF!</f>
        <v>#REF!</v>
      </c>
      <c r="B21" s="49">
        <v>11</v>
      </c>
      <c r="C21" s="67">
        <v>26</v>
      </c>
      <c r="D21" s="69">
        <f t="shared" si="0"/>
        <v>49.893410843999995</v>
      </c>
      <c r="E21" s="73">
        <f t="shared" si="1"/>
        <v>-23.893410843999995</v>
      </c>
      <c r="F21" s="75">
        <f t="shared" si="2"/>
        <v>23.893410843999995</v>
      </c>
      <c r="G21" s="77">
        <f>AVERAGE($F$11:F21)</f>
        <v>14.388798211272729</v>
      </c>
      <c r="H21" s="80">
        <f>SUM($E$11:E21)/G21</f>
        <v>-4.0018659319920129</v>
      </c>
    </row>
    <row r="22" spans="1:8" x14ac:dyDescent="0.3">
      <c r="A22" s="65" t="e">
        <f>#REF!</f>
        <v>#REF!</v>
      </c>
      <c r="B22" s="49">
        <v>12</v>
      </c>
      <c r="C22" s="67">
        <v>96</v>
      </c>
      <c r="D22" s="69">
        <f t="shared" si="0"/>
        <v>42.72538759079999</v>
      </c>
      <c r="E22" s="73">
        <f t="shared" si="1"/>
        <v>53.27461240920001</v>
      </c>
      <c r="F22" s="75">
        <f t="shared" si="2"/>
        <v>53.27461240920001</v>
      </c>
      <c r="G22" s="77">
        <f>AVERAGE($F$11:F22)</f>
        <v>17.629282727766668</v>
      </c>
      <c r="H22" s="80">
        <f>SUM($E$11:E22)/G22</f>
        <v>-0.24433376112435912</v>
      </c>
    </row>
    <row r="23" spans="1:8" x14ac:dyDescent="0.3">
      <c r="A23" s="65" t="e">
        <f>#REF!</f>
        <v>#REF!</v>
      </c>
      <c r="B23" s="49">
        <v>13</v>
      </c>
      <c r="C23" s="67">
        <v>50</v>
      </c>
      <c r="D23" s="69">
        <f t="shared" si="0"/>
        <v>58.707771313559988</v>
      </c>
      <c r="E23" s="73">
        <f t="shared" si="1"/>
        <v>-8.7077713135599879</v>
      </c>
      <c r="F23" s="75">
        <f t="shared" si="2"/>
        <v>8.7077713135599879</v>
      </c>
      <c r="G23" s="77">
        <f>AVERAGE($F$11:F23)</f>
        <v>16.943012618981541</v>
      </c>
      <c r="H23" s="80">
        <f>SUM($E$11:E23)/G23</f>
        <v>-0.76817509146978813</v>
      </c>
    </row>
    <row r="24" spans="1:8" x14ac:dyDescent="0.3">
      <c r="A24" s="65" t="e">
        <f>#REF!</f>
        <v>#REF!</v>
      </c>
      <c r="B24" s="49">
        <v>14</v>
      </c>
      <c r="C24" s="67">
        <v>57</v>
      </c>
      <c r="D24" s="69">
        <f t="shared" si="0"/>
        <v>56.095439919491987</v>
      </c>
      <c r="E24" s="73">
        <f t="shared" si="1"/>
        <v>0.90456008050801273</v>
      </c>
      <c r="F24" s="75">
        <f t="shared" si="2"/>
        <v>0.90456008050801273</v>
      </c>
      <c r="G24" s="77">
        <f>AVERAGE($F$11:F24)</f>
        <v>15.797408866233431</v>
      </c>
      <c r="H24" s="80">
        <f>SUM($E$11:E24)/G24</f>
        <v>-0.76662193720503746</v>
      </c>
    </row>
    <row r="25" spans="1:8" x14ac:dyDescent="0.3">
      <c r="A25" s="65" t="e">
        <f>#REF!</f>
        <v>#REF!</v>
      </c>
      <c r="B25" s="49">
        <v>15</v>
      </c>
      <c r="C25" s="67">
        <v>72</v>
      </c>
      <c r="D25" s="69">
        <f t="shared" si="0"/>
        <v>56.366807943644389</v>
      </c>
      <c r="E25" s="73">
        <f t="shared" si="1"/>
        <v>15.633192056355611</v>
      </c>
      <c r="F25" s="75">
        <f t="shared" si="2"/>
        <v>15.633192056355611</v>
      </c>
      <c r="G25" s="77">
        <f>AVERAGE($F$11:F25)</f>
        <v>15.786461078908243</v>
      </c>
      <c r="H25" s="80">
        <f>SUM($E$11:E25)/G25</f>
        <v>0.22313752594050779</v>
      </c>
    </row>
    <row r="26" spans="1:8" x14ac:dyDescent="0.3">
      <c r="A26" s="65" t="e">
        <f>#REF!</f>
        <v>#REF!</v>
      </c>
      <c r="B26" s="49">
        <v>16</v>
      </c>
      <c r="C26" s="67">
        <v>56</v>
      </c>
      <c r="D26" s="69">
        <f t="shared" si="0"/>
        <v>61.056765560551071</v>
      </c>
      <c r="E26" s="73">
        <f t="shared" si="1"/>
        <v>-5.0567655605510708</v>
      </c>
      <c r="F26" s="75">
        <f t="shared" si="2"/>
        <v>5.0567655605510708</v>
      </c>
      <c r="G26" s="77">
        <f>AVERAGE($F$11:F26)</f>
        <v>15.115855109010919</v>
      </c>
      <c r="H26" s="80">
        <f>SUM($E$11:E26)/G26</f>
        <v>-0.10149698319963289</v>
      </c>
    </row>
    <row r="27" spans="1:8" x14ac:dyDescent="0.3">
      <c r="A27" s="65" t="e">
        <f>#REF!</f>
        <v>#REF!</v>
      </c>
      <c r="B27" s="49">
        <v>17</v>
      </c>
      <c r="C27" s="67">
        <v>27</v>
      </c>
      <c r="D27" s="69">
        <f t="shared" si="0"/>
        <v>59.53973589238575</v>
      </c>
      <c r="E27" s="73">
        <f t="shared" si="1"/>
        <v>-32.53973589238575</v>
      </c>
      <c r="F27" s="75">
        <f t="shared" si="2"/>
        <v>32.53973589238575</v>
      </c>
      <c r="G27" s="77">
        <f>AVERAGE($F$11:F27)</f>
        <v>16.14078927273885</v>
      </c>
      <c r="H27" s="80">
        <f>SUM($E$11:E27)/G27</f>
        <v>-2.1110460590661857</v>
      </c>
    </row>
    <row r="28" spans="1:8" x14ac:dyDescent="0.3">
      <c r="A28" s="65" t="e">
        <f>#REF!</f>
        <v>#REF!</v>
      </c>
      <c r="B28" s="49">
        <v>18</v>
      </c>
      <c r="C28" s="67">
        <v>33</v>
      </c>
      <c r="D28" s="69">
        <f t="shared" si="0"/>
        <v>49.77781512467002</v>
      </c>
      <c r="E28" s="73">
        <f t="shared" si="1"/>
        <v>-16.77781512467002</v>
      </c>
      <c r="F28" s="75">
        <f t="shared" si="2"/>
        <v>16.77781512467002</v>
      </c>
      <c r="G28" s="77">
        <f>AVERAGE($F$11:F28)</f>
        <v>16.17617959784614</v>
      </c>
      <c r="H28" s="80">
        <f>SUM($E$11:E28)/G28</f>
        <v>-3.1436201855643375</v>
      </c>
    </row>
    <row r="29" spans="1:8" x14ac:dyDescent="0.3">
      <c r="A29" s="65" t="e">
        <f>#REF!</f>
        <v>#REF!</v>
      </c>
      <c r="B29" s="49">
        <v>19</v>
      </c>
      <c r="C29" s="67">
        <v>73</v>
      </c>
      <c r="D29" s="69">
        <f t="shared" si="0"/>
        <v>44.744470587269014</v>
      </c>
      <c r="E29" s="73">
        <f t="shared" si="1"/>
        <v>28.255529412730986</v>
      </c>
      <c r="F29" s="75">
        <f t="shared" si="2"/>
        <v>28.255529412730986</v>
      </c>
      <c r="G29" s="77">
        <f>AVERAGE($F$11:F29)</f>
        <v>16.811934851261132</v>
      </c>
      <c r="H29" s="80">
        <f>SUM($E$11:E29)/G29</f>
        <v>-1.3440591755967406</v>
      </c>
    </row>
    <row r="30" spans="1:8" x14ac:dyDescent="0.3">
      <c r="A30" s="65" t="e">
        <f>#REF!</f>
        <v>#REF!</v>
      </c>
      <c r="B30" s="49">
        <v>20</v>
      </c>
      <c r="C30" s="67">
        <v>55</v>
      </c>
      <c r="D30" s="69">
        <f t="shared" si="0"/>
        <v>53.221129411088306</v>
      </c>
      <c r="E30" s="73">
        <f t="shared" si="1"/>
        <v>1.778870588911694</v>
      </c>
      <c r="F30" s="75">
        <f t="shared" si="2"/>
        <v>1.778870588911694</v>
      </c>
      <c r="G30" s="77">
        <f>AVERAGE($F$11:F30)</f>
        <v>16.060281638143657</v>
      </c>
      <c r="H30" s="80">
        <f>SUM($E$11:E30)/G30</f>
        <v>-1.296201721520162</v>
      </c>
    </row>
    <row r="31" spans="1:8" x14ac:dyDescent="0.3">
      <c r="A31" s="65" t="e">
        <f>#REF!</f>
        <v>#REF!</v>
      </c>
      <c r="B31" s="49">
        <v>21</v>
      </c>
      <c r="C31" s="67">
        <v>31</v>
      </c>
      <c r="D31" s="69">
        <f t="shared" si="0"/>
        <v>53.754790587761811</v>
      </c>
      <c r="E31" s="73">
        <f t="shared" si="1"/>
        <v>-22.754790587761811</v>
      </c>
      <c r="F31" s="75">
        <f t="shared" si="2"/>
        <v>22.754790587761811</v>
      </c>
      <c r="G31" s="77">
        <f>AVERAGE($F$11:F31)</f>
        <v>16.379067778601666</v>
      </c>
      <c r="H31" s="80">
        <f>SUM($E$11:E31)/G31</f>
        <v>-2.6602341405624346</v>
      </c>
    </row>
    <row r="32" spans="1:8" x14ac:dyDescent="0.3">
      <c r="A32" s="65" t="e">
        <f>#REF!</f>
        <v>#REF!</v>
      </c>
      <c r="B32" s="49">
        <v>22</v>
      </c>
      <c r="C32" s="67">
        <v>60</v>
      </c>
      <c r="D32" s="69">
        <f t="shared" si="0"/>
        <v>46.928353411433264</v>
      </c>
      <c r="E32" s="73">
        <f t="shared" si="1"/>
        <v>13.071646588566736</v>
      </c>
      <c r="F32" s="75">
        <f t="shared" si="2"/>
        <v>13.071646588566736</v>
      </c>
      <c r="G32" s="77">
        <f>AVERAGE($F$11:F32)</f>
        <v>16.228730451781896</v>
      </c>
      <c r="H32" s="80">
        <f>SUM($E$11:E32)/G32</f>
        <v>-1.8794143384953819</v>
      </c>
    </row>
    <row r="33" spans="1:8" x14ac:dyDescent="0.3">
      <c r="A33" s="65" t="e">
        <f>#REF!</f>
        <v>#REF!</v>
      </c>
      <c r="B33" s="49">
        <v>23</v>
      </c>
      <c r="C33" s="67">
        <v>26</v>
      </c>
      <c r="D33" s="69">
        <f t="shared" si="0"/>
        <v>50.849847388003283</v>
      </c>
      <c r="E33" s="73">
        <f t="shared" si="1"/>
        <v>-24.849847388003283</v>
      </c>
      <c r="F33" s="75">
        <f t="shared" si="2"/>
        <v>24.849847388003283</v>
      </c>
      <c r="G33" s="77">
        <f>AVERAGE($F$11:F33)</f>
        <v>16.603561622921958</v>
      </c>
      <c r="H33" s="80">
        <f>SUM($E$11:E33)/G33</f>
        <v>-3.3336435489988592</v>
      </c>
    </row>
    <row r="34" spans="1:8" x14ac:dyDescent="0.3">
      <c r="A34" s="65" t="e">
        <f>#REF!</f>
        <v>#REF!</v>
      </c>
      <c r="B34" s="49">
        <v>24</v>
      </c>
      <c r="C34" s="67">
        <v>25</v>
      </c>
      <c r="D34" s="69">
        <f t="shared" si="0"/>
        <v>43.394893171602291</v>
      </c>
      <c r="E34" s="73">
        <f t="shared" si="1"/>
        <v>-18.394893171602291</v>
      </c>
      <c r="F34" s="75">
        <f t="shared" si="2"/>
        <v>18.394893171602291</v>
      </c>
      <c r="G34" s="77">
        <f>AVERAGE($F$11:F34)</f>
        <v>16.678200437450304</v>
      </c>
      <c r="H34" s="80">
        <f>SUM($E$11:E34)/G34</f>
        <v>-4.4216550546226072</v>
      </c>
    </row>
    <row r="35" spans="1:8" x14ac:dyDescent="0.3">
      <c r="A35" s="65" t="e">
        <f>#REF!</f>
        <v>#REF!</v>
      </c>
      <c r="B35" s="49">
        <v>25</v>
      </c>
      <c r="C35" s="67">
        <v>65</v>
      </c>
      <c r="D35" s="69">
        <f t="shared" si="0"/>
        <v>37.876425220121604</v>
      </c>
      <c r="E35" s="73">
        <f t="shared" si="1"/>
        <v>27.123574779878396</v>
      </c>
      <c r="F35" s="75">
        <f t="shared" si="2"/>
        <v>27.123574779878396</v>
      </c>
      <c r="G35" s="77">
        <f>AVERAGE($F$11:F35)</f>
        <v>17.096015411147427</v>
      </c>
      <c r="H35" s="80">
        <f>SUM($E$11:E35)/G35</f>
        <v>-2.7270491611737278</v>
      </c>
    </row>
    <row r="36" spans="1:8" x14ac:dyDescent="0.3">
      <c r="A36" s="65" t="e">
        <f>#REF!</f>
        <v>#REF!</v>
      </c>
      <c r="B36" s="49">
        <v>26</v>
      </c>
      <c r="C36" s="67">
        <v>68</v>
      </c>
      <c r="D36" s="69">
        <f t="shared" si="0"/>
        <v>46.013497654085121</v>
      </c>
      <c r="E36" s="73">
        <f t="shared" si="1"/>
        <v>21.986502345914879</v>
      </c>
      <c r="F36" s="75">
        <f t="shared" si="2"/>
        <v>21.986502345914879</v>
      </c>
      <c r="G36" s="77">
        <f>AVERAGE($F$11:F36)</f>
        <v>17.284111062484637</v>
      </c>
      <c r="H36" s="80">
        <f>SUM($E$11:E36)/G36</f>
        <v>-1.4253074428536139</v>
      </c>
    </row>
    <row r="37" spans="1:8" x14ac:dyDescent="0.3">
      <c r="A37" s="65" t="e">
        <f>#REF!</f>
        <v>#REF!</v>
      </c>
      <c r="B37" s="49">
        <v>27</v>
      </c>
      <c r="C37" s="67">
        <v>100</v>
      </c>
      <c r="D37" s="69">
        <f t="shared" si="0"/>
        <v>52.609448357859584</v>
      </c>
      <c r="E37" s="73">
        <f t="shared" si="1"/>
        <v>47.390551642140416</v>
      </c>
      <c r="F37" s="75">
        <f t="shared" si="2"/>
        <v>47.390551642140416</v>
      </c>
      <c r="G37" s="77">
        <f>AVERAGE($F$11:F37)</f>
        <v>18.399164417286702</v>
      </c>
      <c r="H37" s="80">
        <f>SUM($E$11:E37)/G37</f>
        <v>1.2367615716446911</v>
      </c>
    </row>
    <row r="38" spans="1:8" x14ac:dyDescent="0.3">
      <c r="A38" s="65" t="e">
        <f>#REF!</f>
        <v>#REF!</v>
      </c>
      <c r="B38" s="49">
        <v>28</v>
      </c>
      <c r="C38" s="67">
        <v>66</v>
      </c>
      <c r="D38" s="69">
        <f t="shared" si="0"/>
        <v>66.826613850501701</v>
      </c>
      <c r="E38" s="73">
        <f t="shared" si="1"/>
        <v>-0.82661385050170111</v>
      </c>
      <c r="F38" s="75">
        <f t="shared" si="2"/>
        <v>0.82661385050170111</v>
      </c>
      <c r="G38" s="77">
        <f>AVERAGE($F$11:F38)</f>
        <v>17.771573325615808</v>
      </c>
      <c r="H38" s="80">
        <f>SUM($E$11:E38)/G38</f>
        <v>1.2339237077880394</v>
      </c>
    </row>
    <row r="39" spans="1:8" x14ac:dyDescent="0.3">
      <c r="A39" s="65" t="e">
        <f>#REF!</f>
        <v>#REF!</v>
      </c>
      <c r="B39" s="49">
        <v>29</v>
      </c>
      <c r="C39" s="67">
        <v>50</v>
      </c>
      <c r="D39" s="69">
        <f t="shared" si="0"/>
        <v>66.578629695351182</v>
      </c>
      <c r="E39" s="73">
        <f t="shared" si="1"/>
        <v>-16.578629695351182</v>
      </c>
      <c r="F39" s="75">
        <f t="shared" si="2"/>
        <v>16.578629695351182</v>
      </c>
      <c r="G39" s="77">
        <f>AVERAGE($F$11:F39)</f>
        <v>17.730437338365306</v>
      </c>
      <c r="H39" s="80">
        <f>SUM($E$11:E39)/G39</f>
        <v>0.30174867397337207</v>
      </c>
    </row>
    <row r="40" spans="1:8" x14ac:dyDescent="0.3">
      <c r="A40" s="65" t="e">
        <f>#REF!</f>
        <v>#REF!</v>
      </c>
      <c r="B40" s="49">
        <v>30</v>
      </c>
      <c r="C40" s="67">
        <v>57</v>
      </c>
      <c r="D40" s="69">
        <f t="shared" si="0"/>
        <v>61.605040786745825</v>
      </c>
      <c r="E40" s="73">
        <f t="shared" si="1"/>
        <v>-4.6050407867458247</v>
      </c>
      <c r="F40" s="75">
        <f t="shared" si="2"/>
        <v>4.6050407867458247</v>
      </c>
      <c r="G40" s="77">
        <f>AVERAGE($F$11:F40)</f>
        <v>17.29292411997799</v>
      </c>
      <c r="H40" s="80">
        <f>SUM($E$11:E40)/G40</f>
        <v>4.3086707829422831E-2</v>
      </c>
    </row>
    <row r="41" spans="1:8" x14ac:dyDescent="0.3">
      <c r="A41" s="65" t="e">
        <f>#REF!</f>
        <v>#REF!</v>
      </c>
      <c r="B41" s="49">
        <v>31</v>
      </c>
      <c r="C41" s="67">
        <v>86</v>
      </c>
      <c r="D41" s="69">
        <f t="shared" si="0"/>
        <v>60.223528550722079</v>
      </c>
      <c r="E41" s="73">
        <f t="shared" si="1"/>
        <v>25.776471449277921</v>
      </c>
      <c r="F41" s="75">
        <f t="shared" si="2"/>
        <v>25.776471449277921</v>
      </c>
      <c r="G41" s="77">
        <f>AVERAGE($F$11:F41)</f>
        <v>17.566586937052179</v>
      </c>
      <c r="H41" s="80">
        <f>SUM($E$11:E41)/G41</f>
        <v>1.5097734530554365</v>
      </c>
    </row>
    <row r="42" spans="1:8" x14ac:dyDescent="0.3">
      <c r="A42" s="65" t="e">
        <f>#REF!</f>
        <v>#REF!</v>
      </c>
      <c r="B42" s="49">
        <v>32</v>
      </c>
      <c r="C42" s="67">
        <v>54</v>
      </c>
      <c r="D42" s="69">
        <f t="shared" si="0"/>
        <v>67.95646998550545</v>
      </c>
      <c r="E42" s="73">
        <f t="shared" si="1"/>
        <v>-13.95646998550545</v>
      </c>
      <c r="F42" s="75">
        <f t="shared" si="2"/>
        <v>13.95646998550545</v>
      </c>
      <c r="G42" s="77">
        <f>AVERAGE($F$11:F42)</f>
        <v>17.453770782316344</v>
      </c>
      <c r="H42" s="80">
        <f>SUM($E$11:E42)/G42</f>
        <v>0.71990727903777296</v>
      </c>
    </row>
    <row r="43" spans="1:8" x14ac:dyDescent="0.3">
      <c r="A43" s="65" t="e">
        <f>#REF!</f>
        <v>#REF!</v>
      </c>
      <c r="B43" s="49">
        <v>33</v>
      </c>
      <c r="C43" s="67">
        <v>77</v>
      </c>
      <c r="D43" s="69">
        <f t="shared" si="0"/>
        <v>63.769528989853811</v>
      </c>
      <c r="E43" s="73">
        <f t="shared" si="1"/>
        <v>13.230471010146189</v>
      </c>
      <c r="F43" s="75">
        <f t="shared" si="2"/>
        <v>13.230471010146189</v>
      </c>
      <c r="G43" s="77">
        <f>AVERAGE($F$11:F43)</f>
        <v>17.32579200134149</v>
      </c>
      <c r="H43" s="80">
        <f>SUM($E$11:E43)/G43</f>
        <v>1.4888535912814402</v>
      </c>
    </row>
    <row r="44" spans="1:8" x14ac:dyDescent="0.3">
      <c r="A44" s="65" t="e">
        <f>#REF!</f>
        <v>#REF!</v>
      </c>
      <c r="B44" s="49">
        <v>34</v>
      </c>
      <c r="C44" s="67">
        <v>28</v>
      </c>
      <c r="D44" s="69">
        <f t="shared" si="0"/>
        <v>67.738670292897666</v>
      </c>
      <c r="E44" s="73">
        <f t="shared" si="1"/>
        <v>-39.738670292897666</v>
      </c>
      <c r="F44" s="75">
        <f t="shared" si="2"/>
        <v>39.738670292897666</v>
      </c>
      <c r="G44" s="77">
        <f>AVERAGE($F$11:F44)</f>
        <v>17.984994304034316</v>
      </c>
      <c r="H44" s="80">
        <f>SUM($E$11:E44)/G44</f>
        <v>-0.77526311180301455</v>
      </c>
    </row>
    <row r="45" spans="1:8" x14ac:dyDescent="0.3">
      <c r="A45" s="65" t="e">
        <f>#REF!</f>
        <v>#REF!</v>
      </c>
      <c r="B45" s="49">
        <v>35</v>
      </c>
      <c r="C45" s="67">
        <v>46</v>
      </c>
      <c r="D45" s="69">
        <f t="shared" si="0"/>
        <v>55.817069205028361</v>
      </c>
      <c r="E45" s="73">
        <f t="shared" si="1"/>
        <v>-9.8170692050283606</v>
      </c>
      <c r="F45" s="75">
        <f t="shared" si="2"/>
        <v>9.8170692050283606</v>
      </c>
      <c r="G45" s="77">
        <f>AVERAGE($F$11:F45)</f>
        <v>17.751625015491289</v>
      </c>
      <c r="H45" s="80">
        <f>SUM($E$11:E45)/G45</f>
        <v>-1.3384786933139212</v>
      </c>
    </row>
    <row r="46" spans="1:8" x14ac:dyDescent="0.3">
      <c r="A46" s="65" t="e">
        <f>#REF!</f>
        <v>#REF!</v>
      </c>
      <c r="B46" s="49">
        <v>36</v>
      </c>
      <c r="C46" s="67">
        <v>34</v>
      </c>
      <c r="D46" s="69">
        <f t="shared" si="0"/>
        <v>52.871948443519848</v>
      </c>
      <c r="E46" s="73">
        <f t="shared" si="1"/>
        <v>-18.871948443519848</v>
      </c>
      <c r="F46" s="75">
        <f t="shared" si="2"/>
        <v>18.871948443519848</v>
      </c>
      <c r="G46" s="77">
        <f>AVERAGE($F$11:F46)</f>
        <v>17.782745110714306</v>
      </c>
      <c r="H46" s="80">
        <f>SUM($E$11:E46)/G46</f>
        <v>-2.3973869069723666</v>
      </c>
    </row>
    <row r="47" spans="1:8" x14ac:dyDescent="0.3">
      <c r="A47" s="65" t="e">
        <f>#REF!</f>
        <v>#REF!</v>
      </c>
      <c r="B47" s="49">
        <v>37</v>
      </c>
      <c r="C47" s="67">
        <v>86</v>
      </c>
      <c r="D47" s="69">
        <f t="shared" si="0"/>
        <v>47.210363910463897</v>
      </c>
      <c r="E47" s="73">
        <f t="shared" si="1"/>
        <v>38.789636089536103</v>
      </c>
      <c r="F47" s="75">
        <f t="shared" si="2"/>
        <v>38.789636089536103</v>
      </c>
      <c r="G47" s="77">
        <f>AVERAGE($F$11:F47)</f>
        <v>18.350498920952731</v>
      </c>
      <c r="H47" s="80">
        <f>SUM($E$11:E47)/G47</f>
        <v>-0.20939399116445087</v>
      </c>
    </row>
    <row r="48" spans="1:8" x14ac:dyDescent="0.3">
      <c r="A48" s="65" t="e">
        <f>#REF!</f>
        <v>#REF!</v>
      </c>
      <c r="B48" s="49">
        <v>38</v>
      </c>
      <c r="C48" s="67">
        <v>64</v>
      </c>
      <c r="D48" s="69">
        <f t="shared" si="0"/>
        <v>58.847254737324732</v>
      </c>
      <c r="E48" s="73">
        <f t="shared" si="1"/>
        <v>5.1527452626752677</v>
      </c>
      <c r="F48" s="75">
        <f t="shared" si="2"/>
        <v>5.1527452626752677</v>
      </c>
      <c r="G48" s="77">
        <f>AVERAGE($F$11:F48)</f>
        <v>18.003189614155957</v>
      </c>
      <c r="H48" s="80">
        <f>SUM($E$11:E48)/G48</f>
        <v>7.2779384200217734E-2</v>
      </c>
    </row>
    <row r="49" spans="1:8" x14ac:dyDescent="0.3">
      <c r="A49" s="65" t="e">
        <f>#REF!</f>
        <v>#REF!</v>
      </c>
      <c r="B49" s="49">
        <v>39</v>
      </c>
      <c r="C49" s="67">
        <v>69</v>
      </c>
      <c r="D49" s="69">
        <f t="shared" si="0"/>
        <v>60.393078316127315</v>
      </c>
      <c r="E49" s="73">
        <f t="shared" si="1"/>
        <v>8.6069216838726845</v>
      </c>
      <c r="F49" s="75">
        <f t="shared" si="2"/>
        <v>8.6069216838726845</v>
      </c>
      <c r="G49" s="77">
        <f>AVERAGE($F$11:F49)</f>
        <v>17.762259667225614</v>
      </c>
      <c r="H49" s="80">
        <f>SUM($E$11:E49)/G49</f>
        <v>0.55832889077337367</v>
      </c>
    </row>
    <row r="50" spans="1:8" x14ac:dyDescent="0.3">
      <c r="A50" s="65" t="e">
        <f>#REF!</f>
        <v>#REF!</v>
      </c>
      <c r="B50" s="49">
        <v>40</v>
      </c>
      <c r="C50" s="67">
        <v>33</v>
      </c>
      <c r="D50" s="69">
        <f t="shared" si="0"/>
        <v>62.975154821289124</v>
      </c>
      <c r="E50" s="73">
        <f t="shared" si="1"/>
        <v>-29.975154821289124</v>
      </c>
      <c r="F50" s="75">
        <f t="shared" si="2"/>
        <v>29.975154821289124</v>
      </c>
      <c r="G50" s="77">
        <f>AVERAGE($F$11:F50)</f>
        <v>18.067582046077202</v>
      </c>
      <c r="H50" s="80">
        <f>SUM($E$11:E50)/G50</f>
        <v>-1.110163608639229</v>
      </c>
    </row>
    <row r="51" spans="1:8" x14ac:dyDescent="0.3">
      <c r="A51" s="65" t="e">
        <f>#REF!</f>
        <v>#REF!</v>
      </c>
      <c r="B51" s="49">
        <v>41</v>
      </c>
      <c r="C51" s="67">
        <v>41</v>
      </c>
      <c r="D51" s="69">
        <f t="shared" si="0"/>
        <v>53.982608374902384</v>
      </c>
      <c r="E51" s="73">
        <f t="shared" si="1"/>
        <v>-12.982608374902384</v>
      </c>
      <c r="F51" s="75">
        <f t="shared" si="2"/>
        <v>12.982608374902384</v>
      </c>
      <c r="G51" s="77">
        <f>AVERAGE($F$11:F51)</f>
        <v>17.943558297999768</v>
      </c>
      <c r="H51" s="80">
        <f>SUM($E$11:E51)/G51</f>
        <v>-1.8413616691759487</v>
      </c>
    </row>
    <row r="52" spans="1:8" x14ac:dyDescent="0.3">
      <c r="A52" s="65" t="e">
        <f>#REF!</f>
        <v>#REF!</v>
      </c>
      <c r="B52" s="49">
        <v>42</v>
      </c>
      <c r="C52" s="67">
        <v>56</v>
      </c>
      <c r="D52" s="69">
        <f t="shared" si="0"/>
        <v>50.087825862431664</v>
      </c>
      <c r="E52" s="73">
        <f t="shared" si="1"/>
        <v>5.9121741375683357</v>
      </c>
      <c r="F52" s="75">
        <f t="shared" si="2"/>
        <v>5.9121741375683357</v>
      </c>
      <c r="G52" s="77">
        <f>AVERAGE($F$11:F52)</f>
        <v>17.657096770370448</v>
      </c>
      <c r="H52" s="80">
        <f>SUM($E$11:E52)/G52</f>
        <v>-1.5364024263895624</v>
      </c>
    </row>
    <row r="53" spans="1:8" ht="15.75" customHeight="1" x14ac:dyDescent="0.3">
      <c r="A53" s="65" t="e">
        <f>#REF!</f>
        <v>#REF!</v>
      </c>
      <c r="B53" s="49">
        <v>43</v>
      </c>
      <c r="C53" s="67">
        <v>28</v>
      </c>
      <c r="D53" s="69">
        <f t="shared" si="0"/>
        <v>51.861478103702169</v>
      </c>
      <c r="E53" s="73">
        <f t="shared" si="1"/>
        <v>-23.861478103702169</v>
      </c>
      <c r="F53" s="75">
        <f t="shared" si="2"/>
        <v>23.861478103702169</v>
      </c>
      <c r="G53" s="77">
        <f>AVERAGE($F$11:F53)</f>
        <v>17.801384708354906</v>
      </c>
      <c r="H53" s="80">
        <f>SUM($E$11:E53)/G53</f>
        <v>-2.8643774211993196</v>
      </c>
    </row>
    <row r="54" spans="1:8" x14ac:dyDescent="0.3">
      <c r="A54" s="65" t="e">
        <f>#REF!</f>
        <v>#REF!</v>
      </c>
      <c r="B54" s="49">
        <v>44</v>
      </c>
      <c r="C54" s="67">
        <v>19</v>
      </c>
      <c r="D54" s="69">
        <f t="shared" si="0"/>
        <v>44.703034672591514</v>
      </c>
      <c r="E54" s="73">
        <f t="shared" si="1"/>
        <v>-25.703034672591514</v>
      </c>
      <c r="F54" s="75">
        <f t="shared" si="2"/>
        <v>25.703034672591514</v>
      </c>
      <c r="G54" s="77">
        <f>AVERAGE($F$11:F54)</f>
        <v>17.980967662087554</v>
      </c>
      <c r="H54" s="80">
        <f>SUM($E$11:E54)/G54</f>
        <v>-4.2652275749870432</v>
      </c>
    </row>
    <row r="55" spans="1:8" x14ac:dyDescent="0.3">
      <c r="A55" s="65" t="e">
        <f>#REF!</f>
        <v>#REF!</v>
      </c>
      <c r="B55" s="49">
        <v>45</v>
      </c>
      <c r="C55" s="67">
        <v>16</v>
      </c>
      <c r="D55" s="69">
        <f t="shared" si="0"/>
        <v>36.99212427081406</v>
      </c>
      <c r="E55" s="73">
        <f t="shared" si="1"/>
        <v>-20.99212427081406</v>
      </c>
      <c r="F55" s="75">
        <f t="shared" si="2"/>
        <v>20.99212427081406</v>
      </c>
      <c r="G55" s="77">
        <f>AVERAGE($F$11:F55)</f>
        <v>18.04788225339259</v>
      </c>
      <c r="H55" s="80">
        <f>SUM($E$11:E55)/G55</f>
        <v>-5.4125487963961882</v>
      </c>
    </row>
    <row r="56" spans="1:8" x14ac:dyDescent="0.3">
      <c r="A56" s="65" t="e">
        <f>#REF!</f>
        <v>#REF!</v>
      </c>
      <c r="B56" s="49">
        <v>46</v>
      </c>
      <c r="C56" s="67">
        <v>53</v>
      </c>
      <c r="D56" s="69">
        <f t="shared" si="0"/>
        <v>30.694486989569842</v>
      </c>
      <c r="E56" s="73">
        <f t="shared" si="1"/>
        <v>22.305513010430158</v>
      </c>
      <c r="F56" s="75">
        <f t="shared" si="2"/>
        <v>22.305513010430158</v>
      </c>
      <c r="G56" s="77">
        <f>AVERAGE($F$11:F56)</f>
        <v>18.140439443762972</v>
      </c>
      <c r="H56" s="80">
        <f>SUM($E$11:E56)/G56</f>
        <v>-4.1553309990837599</v>
      </c>
    </row>
    <row r="57" spans="1:8" x14ac:dyDescent="0.3">
      <c r="A57" s="65" t="e">
        <f>#REF!</f>
        <v>#REF!</v>
      </c>
      <c r="B57" s="49">
        <v>47</v>
      </c>
      <c r="C57" s="67">
        <v>63</v>
      </c>
      <c r="D57" s="69">
        <f t="shared" si="0"/>
        <v>37.38614089269889</v>
      </c>
      <c r="E57" s="73">
        <f t="shared" si="1"/>
        <v>25.61385910730111</v>
      </c>
      <c r="F57" s="75">
        <f t="shared" si="2"/>
        <v>25.61385910730111</v>
      </c>
      <c r="G57" s="77">
        <f>AVERAGE($F$11:F57)</f>
        <v>18.299448372774421</v>
      </c>
      <c r="H57" s="80">
        <f>SUM($E$11:E57)/G57</f>
        <v>-2.7195175634042261</v>
      </c>
    </row>
    <row r="58" spans="1:8" x14ac:dyDescent="0.3">
      <c r="A58" s="65" t="e">
        <f>#REF!</f>
        <v>#REF!</v>
      </c>
      <c r="B58" s="49">
        <v>48</v>
      </c>
      <c r="C58" s="67">
        <v>84</v>
      </c>
      <c r="D58" s="69">
        <f t="shared" si="0"/>
        <v>45.070298624889219</v>
      </c>
      <c r="E58" s="73">
        <f t="shared" si="1"/>
        <v>38.929701375110781</v>
      </c>
      <c r="F58" s="75">
        <f t="shared" si="2"/>
        <v>38.929701375110781</v>
      </c>
      <c r="G58" s="77">
        <f>AVERAGE($F$11:F58)</f>
        <v>18.729245310323094</v>
      </c>
      <c r="H58" s="80">
        <f>SUM($E$11:E58)/G58</f>
        <v>-0.57855880980349095</v>
      </c>
    </row>
    <row r="59" spans="1:8" x14ac:dyDescent="0.3">
      <c r="A59" s="65" t="e">
        <f>#REF!</f>
        <v>#REF!</v>
      </c>
      <c r="B59" s="49">
        <v>49</v>
      </c>
      <c r="C59" s="67">
        <v>83</v>
      </c>
      <c r="D59" s="69">
        <f t="shared" si="0"/>
        <v>56.749209037422446</v>
      </c>
      <c r="E59" s="73">
        <f t="shared" si="1"/>
        <v>26.250790962577554</v>
      </c>
      <c r="F59" s="75">
        <f t="shared" si="2"/>
        <v>26.250790962577554</v>
      </c>
      <c r="G59" s="77">
        <f>AVERAGE($F$11:F59)</f>
        <v>18.882746242001755</v>
      </c>
      <c r="H59" s="80">
        <f>SUM($E$11:E59)/G59</f>
        <v>0.81634423773759768</v>
      </c>
    </row>
    <row r="60" spans="1:8" ht="17.25" thickBot="1" x14ac:dyDescent="0.35">
      <c r="A60" s="66" t="e">
        <f>#REF!</f>
        <v>#REF!</v>
      </c>
      <c r="B60" s="49">
        <v>50</v>
      </c>
      <c r="C60" s="68">
        <v>78</v>
      </c>
      <c r="D60" s="70">
        <f t="shared" si="0"/>
        <v>64.624446326195709</v>
      </c>
      <c r="E60" s="74">
        <f t="shared" si="1"/>
        <v>13.375553673804291</v>
      </c>
      <c r="F60" s="76">
        <f t="shared" si="2"/>
        <v>13.375553673804291</v>
      </c>
      <c r="G60" s="66">
        <f>AVERAGE($F$11:F60)</f>
        <v>18.772602390637807</v>
      </c>
      <c r="H60" s="81">
        <f>SUM($E$11:E60)/G60</f>
        <v>1.5336379134883247</v>
      </c>
    </row>
    <row r="61" spans="1:8" ht="17.25" thickBot="1" x14ac:dyDescent="0.35">
      <c r="B61" s="49"/>
      <c r="C61" s="39" t="s">
        <v>53</v>
      </c>
      <c r="D61" s="71">
        <f t="shared" si="0"/>
        <v>68.637112428336991</v>
      </c>
    </row>
    <row r="62" spans="1:8" x14ac:dyDescent="0.3">
      <c r="C62" s="39" t="s">
        <v>18</v>
      </c>
      <c r="D62" s="50">
        <f>1.25*G60</f>
        <v>23.465752988297261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1"/>
  <sheetViews>
    <sheetView workbookViewId="0">
      <selection activeCell="I25" sqref="I25"/>
    </sheetView>
  </sheetViews>
  <sheetFormatPr defaultColWidth="9.140625" defaultRowHeight="16.5" x14ac:dyDescent="0.3"/>
  <cols>
    <col min="1" max="1" width="3.28515625" style="39" bestFit="1" customWidth="1"/>
    <col min="2" max="2" width="5.85546875" style="39" customWidth="1"/>
    <col min="3" max="3" width="7.42578125" style="39" customWidth="1"/>
    <col min="4" max="4" width="27.28515625" style="39" bestFit="1" customWidth="1"/>
    <col min="5" max="5" width="13.85546875" style="39" bestFit="1" customWidth="1"/>
    <col min="6" max="6" width="16.5703125" style="39" bestFit="1" customWidth="1"/>
    <col min="7" max="7" width="11.140625" style="39" bestFit="1" customWidth="1"/>
    <col min="8" max="8" width="23.28515625" style="39" bestFit="1" customWidth="1"/>
    <col min="9" max="16384" width="9.140625" style="39"/>
  </cols>
  <sheetData>
    <row r="1" spans="1:16" ht="17.25" thickBot="1" x14ac:dyDescent="0.35">
      <c r="A1" s="52" t="s">
        <v>59</v>
      </c>
      <c r="B1" s="52"/>
      <c r="C1" s="52"/>
      <c r="D1" s="52"/>
      <c r="E1" s="52"/>
      <c r="F1" s="52"/>
      <c r="G1" s="52"/>
      <c r="I1" s="52"/>
      <c r="P1" s="39" t="str">
        <f>B5&amp;" vs "&amp;C5</f>
        <v>At vs Ft</v>
      </c>
    </row>
    <row r="2" spans="1:16" ht="17.25" thickBot="1" x14ac:dyDescent="0.35">
      <c r="A2" s="52" t="s">
        <v>66</v>
      </c>
      <c r="B2" s="52"/>
      <c r="C2" s="52"/>
      <c r="D2" s="142" t="s">
        <v>62</v>
      </c>
      <c r="E2" s="149">
        <v>0.4</v>
      </c>
      <c r="I2" s="52"/>
    </row>
    <row r="3" spans="1:16" x14ac:dyDescent="0.3">
      <c r="A3" s="53" t="s">
        <v>70</v>
      </c>
      <c r="B3" s="84"/>
      <c r="C3" s="84"/>
      <c r="D3" s="151"/>
      <c r="E3" s="84"/>
      <c r="G3" s="39" t="e">
        <f>MATCH(K19,$K$8:$K$18)</f>
        <v>#N/A</v>
      </c>
    </row>
    <row r="4" spans="1:16" x14ac:dyDescent="0.3">
      <c r="A4" s="52" t="s">
        <v>71</v>
      </c>
      <c r="D4"/>
    </row>
    <row r="5" spans="1:16" x14ac:dyDescent="0.3">
      <c r="A5" s="40" t="s">
        <v>61</v>
      </c>
      <c r="B5" s="40" t="s">
        <v>0</v>
      </c>
      <c r="C5" s="39" t="s">
        <v>3</v>
      </c>
      <c r="E5" s="39" t="s">
        <v>60</v>
      </c>
      <c r="G5" s="39" t="s">
        <v>1</v>
      </c>
      <c r="J5" s="39">
        <v>0.29499999999999998</v>
      </c>
    </row>
    <row r="6" spans="1:16" ht="17.25" thickBot="1" x14ac:dyDescent="0.35">
      <c r="A6" s="40">
        <v>1</v>
      </c>
      <c r="B6" s="40">
        <v>323</v>
      </c>
      <c r="C6" s="63">
        <f>B6</f>
        <v>323</v>
      </c>
      <c r="D6" s="39" t="str">
        <f t="shared" ref="D6:D18" ca="1" si="0">_xlfn.FORMULATEXT(C6)</f>
        <v>=B6</v>
      </c>
      <c r="E6" s="141">
        <f t="shared" ref="E6:E17" si="1">ABS(B6-C6)</f>
        <v>0</v>
      </c>
      <c r="F6" s="39" t="str">
        <f t="shared" ref="F6:F17" ca="1" si="2">_xlfn.FORMULATEXT(E6)</f>
        <v>=ABS(B6-C6)</v>
      </c>
      <c r="G6" s="141">
        <f>AVERAGE($E$6:E6)</f>
        <v>0</v>
      </c>
      <c r="H6" s="39" t="str">
        <f t="shared" ref="H6:H17" ca="1" si="3">_xlfn.FORMULATEXT(G6)</f>
        <v>=AVERAGE($E$6:E6)</v>
      </c>
      <c r="J6" s="39">
        <v>1E-3</v>
      </c>
    </row>
    <row r="7" spans="1:16" ht="17.25" thickBot="1" x14ac:dyDescent="0.35">
      <c r="A7" s="40">
        <v>2</v>
      </c>
      <c r="B7" s="40">
        <v>1098</v>
      </c>
      <c r="C7" s="63">
        <f t="shared" ref="C7:C18" si="4">(1-$E$2)*C6+$E$2*B6</f>
        <v>323</v>
      </c>
      <c r="D7" s="39" t="str">
        <f t="shared" ca="1" si="0"/>
        <v>=(1-$E$2)*C6+$E$2*B6</v>
      </c>
      <c r="E7" s="141">
        <f t="shared" si="1"/>
        <v>775</v>
      </c>
      <c r="F7" s="39" t="str">
        <f t="shared" ca="1" si="2"/>
        <v>=ABS(B7-C7)</v>
      </c>
      <c r="G7" s="141">
        <f>AVERAGE($E$6:E7)</f>
        <v>387.5</v>
      </c>
      <c r="H7" s="39" t="str">
        <f t="shared" ca="1" si="3"/>
        <v>=AVERAGE($E$6:E7)</v>
      </c>
      <c r="K7" s="156">
        <f>G17</f>
        <v>174.29174911999999</v>
      </c>
    </row>
    <row r="8" spans="1:16" x14ac:dyDescent="0.3">
      <c r="A8" s="40">
        <v>3</v>
      </c>
      <c r="B8" s="40">
        <v>588</v>
      </c>
      <c r="C8" s="63">
        <f t="shared" si="4"/>
        <v>633</v>
      </c>
      <c r="D8" s="39" t="str">
        <f t="shared" ca="1" si="0"/>
        <v>=(1-$E$2)*C7+$E$2*B7</v>
      </c>
      <c r="E8" s="141">
        <f t="shared" si="1"/>
        <v>45</v>
      </c>
      <c r="F8" s="39" t="str">
        <f t="shared" ca="1" si="2"/>
        <v>=ABS(B8-C8)</v>
      </c>
      <c r="G8" s="141">
        <f>AVERAGE($E$6:E8)</f>
        <v>273.33333333333331</v>
      </c>
      <c r="H8" s="39" t="str">
        <f t="shared" ca="1" si="3"/>
        <v>=AVERAGE($E$6:E8)</v>
      </c>
      <c r="J8" s="153">
        <f>J5</f>
        <v>0.29499999999999998</v>
      </c>
      <c r="K8" s="157">
        <f t="dataTable" ref="K8:K18" dt2D="0" dtr="0" r1="E2"/>
        <v>165.71961142591599</v>
      </c>
      <c r="M8" s="39" t="str">
        <f ca="1">_xlfn.FORMULATEXT(J8)</f>
        <v>=J5</v>
      </c>
    </row>
    <row r="9" spans="1:16" x14ac:dyDescent="0.3">
      <c r="A9" s="40">
        <v>4</v>
      </c>
      <c r="B9" s="40">
        <v>329</v>
      </c>
      <c r="C9" s="63">
        <f t="shared" si="4"/>
        <v>615</v>
      </c>
      <c r="D9" s="39" t="str">
        <f t="shared" ca="1" si="0"/>
        <v>=(1-$E$2)*C8+$E$2*B8</v>
      </c>
      <c r="E9" s="141">
        <f t="shared" si="1"/>
        <v>286</v>
      </c>
      <c r="F9" s="39" t="str">
        <f t="shared" ca="1" si="2"/>
        <v>=ABS(B9-C9)</v>
      </c>
      <c r="G9" s="141">
        <f>AVERAGE($E$6:E9)</f>
        <v>276.5</v>
      </c>
      <c r="H9" s="39" t="str">
        <f t="shared" ca="1" si="3"/>
        <v>=AVERAGE($E$6:E9)</v>
      </c>
      <c r="J9" s="154">
        <f t="shared" ref="J9:J18" si="5">J8+$J$6</f>
        <v>0.29599999999999999</v>
      </c>
      <c r="K9" s="158">
        <v>165.71539065816035</v>
      </c>
      <c r="M9" s="39" t="str">
        <f t="shared" ref="M9:M18" ca="1" si="6">_xlfn.FORMULATEXT(J9)</f>
        <v>=J8+$J$6</v>
      </c>
    </row>
    <row r="10" spans="1:16" x14ac:dyDescent="0.3">
      <c r="A10" s="40">
        <v>5</v>
      </c>
      <c r="B10" s="40">
        <v>495</v>
      </c>
      <c r="C10" s="63">
        <f t="shared" si="4"/>
        <v>500.6</v>
      </c>
      <c r="D10" s="39" t="str">
        <f t="shared" ca="1" si="0"/>
        <v>=(1-$E$2)*C9+$E$2*B9</v>
      </c>
      <c r="E10" s="141">
        <f t="shared" si="1"/>
        <v>5.6000000000000227</v>
      </c>
      <c r="F10" s="39" t="str">
        <f t="shared" ca="1" si="2"/>
        <v>=ABS(B10-C10)</v>
      </c>
      <c r="G10" s="141">
        <f>AVERAGE($E$6:E10)</f>
        <v>222.32</v>
      </c>
      <c r="H10" s="39" t="str">
        <f t="shared" ca="1" si="3"/>
        <v>=AVERAGE($E$6:E10)</v>
      </c>
      <c r="J10" s="154">
        <f t="shared" si="5"/>
        <v>0.29699999999999999</v>
      </c>
      <c r="K10" s="158">
        <v>165.71132110708331</v>
      </c>
      <c r="M10" s="39" t="str">
        <f t="shared" ca="1" si="6"/>
        <v>=J9+$J$6</v>
      </c>
    </row>
    <row r="11" spans="1:16" x14ac:dyDescent="0.3">
      <c r="A11" s="40">
        <v>6</v>
      </c>
      <c r="B11" s="40">
        <v>391</v>
      </c>
      <c r="C11" s="63">
        <f t="shared" si="4"/>
        <v>498.36</v>
      </c>
      <c r="D11" s="39" t="str">
        <f t="shared" ca="1" si="0"/>
        <v>=(1-$E$2)*C10+$E$2*B10</v>
      </c>
      <c r="E11" s="141">
        <f t="shared" si="1"/>
        <v>107.36000000000001</v>
      </c>
      <c r="F11" s="39" t="str">
        <f t="shared" ca="1" si="2"/>
        <v>=ABS(B11-C11)</v>
      </c>
      <c r="G11" s="141">
        <f>AVERAGE($E$6:E11)</f>
        <v>203.16</v>
      </c>
      <c r="H11" s="39" t="str">
        <f t="shared" ca="1" si="3"/>
        <v>=AVERAGE($E$6:E11)</v>
      </c>
      <c r="J11" s="154">
        <f t="shared" si="5"/>
        <v>0.29799999999999999</v>
      </c>
      <c r="K11" s="158">
        <v>165.70740121700609</v>
      </c>
      <c r="M11" s="39" t="str">
        <f t="shared" ca="1" si="6"/>
        <v>=J10+$J$6</v>
      </c>
    </row>
    <row r="12" spans="1:16" x14ac:dyDescent="0.3">
      <c r="A12" s="40">
        <v>7</v>
      </c>
      <c r="B12" s="40">
        <v>487</v>
      </c>
      <c r="C12" s="63">
        <f t="shared" si="4"/>
        <v>455.41600000000005</v>
      </c>
      <c r="D12" s="39" t="str">
        <f t="shared" ca="1" si="0"/>
        <v>=(1-$E$2)*C11+$E$2*B11</v>
      </c>
      <c r="E12" s="141">
        <f t="shared" si="1"/>
        <v>31.583999999999946</v>
      </c>
      <c r="F12" s="39" t="str">
        <f t="shared" ca="1" si="2"/>
        <v>=ABS(B12-C12)</v>
      </c>
      <c r="G12" s="141">
        <f>AVERAGE($E$6:E12)</f>
        <v>178.64914285714283</v>
      </c>
      <c r="H12" s="39" t="str">
        <f t="shared" ca="1" si="3"/>
        <v>=AVERAGE($E$6:E12)</v>
      </c>
      <c r="J12" s="154">
        <f t="shared" si="5"/>
        <v>0.29899999999999999</v>
      </c>
      <c r="K12" s="158">
        <v>165.70362944388248</v>
      </c>
      <c r="M12" s="39" t="str">
        <f t="shared" ca="1" si="6"/>
        <v>=J11+$J$6</v>
      </c>
    </row>
    <row r="13" spans="1:16" x14ac:dyDescent="0.3">
      <c r="A13" s="40">
        <v>8</v>
      </c>
      <c r="B13" s="40">
        <v>552</v>
      </c>
      <c r="C13" s="63">
        <f t="shared" si="4"/>
        <v>468.04960000000005</v>
      </c>
      <c r="D13" s="39" t="str">
        <f t="shared" ca="1" si="0"/>
        <v>=(1-$E$2)*C12+$E$2*B12</v>
      </c>
      <c r="E13" s="141">
        <f t="shared" si="1"/>
        <v>83.950399999999945</v>
      </c>
      <c r="F13" s="39" t="str">
        <f t="shared" ca="1" si="2"/>
        <v>=ABS(B13-C13)</v>
      </c>
      <c r="G13" s="141">
        <f>AVERAGE($E$6:E13)</f>
        <v>166.81179999999998</v>
      </c>
      <c r="H13" s="39" t="str">
        <f t="shared" ca="1" si="3"/>
        <v>=AVERAGE($E$6:E13)</v>
      </c>
      <c r="J13" s="154">
        <f t="shared" si="5"/>
        <v>0.3</v>
      </c>
      <c r="K13" s="158">
        <v>165.70000425520831</v>
      </c>
      <c r="M13" s="39" t="str">
        <f t="shared" ca="1" si="6"/>
        <v>=J12+$J$6</v>
      </c>
    </row>
    <row r="14" spans="1:16" x14ac:dyDescent="0.3">
      <c r="A14" s="40">
        <v>9</v>
      </c>
      <c r="B14" s="40">
        <v>485</v>
      </c>
      <c r="C14" s="63">
        <f t="shared" si="4"/>
        <v>501.62976000000003</v>
      </c>
      <c r="D14" s="39" t="str">
        <f t="shared" ca="1" si="0"/>
        <v>=(1-$E$2)*C13+$E$2*B13</v>
      </c>
      <c r="E14" s="141">
        <f t="shared" si="1"/>
        <v>16.629760000000033</v>
      </c>
      <c r="F14" s="39" t="str">
        <f t="shared" ca="1" si="2"/>
        <v>=ABS(B14-C14)</v>
      </c>
      <c r="G14" s="141">
        <f>AVERAGE($E$6:E14)</f>
        <v>150.12490666666665</v>
      </c>
      <c r="H14" s="39" t="str">
        <f t="shared" ca="1" si="3"/>
        <v>=AVERAGE($E$6:E14)</v>
      </c>
      <c r="J14" s="154">
        <f t="shared" si="5"/>
        <v>0.30099999999999999</v>
      </c>
      <c r="K14" s="158">
        <v>165.69652412993153</v>
      </c>
      <c r="M14" s="39" t="str">
        <f t="shared" ca="1" si="6"/>
        <v>=J13+$J$6</v>
      </c>
    </row>
    <row r="15" spans="1:16" x14ac:dyDescent="0.3">
      <c r="A15" s="40">
        <v>10</v>
      </c>
      <c r="B15" s="40">
        <v>741</v>
      </c>
      <c r="C15" s="63">
        <f t="shared" si="4"/>
        <v>494.97785600000003</v>
      </c>
      <c r="D15" s="39" t="str">
        <f t="shared" ca="1" si="0"/>
        <v>=(1-$E$2)*C14+$E$2*B14</v>
      </c>
      <c r="E15" s="141">
        <f t="shared" si="1"/>
        <v>246.02214399999997</v>
      </c>
      <c r="F15" s="39" t="str">
        <f t="shared" ca="1" si="2"/>
        <v>=ABS(B15-C15)</v>
      </c>
      <c r="G15" s="141">
        <f>AVERAGE($E$6:E15)</f>
        <v>159.71463039999998</v>
      </c>
      <c r="H15" s="39" t="str">
        <f t="shared" ca="1" si="3"/>
        <v>=AVERAGE($E$6:E15)</v>
      </c>
      <c r="J15" s="154">
        <f t="shared" si="5"/>
        <v>0.30199999999999999</v>
      </c>
      <c r="K15" s="158">
        <v>165.69318755836312</v>
      </c>
      <c r="M15" s="39" t="str">
        <f t="shared" ca="1" si="6"/>
        <v>=J14+$J$6</v>
      </c>
    </row>
    <row r="16" spans="1:16" ht="17.25" thickBot="1" x14ac:dyDescent="0.35">
      <c r="A16" s="40">
        <v>11</v>
      </c>
      <c r="B16" s="40">
        <v>495</v>
      </c>
      <c r="C16" s="63">
        <f t="shared" si="4"/>
        <v>593.38671360000012</v>
      </c>
      <c r="D16" s="39" t="str">
        <f t="shared" ca="1" si="0"/>
        <v>=(1-$E$2)*C15+$E$2*B15</v>
      </c>
      <c r="E16" s="141">
        <f t="shared" si="1"/>
        <v>98.386713600000121</v>
      </c>
      <c r="F16" s="39" t="str">
        <f t="shared" ca="1" si="2"/>
        <v>=ABS(B16-C16)</v>
      </c>
      <c r="G16" s="141">
        <f>AVERAGE($E$6:E16)</f>
        <v>154.13936523636363</v>
      </c>
      <c r="H16" s="39" t="str">
        <f t="shared" ca="1" si="3"/>
        <v>=AVERAGE($E$6:E16)</v>
      </c>
      <c r="J16" s="154">
        <f t="shared" si="5"/>
        <v>0.30299999999999999</v>
      </c>
      <c r="K16" s="158">
        <v>165.6899930420885</v>
      </c>
      <c r="M16" s="39" t="str">
        <f t="shared" ca="1" si="6"/>
        <v>=J15+$J$6</v>
      </c>
    </row>
    <row r="17" spans="1:13" ht="17.25" thickBot="1" x14ac:dyDescent="0.35">
      <c r="A17" s="40">
        <v>12</v>
      </c>
      <c r="B17" s="40">
        <v>950</v>
      </c>
      <c r="C17" s="63">
        <f t="shared" si="4"/>
        <v>554.03202815999998</v>
      </c>
      <c r="D17" s="39" t="str">
        <f t="shared" ca="1" si="0"/>
        <v>=(1-$E$2)*C16+$E$2*B16</v>
      </c>
      <c r="E17" s="141">
        <f t="shared" si="1"/>
        <v>395.96797184000002</v>
      </c>
      <c r="F17" s="39" t="str">
        <f t="shared" ca="1" si="2"/>
        <v>=ABS(B17-C17)</v>
      </c>
      <c r="G17" s="143">
        <f>AVERAGE($E$6:E17)</f>
        <v>174.29174911999999</v>
      </c>
      <c r="H17" s="39" t="str">
        <f t="shared" ca="1" si="3"/>
        <v>=AVERAGE($E$6:E17)</v>
      </c>
      <c r="J17" s="154">
        <f t="shared" si="5"/>
        <v>0.30399999999999999</v>
      </c>
      <c r="K17" s="158">
        <v>165.69063402721392</v>
      </c>
      <c r="M17" s="39" t="str">
        <f t="shared" ca="1" si="6"/>
        <v>=J16+$J$6</v>
      </c>
    </row>
    <row r="18" spans="1:13" ht="17.25" thickBot="1" x14ac:dyDescent="0.35">
      <c r="A18" s="40">
        <v>13</v>
      </c>
      <c r="B18" s="40"/>
      <c r="C18" s="144">
        <f t="shared" si="4"/>
        <v>712.41921689599997</v>
      </c>
      <c r="D18" s="39" t="str">
        <f t="shared" ca="1" si="0"/>
        <v>=(1-$E$2)*C17+$E$2*B17</v>
      </c>
      <c r="E18" s="141"/>
      <c r="G18" s="141"/>
      <c r="J18" s="155">
        <f t="shared" si="5"/>
        <v>0.30499999999999999</v>
      </c>
      <c r="K18" s="159">
        <v>165.71375913344545</v>
      </c>
      <c r="M18" s="39" t="str">
        <f t="shared" ca="1" si="6"/>
        <v>=J17+$J$6</v>
      </c>
    </row>
    <row r="19" spans="1:13" ht="17.25" thickBot="1" x14ac:dyDescent="0.35">
      <c r="A19" s="148" t="s">
        <v>63</v>
      </c>
      <c r="C19" s="148"/>
      <c r="E19" s="145" t="s">
        <v>65</v>
      </c>
      <c r="F19" s="146">
        <f>C18</f>
        <v>712.41921689599997</v>
      </c>
      <c r="G19" s="147" t="s">
        <v>64</v>
      </c>
      <c r="H19" s="146">
        <f>1.25*G17</f>
        <v>217.86468639999998</v>
      </c>
      <c r="J19" s="160" t="s">
        <v>17</v>
      </c>
      <c r="K19" s="161">
        <f>MIN(K8:K18)</f>
        <v>165.6899930420885</v>
      </c>
    </row>
    <row r="20" spans="1:13" x14ac:dyDescent="0.3">
      <c r="F20" s="39" t="str">
        <f ca="1">_xlfn.FORMULATEXT(F19)</f>
        <v>=C18</v>
      </c>
      <c r="H20" s="39" t="str">
        <f ca="1">_xlfn.FORMULATEXT(H19)</f>
        <v>=1.25*G17</v>
      </c>
    </row>
    <row r="21" spans="1:13" x14ac:dyDescent="0.3">
      <c r="G21" s="142" t="s">
        <v>73</v>
      </c>
      <c r="H21" s="152">
        <f>H19/F19</f>
        <v>0.30580967109398483</v>
      </c>
    </row>
  </sheetData>
  <conditionalFormatting sqref="K8:K18">
    <cfRule type="cellIs" dxfId="2" priority="1" operator="equal">
      <formula>$K$19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3"/>
  <sheetViews>
    <sheetView zoomScale="80" zoomScaleNormal="80" workbookViewId="0">
      <selection activeCell="O22" sqref="O22"/>
    </sheetView>
  </sheetViews>
  <sheetFormatPr defaultColWidth="9.140625" defaultRowHeight="16.5" x14ac:dyDescent="0.3"/>
  <cols>
    <col min="1" max="1" width="9.140625" style="39"/>
    <col min="2" max="2" width="4.85546875" style="39" customWidth="1"/>
    <col min="3" max="3" width="9.7109375" style="39" bestFit="1" customWidth="1"/>
    <col min="4" max="4" width="15.7109375" style="39" customWidth="1"/>
    <col min="5" max="5" width="11.42578125" style="40" customWidth="1"/>
    <col min="6" max="6" width="10.7109375" style="40" customWidth="1"/>
    <col min="7" max="7" width="18.42578125" style="40" bestFit="1" customWidth="1"/>
    <col min="8" max="8" width="15.42578125" style="39" bestFit="1" customWidth="1"/>
    <col min="9" max="16384" width="9.140625" style="39"/>
  </cols>
  <sheetData>
    <row r="1" spans="1:24" x14ac:dyDescent="0.3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39">
        <v>0</v>
      </c>
      <c r="L1" s="39">
        <v>4</v>
      </c>
      <c r="M1" s="39">
        <v>0</v>
      </c>
      <c r="N1" s="39">
        <v>-4</v>
      </c>
    </row>
    <row r="2" spans="1:24" x14ac:dyDescent="0.3">
      <c r="A2" s="52" t="s">
        <v>47</v>
      </c>
      <c r="B2" s="52"/>
      <c r="C2" s="52"/>
      <c r="D2" s="52"/>
      <c r="E2" s="52"/>
      <c r="F2" s="52"/>
      <c r="G2" s="52"/>
      <c r="H2" s="52"/>
      <c r="I2" s="52"/>
      <c r="J2" s="52"/>
      <c r="K2" s="39">
        <v>50</v>
      </c>
      <c r="L2" s="39">
        <v>4</v>
      </c>
      <c r="M2" s="39">
        <v>0</v>
      </c>
      <c r="N2" s="39">
        <v>-4</v>
      </c>
    </row>
    <row r="3" spans="1:24" ht="17.25" thickBot="1" x14ac:dyDescent="0.35">
      <c r="A3" s="52" t="s">
        <v>48</v>
      </c>
      <c r="B3" s="52"/>
      <c r="C3" s="52"/>
      <c r="D3" s="52"/>
      <c r="E3" s="39"/>
      <c r="F3"/>
      <c r="G3">
        <v>0.58071710164888257</v>
      </c>
      <c r="I3" s="52"/>
      <c r="J3" s="52"/>
      <c r="K3"/>
    </row>
    <row r="4" spans="1:24" ht="17.25" thickBot="1" x14ac:dyDescent="0.35">
      <c r="A4" s="52" t="s">
        <v>49</v>
      </c>
      <c r="B4"/>
      <c r="C4"/>
      <c r="D4"/>
      <c r="E4"/>
      <c r="F4"/>
      <c r="G4" s="39"/>
      <c r="H4" s="56">
        <f>G61</f>
        <v>18.537074057652251</v>
      </c>
      <c r="I4" s="52"/>
      <c r="N4"/>
      <c r="O4"/>
      <c r="P4"/>
      <c r="Q4"/>
      <c r="R4"/>
      <c r="S4"/>
      <c r="T4"/>
      <c r="U4"/>
      <c r="V4"/>
      <c r="W4" s="52"/>
      <c r="X4"/>
    </row>
    <row r="5" spans="1:24" ht="17.25" thickBot="1" x14ac:dyDescent="0.35">
      <c r="A5" s="53" t="s">
        <v>50</v>
      </c>
      <c r="B5" s="53"/>
      <c r="C5" s="53"/>
      <c r="D5" s="53"/>
      <c r="E5" s="38"/>
      <c r="F5" s="54"/>
      <c r="G5" s="53"/>
      <c r="H5" s="57">
        <f>D62</f>
        <v>77.994436327442259</v>
      </c>
      <c r="I5"/>
    </row>
    <row r="6" spans="1:24" ht="17.25" thickBot="1" x14ac:dyDescent="0.35">
      <c r="A6" s="53" t="s">
        <v>51</v>
      </c>
      <c r="B6"/>
      <c r="C6"/>
      <c r="D6"/>
      <c r="E6"/>
      <c r="F6"/>
      <c r="G6"/>
      <c r="H6"/>
      <c r="I6" s="56">
        <f>1.25*H4</f>
        <v>23.171342572065313</v>
      </c>
      <c r="J6"/>
    </row>
    <row r="7" spans="1:24" x14ac:dyDescent="0.3">
      <c r="A7" s="53" t="s">
        <v>40</v>
      </c>
      <c r="B7"/>
      <c r="C7" s="53" t="s">
        <v>41</v>
      </c>
      <c r="D7"/>
      <c r="E7" s="53" t="s">
        <v>42</v>
      </c>
      <c r="F7" s="39"/>
      <c r="G7"/>
      <c r="J7" s="52"/>
    </row>
    <row r="8" spans="1:24" x14ac:dyDescent="0.3">
      <c r="A8" s="53" t="s">
        <v>46</v>
      </c>
      <c r="B8"/>
      <c r="C8" t="s">
        <v>33</v>
      </c>
      <c r="D8"/>
      <c r="E8" t="s">
        <v>42</v>
      </c>
      <c r="F8"/>
      <c r="G8"/>
      <c r="H8"/>
      <c r="I8"/>
      <c r="J8"/>
    </row>
    <row r="9" spans="1:24" x14ac:dyDescent="0.3">
      <c r="E9" s="39"/>
      <c r="F9" s="39"/>
      <c r="G9" s="39"/>
      <c r="H9"/>
      <c r="I9" s="53"/>
      <c r="J9"/>
    </row>
    <row r="10" spans="1:24" ht="17.25" thickBot="1" x14ac:dyDescent="0.35"/>
    <row r="11" spans="1:24" ht="17.25" thickBot="1" x14ac:dyDescent="0.35">
      <c r="A11" s="39" t="s">
        <v>32</v>
      </c>
      <c r="B11" s="43" t="s">
        <v>31</v>
      </c>
      <c r="C11" s="44" t="s">
        <v>0</v>
      </c>
      <c r="D11" s="42" t="s">
        <v>34</v>
      </c>
      <c r="E11" s="45" t="s">
        <v>35</v>
      </c>
      <c r="F11" s="45" t="s">
        <v>2</v>
      </c>
      <c r="G11" s="45" t="s">
        <v>36</v>
      </c>
      <c r="H11" s="60" t="s">
        <v>37</v>
      </c>
    </row>
    <row r="12" spans="1:24" x14ac:dyDescent="0.3">
      <c r="A12" s="39" t="e">
        <f>ROUND(#REF!/100,0)</f>
        <v>#REF!</v>
      </c>
      <c r="B12" s="46">
        <v>1</v>
      </c>
      <c r="C12" s="47">
        <v>60</v>
      </c>
      <c r="D12" s="58">
        <f>C12</f>
        <v>60</v>
      </c>
      <c r="E12" s="48">
        <f>C12-D12</f>
        <v>0</v>
      </c>
      <c r="F12" s="59">
        <f>ABS(E12)</f>
        <v>0</v>
      </c>
      <c r="G12" s="51">
        <f>AVERAGE($F$12:F12)</f>
        <v>0</v>
      </c>
      <c r="H12" s="61" t="e">
        <f>SUM($E$12:E12)/G12</f>
        <v>#DIV/0!</v>
      </c>
      <c r="J12" s="39">
        <v>0</v>
      </c>
    </row>
    <row r="13" spans="1:24" x14ac:dyDescent="0.3">
      <c r="A13" s="39" t="e">
        <f>ROUND(#REF!/100,0)</f>
        <v>#REF!</v>
      </c>
      <c r="B13" s="49">
        <v>2</v>
      </c>
      <c r="C13" s="47">
        <v>38</v>
      </c>
      <c r="D13" s="58">
        <f t="shared" ref="D13:D44" si="0">(1-$G$3)*D12+$G$3*C12</f>
        <v>60</v>
      </c>
      <c r="E13" s="48">
        <f>C13-D13</f>
        <v>-22</v>
      </c>
      <c r="F13" s="59">
        <f>ABS(E13)</f>
        <v>22</v>
      </c>
      <c r="G13" s="51">
        <f>AVERAGE($F$12:F13)</f>
        <v>11</v>
      </c>
      <c r="H13" s="62">
        <f>SUM($E$12:E13)/G13</f>
        <v>-2</v>
      </c>
      <c r="J13" s="39">
        <v>0.1</v>
      </c>
    </row>
    <row r="14" spans="1:24" x14ac:dyDescent="0.3">
      <c r="A14" s="39" t="e">
        <f>ROUND(#REF!/100,0)</f>
        <v>#REF!</v>
      </c>
      <c r="B14" s="49">
        <v>3</v>
      </c>
      <c r="C14" s="47">
        <v>29</v>
      </c>
      <c r="D14" s="58">
        <f t="shared" si="0"/>
        <v>47.224223763724581</v>
      </c>
      <c r="E14" s="48">
        <f t="shared" ref="E14:E61" si="1">C14-D14</f>
        <v>-18.224223763724581</v>
      </c>
      <c r="F14" s="59">
        <f t="shared" ref="F14:F61" si="2">ABS(E14)</f>
        <v>18.224223763724581</v>
      </c>
      <c r="G14" s="51">
        <f>AVERAGE($F$12:F14)</f>
        <v>13.408074587908194</v>
      </c>
      <c r="H14" s="62">
        <f>SUM($E$12:E14)/G14</f>
        <v>-3</v>
      </c>
    </row>
    <row r="15" spans="1:24" x14ac:dyDescent="0.3">
      <c r="A15" s="39" t="e">
        <f>ROUND(#REF!/100,0)</f>
        <v>#REF!</v>
      </c>
      <c r="B15" s="49">
        <v>4</v>
      </c>
      <c r="C15" s="47">
        <v>21</v>
      </c>
      <c r="D15" s="58">
        <f t="shared" si="0"/>
        <v>36.641105359853753</v>
      </c>
      <c r="E15" s="48">
        <f t="shared" si="1"/>
        <v>-15.641105359853753</v>
      </c>
      <c r="F15" s="59">
        <f t="shared" si="2"/>
        <v>15.641105359853753</v>
      </c>
      <c r="G15" s="51">
        <f>AVERAGE($F$12:F15)</f>
        <v>13.966332280894584</v>
      </c>
      <c r="H15" s="62">
        <f>SUM($E$12:E15)/G15</f>
        <v>-4</v>
      </c>
      <c r="K15" s="39" t="s">
        <v>1</v>
      </c>
    </row>
    <row r="16" spans="1:24" x14ac:dyDescent="0.3">
      <c r="A16" s="39" t="e">
        <f>ROUND(#REF!/100,0)</f>
        <v>#REF!</v>
      </c>
      <c r="B16" s="49">
        <v>5</v>
      </c>
      <c r="C16" s="47">
        <v>26</v>
      </c>
      <c r="D16" s="58">
        <f t="shared" si="0"/>
        <v>27.558047988694682</v>
      </c>
      <c r="E16" s="48">
        <f t="shared" si="1"/>
        <v>-1.5580479886946819</v>
      </c>
      <c r="F16" s="59">
        <f t="shared" si="2"/>
        <v>1.5580479886946819</v>
      </c>
      <c r="G16" s="51">
        <f>AVERAGE($F$12:F16)</f>
        <v>11.484675422454604</v>
      </c>
      <c r="H16" s="62">
        <f>SUM($E$12:E16)/G16</f>
        <v>-5</v>
      </c>
      <c r="J16" s="39" t="s">
        <v>52</v>
      </c>
      <c r="K16" s="63">
        <f>H4</f>
        <v>18.537074057652251</v>
      </c>
    </row>
    <row r="17" spans="1:12" x14ac:dyDescent="0.3">
      <c r="A17" s="39" t="e">
        <f>ROUND(#REF!/100,0)</f>
        <v>#REF!</v>
      </c>
      <c r="B17" s="49">
        <v>6</v>
      </c>
      <c r="C17" s="47">
        <v>43</v>
      </c>
      <c r="D17" s="58">
        <f t="shared" si="0"/>
        <v>26.653262876470038</v>
      </c>
      <c r="E17" s="48">
        <f t="shared" si="1"/>
        <v>16.346737123529962</v>
      </c>
      <c r="F17" s="59">
        <f t="shared" si="2"/>
        <v>16.346737123529962</v>
      </c>
      <c r="G17" s="51">
        <f>AVERAGE($F$12:F17)</f>
        <v>12.295019039300497</v>
      </c>
      <c r="H17" s="62">
        <f>SUM($E$12:E17)/G17</f>
        <v>-3.3409171516890988</v>
      </c>
      <c r="J17" s="39">
        <f>J12</f>
        <v>0</v>
      </c>
      <c r="K17" s="39">
        <f t="dataTable" ref="K17:K26" dt2D="0" dtr="0" r1="G3"/>
        <v>19.260000000000002</v>
      </c>
    </row>
    <row r="18" spans="1:12" x14ac:dyDescent="0.3">
      <c r="A18" s="39" t="e">
        <f>ROUND(#REF!/100,0)</f>
        <v>#REF!</v>
      </c>
      <c r="B18" s="49">
        <v>7</v>
      </c>
      <c r="C18" s="47">
        <v>39</v>
      </c>
      <c r="D18" s="58">
        <f t="shared" si="0"/>
        <v>36.146092680262548</v>
      </c>
      <c r="E18" s="48">
        <f t="shared" si="1"/>
        <v>2.853907319737452</v>
      </c>
      <c r="F18" s="59">
        <f t="shared" si="2"/>
        <v>2.853907319737452</v>
      </c>
      <c r="G18" s="51">
        <f>AVERAGE($F$12:F18)</f>
        <v>10.946288793648632</v>
      </c>
      <c r="H18" s="62">
        <f>SUM($E$12:E18)/G18</f>
        <v>-3.4918439837969184</v>
      </c>
      <c r="J18" s="39">
        <f>J17+$J$13</f>
        <v>0.1</v>
      </c>
      <c r="K18" s="39">
        <v>18.861703655418633</v>
      </c>
    </row>
    <row r="19" spans="1:12" x14ac:dyDescent="0.3">
      <c r="A19" s="39" t="e">
        <f>ROUND(#REF!/100,0)</f>
        <v>#REF!</v>
      </c>
      <c r="B19" s="49">
        <v>8</v>
      </c>
      <c r="C19" s="47">
        <v>38</v>
      </c>
      <c r="D19" s="58">
        <f t="shared" si="0"/>
        <v>37.803405467355013</v>
      </c>
      <c r="E19" s="48">
        <f t="shared" si="1"/>
        <v>0.19659453264498694</v>
      </c>
      <c r="F19" s="59">
        <f t="shared" si="2"/>
        <v>0.19659453264498694</v>
      </c>
      <c r="G19" s="51">
        <f>AVERAGE($F$12:F19)</f>
        <v>9.6025770110231754</v>
      </c>
      <c r="H19" s="62">
        <f>SUM($E$12:E19)/G19</f>
        <v>-3.9599930406919848</v>
      </c>
      <c r="J19" s="39">
        <f t="shared" ref="J19:J26" si="3">J18+$J$13</f>
        <v>0.2</v>
      </c>
      <c r="K19" s="39">
        <v>18.766871442934381</v>
      </c>
    </row>
    <row r="20" spans="1:12" x14ac:dyDescent="0.3">
      <c r="A20" s="39" t="e">
        <f>ROUND(#REF!/100,0)</f>
        <v>#REF!</v>
      </c>
      <c r="B20" s="49">
        <v>9</v>
      </c>
      <c r="C20" s="47">
        <v>45</v>
      </c>
      <c r="D20" s="58">
        <f t="shared" si="0"/>
        <v>37.917571274552628</v>
      </c>
      <c r="E20" s="48">
        <f t="shared" si="1"/>
        <v>7.0824287254473717</v>
      </c>
      <c r="F20" s="59">
        <f t="shared" si="2"/>
        <v>7.0824287254473717</v>
      </c>
      <c r="G20" s="51">
        <f>AVERAGE($F$12:F20)</f>
        <v>9.3225605348480869</v>
      </c>
      <c r="H20" s="62">
        <f>SUM($E$12:E20)/G20</f>
        <v>-3.3192285848125604</v>
      </c>
      <c r="J20" s="39">
        <f t="shared" si="3"/>
        <v>0.30000000000000004</v>
      </c>
      <c r="K20" s="39">
        <v>18.772602390637811</v>
      </c>
    </row>
    <row r="21" spans="1:12" x14ac:dyDescent="0.3">
      <c r="A21" s="39" t="e">
        <f>ROUND(#REF!/100,0)</f>
        <v>#REF!</v>
      </c>
      <c r="B21" s="49">
        <v>10</v>
      </c>
      <c r="C21" s="47">
        <v>73</v>
      </c>
      <c r="D21" s="58">
        <f t="shared" si="0"/>
        <v>42.030458756629216</v>
      </c>
      <c r="E21" s="48">
        <f t="shared" si="1"/>
        <v>30.969541243370784</v>
      </c>
      <c r="F21" s="59">
        <f t="shared" si="2"/>
        <v>30.969541243370784</v>
      </c>
      <c r="G21" s="51">
        <f>AVERAGE($F$12:F21)</f>
        <v>11.487258605700356</v>
      </c>
      <c r="H21" s="62">
        <f>SUM($E$12:E21)/G21</f>
        <v>2.2487377836799701E-3</v>
      </c>
      <c r="J21" s="39">
        <f t="shared" si="3"/>
        <v>0.4</v>
      </c>
      <c r="K21" s="39">
        <v>18.819851167347043</v>
      </c>
    </row>
    <row r="22" spans="1:12" x14ac:dyDescent="0.3">
      <c r="A22" s="39" t="e">
        <f>ROUND(#REF!/100,0)</f>
        <v>#REF!</v>
      </c>
      <c r="B22" s="49">
        <v>11</v>
      </c>
      <c r="C22" s="47">
        <v>26</v>
      </c>
      <c r="D22" s="58">
        <f t="shared" si="0"/>
        <v>60.01500098687503</v>
      </c>
      <c r="E22" s="48">
        <f t="shared" si="1"/>
        <v>-34.01500098687503</v>
      </c>
      <c r="F22" s="59">
        <f t="shared" si="2"/>
        <v>34.01500098687503</v>
      </c>
      <c r="G22" s="51">
        <f>AVERAGE($F$12:F22)</f>
        <v>13.535235185807146</v>
      </c>
      <c r="H22" s="62">
        <f>SUM($E$12:E22)/G22</f>
        <v>-2.5111620661056593</v>
      </c>
      <c r="J22" s="39">
        <f t="shared" si="3"/>
        <v>0.5</v>
      </c>
      <c r="K22" s="39">
        <v>18.647428051464125</v>
      </c>
    </row>
    <row r="23" spans="1:12" x14ac:dyDescent="0.3">
      <c r="A23" s="39" t="e">
        <f>ROUND(#REF!/100,0)</f>
        <v>#REF!</v>
      </c>
      <c r="B23" s="49">
        <v>12</v>
      </c>
      <c r="C23" s="47">
        <v>96</v>
      </c>
      <c r="D23" s="58">
        <f t="shared" si="0"/>
        <v>40.26190820119308</v>
      </c>
      <c r="E23" s="48">
        <f t="shared" si="1"/>
        <v>55.73809179880692</v>
      </c>
      <c r="F23" s="59">
        <f t="shared" si="2"/>
        <v>55.73809179880692</v>
      </c>
      <c r="G23" s="51">
        <f>AVERAGE($F$12:F23)</f>
        <v>17.052139903557126</v>
      </c>
      <c r="H23" s="62">
        <f>SUM($E$12:E23)/G23</f>
        <v>1.2754365591295989</v>
      </c>
      <c r="J23" s="39">
        <f t="shared" si="3"/>
        <v>0.6</v>
      </c>
      <c r="K23" s="39">
        <v>18.565016628844077</v>
      </c>
    </row>
    <row r="24" spans="1:12" x14ac:dyDescent="0.3">
      <c r="A24" s="39" t="e">
        <f>ROUND(#REF!/100,0)</f>
        <v>#REF!</v>
      </c>
      <c r="B24" s="49">
        <v>13</v>
      </c>
      <c r="C24" s="47">
        <v>50</v>
      </c>
      <c r="D24" s="58">
        <f t="shared" si="0"/>
        <v>72.629971322035587</v>
      </c>
      <c r="E24" s="48">
        <f t="shared" si="1"/>
        <v>-22.629971322035587</v>
      </c>
      <c r="F24" s="59">
        <f t="shared" si="2"/>
        <v>22.629971322035587</v>
      </c>
      <c r="G24" s="51">
        <f>AVERAGE($F$12:F24)</f>
        <v>17.481203858824699</v>
      </c>
      <c r="H24" s="62">
        <f>SUM($E$12:E24)/G24</f>
        <v>-5.0399771363652E-2</v>
      </c>
      <c r="J24" s="39">
        <f t="shared" si="3"/>
        <v>0.7</v>
      </c>
      <c r="K24" s="39">
        <v>18.7634067734298</v>
      </c>
    </row>
    <row r="25" spans="1:12" x14ac:dyDescent="0.3">
      <c r="A25" s="39" t="e">
        <f>ROUND(#REF!/100,0)</f>
        <v>#REF!</v>
      </c>
      <c r="B25" s="49">
        <v>14</v>
      </c>
      <c r="C25" s="47">
        <v>57</v>
      </c>
      <c r="D25" s="58">
        <f t="shared" si="0"/>
        <v>59.488359965505751</v>
      </c>
      <c r="E25" s="48">
        <f t="shared" si="1"/>
        <v>-2.4883599655057509</v>
      </c>
      <c r="F25" s="59">
        <f t="shared" si="2"/>
        <v>2.4883599655057509</v>
      </c>
      <c r="G25" s="51">
        <f>AVERAGE($F$12:F25)</f>
        <v>16.410286437873346</v>
      </c>
      <c r="H25" s="62">
        <f>SUM($E$12:E25)/G25</f>
        <v>-0.20532296349048723</v>
      </c>
      <c r="J25" s="39">
        <f t="shared" si="3"/>
        <v>0.79999999999999993</v>
      </c>
      <c r="K25" s="39">
        <v>19.121968615470593</v>
      </c>
    </row>
    <row r="26" spans="1:12" x14ac:dyDescent="0.3">
      <c r="A26" s="39" t="e">
        <f>ROUND(#REF!/100,0)</f>
        <v>#REF!</v>
      </c>
      <c r="B26" s="49">
        <v>15</v>
      </c>
      <c r="C26" s="47">
        <v>72</v>
      </c>
      <c r="D26" s="58">
        <f t="shared" si="0"/>
        <v>58.043326778478139</v>
      </c>
      <c r="E26" s="48">
        <f t="shared" si="1"/>
        <v>13.956673221521861</v>
      </c>
      <c r="F26" s="59">
        <f t="shared" si="2"/>
        <v>13.956673221521861</v>
      </c>
      <c r="G26" s="51">
        <f>AVERAGE($F$12:F26)</f>
        <v>16.246712223449915</v>
      </c>
      <c r="H26" s="62">
        <f>SUM($E$12:E26)/G26</f>
        <v>0.65165582012886769</v>
      </c>
      <c r="J26" s="39">
        <f t="shared" si="3"/>
        <v>0.89999999999999991</v>
      </c>
      <c r="K26" s="39">
        <v>19.826101861448908</v>
      </c>
    </row>
    <row r="27" spans="1:12" x14ac:dyDescent="0.3">
      <c r="A27" s="39" t="e">
        <f>ROUND(#REF!/100,0)</f>
        <v>#REF!</v>
      </c>
      <c r="B27" s="49">
        <v>16</v>
      </c>
      <c r="C27" s="47">
        <v>56</v>
      </c>
      <c r="D27" s="58">
        <f t="shared" si="0"/>
        <v>66.148205600340887</v>
      </c>
      <c r="E27" s="48">
        <f t="shared" si="1"/>
        <v>-10.148205600340887</v>
      </c>
      <c r="F27" s="59">
        <f t="shared" si="2"/>
        <v>10.148205600340887</v>
      </c>
      <c r="G27" s="51">
        <f>AVERAGE($F$12:F27)</f>
        <v>15.865555559505601</v>
      </c>
      <c r="H27" s="62">
        <f>SUM($E$12:E27)/G27</f>
        <v>2.7673722258405972E-2</v>
      </c>
      <c r="L27" s="39">
        <f>MIN(K17:K26)</f>
        <v>18.565016628844077</v>
      </c>
    </row>
    <row r="28" spans="1:12" x14ac:dyDescent="0.3">
      <c r="A28" s="39" t="e">
        <f>ROUND(#REF!/100,0)</f>
        <v>#REF!</v>
      </c>
      <c r="B28" s="49">
        <v>17</v>
      </c>
      <c r="C28" s="47">
        <v>27</v>
      </c>
      <c r="D28" s="58">
        <f t="shared" si="0"/>
        <v>60.254969057173966</v>
      </c>
      <c r="E28" s="48">
        <f t="shared" si="1"/>
        <v>-33.254969057173966</v>
      </c>
      <c r="F28" s="59">
        <f t="shared" si="2"/>
        <v>33.254969057173966</v>
      </c>
      <c r="G28" s="51">
        <f>AVERAGE($F$12:F28)</f>
        <v>16.888462235839036</v>
      </c>
      <c r="H28" s="62">
        <f>SUM($E$12:E28)/G28</f>
        <v>-1.9430963945021706</v>
      </c>
    </row>
    <row r="29" spans="1:12" x14ac:dyDescent="0.3">
      <c r="A29" s="39" t="e">
        <f>ROUND(#REF!/100,0)</f>
        <v>#REF!</v>
      </c>
      <c r="B29" s="49">
        <v>18</v>
      </c>
      <c r="C29" s="47">
        <v>33</v>
      </c>
      <c r="D29" s="58">
        <f t="shared" si="0"/>
        <v>40.943239810868626</v>
      </c>
      <c r="E29" s="48">
        <f t="shared" si="1"/>
        <v>-7.9432398108686257</v>
      </c>
      <c r="F29" s="59">
        <f t="shared" si="2"/>
        <v>7.9432398108686257</v>
      </c>
      <c r="G29" s="51">
        <f>AVERAGE($F$12:F29)</f>
        <v>16.391505434451791</v>
      </c>
      <c r="H29" s="62">
        <f>SUM($E$12:E29)/G29</f>
        <v>-2.4866019813131768</v>
      </c>
    </row>
    <row r="30" spans="1:12" x14ac:dyDescent="0.3">
      <c r="A30" s="39" t="e">
        <f>ROUND(#REF!/100,0)</f>
        <v>#REF!</v>
      </c>
      <c r="B30" s="49">
        <v>19</v>
      </c>
      <c r="C30" s="47">
        <v>73</v>
      </c>
      <c r="D30" s="58">
        <f t="shared" si="0"/>
        <v>36.33046461019898</v>
      </c>
      <c r="E30" s="48">
        <f t="shared" si="1"/>
        <v>36.66953538980102</v>
      </c>
      <c r="F30" s="59">
        <f t="shared" si="2"/>
        <v>36.66953538980102</v>
      </c>
      <c r="G30" s="51">
        <f>AVERAGE($F$12:F30)</f>
        <v>17.458770168943857</v>
      </c>
      <c r="H30" s="62">
        <f>SUM($E$12:E30)/G30</f>
        <v>-0.23424413407349989</v>
      </c>
    </row>
    <row r="31" spans="1:12" x14ac:dyDescent="0.3">
      <c r="A31" s="39" t="e">
        <f>ROUND(#REF!/100,0)</f>
        <v>#REF!</v>
      </c>
      <c r="B31" s="49">
        <v>20</v>
      </c>
      <c r="C31" s="47">
        <v>55</v>
      </c>
      <c r="D31" s="58">
        <f t="shared" si="0"/>
        <v>57.62509092057536</v>
      </c>
      <c r="E31" s="48">
        <f t="shared" si="1"/>
        <v>-2.6250909205753601</v>
      </c>
      <c r="F31" s="59">
        <f t="shared" si="2"/>
        <v>2.6250909205753601</v>
      </c>
      <c r="G31" s="51">
        <f>AVERAGE($F$12:F31)</f>
        <v>16.71708620652543</v>
      </c>
      <c r="H31" s="62">
        <f>SUM($E$12:E31)/G31</f>
        <v>-0.40166721268487654</v>
      </c>
    </row>
    <row r="32" spans="1:12" x14ac:dyDescent="0.3">
      <c r="A32" s="39" t="e">
        <f>ROUND(#REF!/100,0)</f>
        <v>#REF!</v>
      </c>
      <c r="B32" s="49">
        <v>21</v>
      </c>
      <c r="C32" s="47">
        <v>31</v>
      </c>
      <c r="D32" s="58">
        <f t="shared" si="0"/>
        <v>56.10065572961404</v>
      </c>
      <c r="E32" s="48">
        <f t="shared" si="1"/>
        <v>-25.10065572961404</v>
      </c>
      <c r="F32" s="59">
        <f t="shared" si="2"/>
        <v>25.10065572961404</v>
      </c>
      <c r="G32" s="51">
        <f>AVERAGE($F$12:F32)</f>
        <v>17.116303802862983</v>
      </c>
      <c r="H32" s="62">
        <f>SUM($E$12:E32)/G32</f>
        <v>-1.8587752073599129</v>
      </c>
    </row>
    <row r="33" spans="1:8" x14ac:dyDescent="0.3">
      <c r="A33" s="39" t="e">
        <f>ROUND(#REF!/100,0)</f>
        <v>#REF!</v>
      </c>
      <c r="B33" s="49">
        <v>22</v>
      </c>
      <c r="C33" s="47">
        <v>60</v>
      </c>
      <c r="D33" s="58">
        <f t="shared" si="0"/>
        <v>41.524275684826158</v>
      </c>
      <c r="E33" s="48">
        <f t="shared" si="1"/>
        <v>18.475724315173842</v>
      </c>
      <c r="F33" s="59">
        <f t="shared" si="2"/>
        <v>18.475724315173842</v>
      </c>
      <c r="G33" s="51">
        <f>AVERAGE($F$12:F33)</f>
        <v>17.178095644331663</v>
      </c>
      <c r="H33" s="62">
        <f>SUM($E$12:E33)/G33</f>
        <v>-0.77654922358228962</v>
      </c>
    </row>
    <row r="34" spans="1:8" x14ac:dyDescent="0.3">
      <c r="A34" s="39" t="e">
        <f>ROUND(#REF!/100,0)</f>
        <v>#REF!</v>
      </c>
      <c r="B34" s="49">
        <v>23</v>
      </c>
      <c r="C34" s="47">
        <v>26</v>
      </c>
      <c r="D34" s="58">
        <f t="shared" si="0"/>
        <v>52.253444759997691</v>
      </c>
      <c r="E34" s="48">
        <f t="shared" si="1"/>
        <v>-26.253444759997691</v>
      </c>
      <c r="F34" s="59">
        <f t="shared" si="2"/>
        <v>26.253444759997691</v>
      </c>
      <c r="G34" s="51">
        <f>AVERAGE($F$12:F34)</f>
        <v>17.572676040664966</v>
      </c>
      <c r="H34" s="62">
        <f>SUM($E$12:E34)/G34</f>
        <v>-2.2531048488917294</v>
      </c>
    </row>
    <row r="35" spans="1:8" x14ac:dyDescent="0.3">
      <c r="A35" s="39" t="e">
        <f>ROUND(#REF!/100,0)</f>
        <v>#REF!</v>
      </c>
      <c r="B35" s="49">
        <v>24</v>
      </c>
      <c r="C35" s="47">
        <v>25</v>
      </c>
      <c r="D35" s="58">
        <f t="shared" si="0"/>
        <v>37.007620410672786</v>
      </c>
      <c r="E35" s="48">
        <f t="shared" si="1"/>
        <v>-12.007620410672786</v>
      </c>
      <c r="F35" s="59">
        <f t="shared" si="2"/>
        <v>12.007620410672786</v>
      </c>
      <c r="G35" s="51">
        <f>AVERAGE($F$12:F35)</f>
        <v>17.340798722748627</v>
      </c>
      <c r="H35" s="62">
        <f>SUM($E$12:E35)/G35</f>
        <v>-2.9756819643034009</v>
      </c>
    </row>
    <row r="36" spans="1:8" x14ac:dyDescent="0.3">
      <c r="A36" s="39" t="e">
        <f>ROUND(#REF!/100,0)</f>
        <v>#REF!</v>
      </c>
      <c r="B36" s="49">
        <v>25</v>
      </c>
      <c r="C36" s="47">
        <v>65</v>
      </c>
      <c r="D36" s="58">
        <f t="shared" si="0"/>
        <v>30.03458988808692</v>
      </c>
      <c r="E36" s="48">
        <f t="shared" si="1"/>
        <v>34.96541011191308</v>
      </c>
      <c r="F36" s="59">
        <f t="shared" si="2"/>
        <v>34.96541011191308</v>
      </c>
      <c r="G36" s="51">
        <f>AVERAGE($F$12:F36)</f>
        <v>18.045783178315205</v>
      </c>
      <c r="H36" s="62">
        <f>SUM($E$12:E36)/G36</f>
        <v>-0.92183817846018079</v>
      </c>
    </row>
    <row r="37" spans="1:8" x14ac:dyDescent="0.3">
      <c r="A37" s="39" t="e">
        <f>ROUND(#REF!/100,0)</f>
        <v>#REF!</v>
      </c>
      <c r="B37" s="49">
        <v>26</v>
      </c>
      <c r="C37" s="47">
        <v>68</v>
      </c>
      <c r="D37" s="58">
        <f t="shared" si="0"/>
        <v>50.339601506241614</v>
      </c>
      <c r="E37" s="48">
        <f t="shared" si="1"/>
        <v>17.660398493758386</v>
      </c>
      <c r="F37" s="59">
        <f t="shared" si="2"/>
        <v>17.660398493758386</v>
      </c>
      <c r="G37" s="51">
        <f>AVERAGE($F$12:F37)</f>
        <v>18.030960690447635</v>
      </c>
      <c r="H37" s="62">
        <f>SUM($E$12:E37)/G37</f>
        <v>5.6852578039061567E-2</v>
      </c>
    </row>
    <row r="38" spans="1:8" x14ac:dyDescent="0.3">
      <c r="A38" s="39" t="e">
        <f>ROUND(#REF!/100,0)</f>
        <v>#REF!</v>
      </c>
      <c r="B38" s="49">
        <v>27</v>
      </c>
      <c r="C38" s="47">
        <v>100</v>
      </c>
      <c r="D38" s="58">
        <f t="shared" si="0"/>
        <v>60.595296933501274</v>
      </c>
      <c r="E38" s="48">
        <f t="shared" si="1"/>
        <v>39.404703066498726</v>
      </c>
      <c r="F38" s="59">
        <f t="shared" si="2"/>
        <v>39.404703066498726</v>
      </c>
      <c r="G38" s="51">
        <f>AVERAGE($F$12:F38)</f>
        <v>18.822580778449524</v>
      </c>
      <c r="H38" s="62">
        <f>SUM($E$12:E38)/G38</f>
        <v>2.1479418865111644</v>
      </c>
    </row>
    <row r="39" spans="1:8" x14ac:dyDescent="0.3">
      <c r="A39" s="39" t="e">
        <f>ROUND(#REF!/100,0)</f>
        <v>#REF!</v>
      </c>
      <c r="B39" s="49">
        <v>28</v>
      </c>
      <c r="C39" s="47">
        <v>66</v>
      </c>
      <c r="D39" s="58">
        <f t="shared" si="0"/>
        <v>83.478281889613243</v>
      </c>
      <c r="E39" s="48">
        <f t="shared" si="1"/>
        <v>-17.478281889613243</v>
      </c>
      <c r="F39" s="59">
        <f t="shared" si="2"/>
        <v>17.478281889613243</v>
      </c>
      <c r="G39" s="51">
        <f>AVERAGE($F$12:F39)</f>
        <v>18.77457010384823</v>
      </c>
      <c r="H39" s="62">
        <f>SUM($E$12:E39)/G39</f>
        <v>1.2224795374650963</v>
      </c>
    </row>
    <row r="40" spans="1:8" x14ac:dyDescent="0.3">
      <c r="A40" s="39" t="e">
        <f>ROUND(#REF!/100,0)</f>
        <v>#REF!</v>
      </c>
      <c r="B40" s="49">
        <v>29</v>
      </c>
      <c r="C40" s="47">
        <v>50</v>
      </c>
      <c r="D40" s="58">
        <f t="shared" si="0"/>
        <v>73.328344688874893</v>
      </c>
      <c r="E40" s="48">
        <f t="shared" si="1"/>
        <v>-23.328344688874893</v>
      </c>
      <c r="F40" s="59">
        <f t="shared" si="2"/>
        <v>23.328344688874893</v>
      </c>
      <c r="G40" s="51">
        <f>AVERAGE($F$12:F40)</f>
        <v>18.931596813676741</v>
      </c>
      <c r="H40" s="62">
        <f>SUM($E$12:E40)/G40</f>
        <v>-1.9904127260108345E-2</v>
      </c>
    </row>
    <row r="41" spans="1:8" x14ac:dyDescent="0.3">
      <c r="A41" s="39" t="e">
        <f>ROUND(#REF!/100,0)</f>
        <v>#REF!</v>
      </c>
      <c r="B41" s="49">
        <v>30</v>
      </c>
      <c r="C41" s="47">
        <v>57</v>
      </c>
      <c r="D41" s="58">
        <f t="shared" si="0"/>
        <v>59.781175974885358</v>
      </c>
      <c r="E41" s="48">
        <f t="shared" si="1"/>
        <v>-2.7811759748853575</v>
      </c>
      <c r="F41" s="59">
        <f t="shared" si="2"/>
        <v>2.7811759748853575</v>
      </c>
      <c r="G41" s="51">
        <f>AVERAGE($F$12:F41)</f>
        <v>18.393249452383696</v>
      </c>
      <c r="H41" s="62">
        <f>SUM($E$12:E41)/G41</f>
        <v>-0.17169303853988546</v>
      </c>
    </row>
    <row r="42" spans="1:8" x14ac:dyDescent="0.3">
      <c r="A42" s="39" t="e">
        <f>ROUND(#REF!/100,0)</f>
        <v>#REF!</v>
      </c>
      <c r="B42" s="49">
        <v>31</v>
      </c>
      <c r="C42" s="47">
        <v>86</v>
      </c>
      <c r="D42" s="58">
        <f t="shared" si="0"/>
        <v>58.166099523574431</v>
      </c>
      <c r="E42" s="48">
        <f t="shared" si="1"/>
        <v>27.833900476425569</v>
      </c>
      <c r="F42" s="59">
        <f t="shared" si="2"/>
        <v>27.833900476425569</v>
      </c>
      <c r="G42" s="51">
        <f>AVERAGE($F$12:F42)</f>
        <v>18.697786582191497</v>
      </c>
      <c r="H42" s="62">
        <f>SUM($E$12:E42)/G42</f>
        <v>1.3197234592904181</v>
      </c>
    </row>
    <row r="43" spans="1:8" x14ac:dyDescent="0.3">
      <c r="A43" s="39" t="e">
        <f>ROUND(#REF!/100,0)</f>
        <v>#REF!</v>
      </c>
      <c r="B43" s="49">
        <v>32</v>
      </c>
      <c r="C43" s="47">
        <v>54</v>
      </c>
      <c r="D43" s="58">
        <f t="shared" si="0"/>
        <v>74.329721535827744</v>
      </c>
      <c r="E43" s="48">
        <f t="shared" si="1"/>
        <v>-20.329721535827744</v>
      </c>
      <c r="F43" s="59">
        <f t="shared" si="2"/>
        <v>20.329721535827744</v>
      </c>
      <c r="G43" s="51">
        <f>AVERAGE($F$12:F43)</f>
        <v>18.74878454949263</v>
      </c>
      <c r="H43" s="62">
        <f>SUM($E$12:E43)/G43</f>
        <v>0.23181161648228543</v>
      </c>
    </row>
    <row r="44" spans="1:8" x14ac:dyDescent="0.3">
      <c r="A44" s="39" t="e">
        <f>ROUND(#REF!/100,0)</f>
        <v>#REF!</v>
      </c>
      <c r="B44" s="49">
        <v>33</v>
      </c>
      <c r="C44" s="47">
        <v>77</v>
      </c>
      <c r="D44" s="58">
        <f t="shared" si="0"/>
        <v>62.523904568212984</v>
      </c>
      <c r="E44" s="48">
        <f t="shared" si="1"/>
        <v>14.476095431787016</v>
      </c>
      <c r="F44" s="59">
        <f t="shared" si="2"/>
        <v>14.476095431787016</v>
      </c>
      <c r="G44" s="51">
        <f>AVERAGE($F$12:F44)</f>
        <v>18.619309121683369</v>
      </c>
      <c r="H44" s="62">
        <f>SUM($E$12:E44)/G44</f>
        <v>1.0109011758853748</v>
      </c>
    </row>
    <row r="45" spans="1:8" x14ac:dyDescent="0.3">
      <c r="A45" s="39" t="e">
        <f>ROUND(#REF!/100,0)</f>
        <v>#REF!</v>
      </c>
      <c r="B45" s="49">
        <v>34</v>
      </c>
      <c r="C45" s="47">
        <v>28</v>
      </c>
      <c r="D45" s="58">
        <f t="shared" ref="D45:D62" si="4">(1-$G$3)*D44+$G$3*C44</f>
        <v>70.930420750552969</v>
      </c>
      <c r="E45" s="48">
        <f t="shared" si="1"/>
        <v>-42.930420750552969</v>
      </c>
      <c r="F45" s="59">
        <f t="shared" si="2"/>
        <v>42.930420750552969</v>
      </c>
      <c r="G45" s="51">
        <f>AVERAGE($F$12:F45)</f>
        <v>19.33434181665012</v>
      </c>
      <c r="H45" s="62">
        <f>SUM($E$12:E45)/G45</f>
        <v>-1.2469076782592519</v>
      </c>
    </row>
    <row r="46" spans="1:8" x14ac:dyDescent="0.3">
      <c r="A46" s="39" t="e">
        <f>ROUND(#REF!/100,0)</f>
        <v>#REF!</v>
      </c>
      <c r="B46" s="49">
        <v>35</v>
      </c>
      <c r="C46" s="47">
        <v>46</v>
      </c>
      <c r="D46" s="58">
        <f t="shared" si="4"/>
        <v>45.9999912397248</v>
      </c>
      <c r="E46" s="48">
        <f t="shared" si="1"/>
        <v>8.7602752003590467E-6</v>
      </c>
      <c r="F46" s="59">
        <f t="shared" si="2"/>
        <v>8.7602752003590467E-6</v>
      </c>
      <c r="G46" s="51">
        <f>AVERAGE($F$12:F46)</f>
        <v>18.781932300753695</v>
      </c>
      <c r="H46" s="62">
        <f>SUM($E$12:E46)/G46</f>
        <v>-1.2835809499764483</v>
      </c>
    </row>
    <row r="47" spans="1:8" x14ac:dyDescent="0.3">
      <c r="A47" s="39" t="e">
        <f>ROUND(#REF!/100,0)</f>
        <v>#REF!</v>
      </c>
      <c r="B47" s="49">
        <v>36</v>
      </c>
      <c r="C47" s="47">
        <v>34</v>
      </c>
      <c r="D47" s="58">
        <f t="shared" si="4"/>
        <v>45.999996326966425</v>
      </c>
      <c r="E47" s="48">
        <f t="shared" si="1"/>
        <v>-11.999996326966425</v>
      </c>
      <c r="F47" s="59">
        <f t="shared" si="2"/>
        <v>11.999996326966425</v>
      </c>
      <c r="G47" s="51">
        <f>AVERAGE($F$12:F47)</f>
        <v>18.593545190370715</v>
      </c>
      <c r="H47" s="62">
        <f>SUM($E$12:E47)/G47</f>
        <v>-1.9419710691138656</v>
      </c>
    </row>
    <row r="48" spans="1:8" x14ac:dyDescent="0.3">
      <c r="A48" s="39" t="e">
        <f>ROUND(#REF!/100,0)</f>
        <v>#REF!</v>
      </c>
      <c r="B48" s="49">
        <v>37</v>
      </c>
      <c r="C48" s="47">
        <v>86</v>
      </c>
      <c r="D48" s="58">
        <f t="shared" si="4"/>
        <v>39.031393240173244</v>
      </c>
      <c r="E48" s="48">
        <f t="shared" si="1"/>
        <v>46.968606759826756</v>
      </c>
      <c r="F48" s="59">
        <f t="shared" si="2"/>
        <v>46.968606759826756</v>
      </c>
      <c r="G48" s="51">
        <f>AVERAGE($F$12:F48)</f>
        <v>19.360438746301963</v>
      </c>
      <c r="H48" s="62">
        <f>SUM($E$12:E48)/G48</f>
        <v>0.56096249006443732</v>
      </c>
    </row>
    <row r="49" spans="1:8" x14ac:dyDescent="0.3">
      <c r="A49" s="39" t="e">
        <f>ROUND(#REF!/100,0)</f>
        <v>#REF!</v>
      </c>
      <c r="B49" s="49">
        <v>38</v>
      </c>
      <c r="C49" s="47">
        <v>64</v>
      </c>
      <c r="D49" s="58">
        <f t="shared" si="4"/>
        <v>66.306866426225952</v>
      </c>
      <c r="E49" s="48">
        <f t="shared" si="1"/>
        <v>-2.3068664262259517</v>
      </c>
      <c r="F49" s="59">
        <f t="shared" si="2"/>
        <v>2.3068664262259517</v>
      </c>
      <c r="G49" s="51">
        <f>AVERAGE($F$12:F49)</f>
        <v>18.911660527352591</v>
      </c>
      <c r="H49" s="62">
        <f>SUM($E$12:E49)/G49</f>
        <v>0.45229309659340711</v>
      </c>
    </row>
    <row r="50" spans="1:8" x14ac:dyDescent="0.3">
      <c r="A50" s="39" t="e">
        <f>ROUND(#REF!/100,0)</f>
        <v>#REF!</v>
      </c>
      <c r="B50" s="49">
        <v>39</v>
      </c>
      <c r="C50" s="47">
        <v>69</v>
      </c>
      <c r="D50" s="58">
        <f t="shared" si="4"/>
        <v>64.967229641296896</v>
      </c>
      <c r="E50" s="48">
        <f t="shared" si="1"/>
        <v>4.0327703587031039</v>
      </c>
      <c r="F50" s="59">
        <f t="shared" si="2"/>
        <v>4.0327703587031039</v>
      </c>
      <c r="G50" s="51">
        <f>AVERAGE($F$12:F50)</f>
        <v>18.530150523028247</v>
      </c>
      <c r="H50" s="62">
        <f>SUM($E$12:E50)/G50</f>
        <v>0.67923807983648332</v>
      </c>
    </row>
    <row r="51" spans="1:8" x14ac:dyDescent="0.3">
      <c r="A51" s="39" t="e">
        <f>ROUND(#REF!/100,0)</f>
        <v>#REF!</v>
      </c>
      <c r="B51" s="49">
        <v>40</v>
      </c>
      <c r="C51" s="47">
        <v>33</v>
      </c>
      <c r="D51" s="58">
        <f t="shared" si="4"/>
        <v>67.309128355618483</v>
      </c>
      <c r="E51" s="48">
        <f t="shared" si="1"/>
        <v>-34.309128355618483</v>
      </c>
      <c r="F51" s="59">
        <f t="shared" si="2"/>
        <v>34.309128355618483</v>
      </c>
      <c r="G51" s="51">
        <f>AVERAGE($F$12:F51)</f>
        <v>18.924624968843002</v>
      </c>
      <c r="H51" s="62">
        <f>SUM($E$12:E51)/G51</f>
        <v>-1.1478560093549814</v>
      </c>
    </row>
    <row r="52" spans="1:8" x14ac:dyDescent="0.3">
      <c r="A52" s="39" t="e">
        <f>ROUND(#REF!/100,0)</f>
        <v>#REF!</v>
      </c>
      <c r="B52" s="49">
        <v>41</v>
      </c>
      <c r="C52" s="47">
        <v>41</v>
      </c>
      <c r="D52" s="58">
        <f t="shared" si="4"/>
        <v>47.385230776844224</v>
      </c>
      <c r="E52" s="48">
        <f t="shared" si="1"/>
        <v>-6.3852307768442245</v>
      </c>
      <c r="F52" s="59">
        <f t="shared" si="2"/>
        <v>6.3852307768442245</v>
      </c>
      <c r="G52" s="51">
        <f>AVERAGE($F$12:F52)</f>
        <v>18.618786086111324</v>
      </c>
      <c r="H52" s="62">
        <f>SUM($E$12:E52)/G52</f>
        <v>-1.509656705980801</v>
      </c>
    </row>
    <row r="53" spans="1:8" x14ac:dyDescent="0.3">
      <c r="A53" s="39" t="e">
        <f>ROUND(#REF!/100,0)</f>
        <v>#REF!</v>
      </c>
      <c r="B53" s="49">
        <v>42</v>
      </c>
      <c r="C53" s="47">
        <v>56</v>
      </c>
      <c r="D53" s="58">
        <f t="shared" si="4"/>
        <v>43.677218066756005</v>
      </c>
      <c r="E53" s="48">
        <f t="shared" si="1"/>
        <v>12.322781933243995</v>
      </c>
      <c r="F53" s="59">
        <f t="shared" si="2"/>
        <v>12.322781933243995</v>
      </c>
      <c r="G53" s="51">
        <f>AVERAGE($F$12:F53)</f>
        <v>18.468881225328769</v>
      </c>
      <c r="H53" s="62">
        <f>SUM($E$12:E53)/G53</f>
        <v>-0.85469136686134073</v>
      </c>
    </row>
    <row r="54" spans="1:8" ht="15.75" customHeight="1" x14ac:dyDescent="0.3">
      <c r="A54" s="39" t="e">
        <f>ROUND(#REF!/100,0)</f>
        <v>#REF!</v>
      </c>
      <c r="B54" s="49">
        <v>43</v>
      </c>
      <c r="C54" s="47">
        <v>28</v>
      </c>
      <c r="D54" s="58">
        <f t="shared" si="4"/>
        <v>50.833268275280673</v>
      </c>
      <c r="E54" s="48">
        <f t="shared" si="1"/>
        <v>-22.833268275280673</v>
      </c>
      <c r="F54" s="59">
        <f t="shared" si="2"/>
        <v>22.833268275280673</v>
      </c>
      <c r="G54" s="51">
        <f>AVERAGE($F$12:F54)</f>
        <v>18.570378598583464</v>
      </c>
      <c r="H54" s="62">
        <f>SUM($E$12:E54)/G54</f>
        <v>-2.0795731982062264</v>
      </c>
    </row>
    <row r="55" spans="1:8" x14ac:dyDescent="0.3">
      <c r="A55" s="39" t="e">
        <f>ROUND(#REF!/100,0)</f>
        <v>#REF!</v>
      </c>
      <c r="B55" s="49">
        <v>44</v>
      </c>
      <c r="C55" s="47">
        <v>19</v>
      </c>
      <c r="D55" s="58">
        <f t="shared" si="4"/>
        <v>37.5735989012883</v>
      </c>
      <c r="E55" s="48">
        <f t="shared" si="1"/>
        <v>-18.5735989012883</v>
      </c>
      <c r="F55" s="59">
        <f t="shared" si="2"/>
        <v>18.5735989012883</v>
      </c>
      <c r="G55" s="51">
        <f>AVERAGE($F$12:F55)</f>
        <v>18.5704517872813</v>
      </c>
      <c r="H55" s="62">
        <f>SUM($E$12:E55)/G55</f>
        <v>-3.0797344712213834</v>
      </c>
    </row>
    <row r="56" spans="1:8" x14ac:dyDescent="0.3">
      <c r="A56" s="39" t="e">
        <f>ROUND(#REF!/100,0)</f>
        <v>#REF!</v>
      </c>
      <c r="B56" s="49">
        <v>45</v>
      </c>
      <c r="C56" s="47">
        <v>16</v>
      </c>
      <c r="D56" s="58">
        <f t="shared" si="4"/>
        <v>26.787592380143288</v>
      </c>
      <c r="E56" s="48">
        <f t="shared" si="1"/>
        <v>-10.787592380143288</v>
      </c>
      <c r="F56" s="59">
        <f t="shared" si="2"/>
        <v>10.787592380143288</v>
      </c>
      <c r="G56" s="51">
        <f>AVERAGE($F$12:F56)</f>
        <v>18.397499356011568</v>
      </c>
      <c r="H56" s="62">
        <f>SUM($E$12:E56)/G56</f>
        <v>-3.6950485269822946</v>
      </c>
    </row>
    <row r="57" spans="1:8" x14ac:dyDescent="0.3">
      <c r="A57" s="39" t="e">
        <f>ROUND(#REF!/100,0)</f>
        <v>#REF!</v>
      </c>
      <c r="B57" s="49">
        <v>46</v>
      </c>
      <c r="C57" s="47">
        <v>53</v>
      </c>
      <c r="D57" s="58">
        <f t="shared" si="4"/>
        <v>20.523052999376908</v>
      </c>
      <c r="E57" s="48">
        <f t="shared" si="1"/>
        <v>32.476947000623092</v>
      </c>
      <c r="F57" s="59">
        <f t="shared" si="2"/>
        <v>32.476947000623092</v>
      </c>
      <c r="G57" s="51">
        <f>AVERAGE($F$12:F57)</f>
        <v>18.703574304807471</v>
      </c>
      <c r="H57" s="62">
        <f>SUM($E$12:E57)/G57</f>
        <v>-1.8981776058621977</v>
      </c>
    </row>
    <row r="58" spans="1:8" x14ac:dyDescent="0.3">
      <c r="A58" s="39" t="e">
        <f>ROUND(#REF!/100,0)</f>
        <v>#REF!</v>
      </c>
      <c r="B58" s="49">
        <v>47</v>
      </c>
      <c r="C58" s="47">
        <v>63</v>
      </c>
      <c r="D58" s="58">
        <f t="shared" si="4"/>
        <v>39.382971531983117</v>
      </c>
      <c r="E58" s="48">
        <f t="shared" si="1"/>
        <v>23.617028468016883</v>
      </c>
      <c r="F58" s="59">
        <f t="shared" si="2"/>
        <v>23.617028468016883</v>
      </c>
      <c r="G58" s="51">
        <f>AVERAGE($F$12:F58)</f>
        <v>18.808115882748098</v>
      </c>
      <c r="H58" s="62">
        <f>SUM($E$12:E58)/G58</f>
        <v>-0.63194407675095843</v>
      </c>
    </row>
    <row r="59" spans="1:8" x14ac:dyDescent="0.3">
      <c r="A59" s="39" t="e">
        <f>ROUND(#REF!/100,0)</f>
        <v>#REF!</v>
      </c>
      <c r="B59" s="49">
        <v>48</v>
      </c>
      <c r="C59" s="47">
        <v>84</v>
      </c>
      <c r="D59" s="58">
        <f t="shared" si="4"/>
        <v>53.097783853489034</v>
      </c>
      <c r="E59" s="48">
        <f t="shared" si="1"/>
        <v>30.902216146510966</v>
      </c>
      <c r="F59" s="59">
        <f t="shared" si="2"/>
        <v>30.902216146510966</v>
      </c>
      <c r="G59" s="51">
        <f>AVERAGE($F$12:F59)</f>
        <v>19.060076304909824</v>
      </c>
      <c r="H59" s="62">
        <f>SUM($E$12:E59)/G59</f>
        <v>0.99771577066898065</v>
      </c>
    </row>
    <row r="60" spans="1:8" x14ac:dyDescent="0.3">
      <c r="A60" s="39" t="e">
        <f>ROUND(#REF!/100,0)</f>
        <v>#REF!</v>
      </c>
      <c r="B60" s="49">
        <v>49</v>
      </c>
      <c r="C60" s="47">
        <v>83</v>
      </c>
      <c r="D60" s="58">
        <f t="shared" si="4"/>
        <v>71.043229248618189</v>
      </c>
      <c r="E60" s="48">
        <f t="shared" si="1"/>
        <v>11.956770751381811</v>
      </c>
      <c r="F60" s="59">
        <f t="shared" si="2"/>
        <v>11.956770751381811</v>
      </c>
      <c r="G60" s="51">
        <f>AVERAGE($F$12:F60)</f>
        <v>18.915110885450066</v>
      </c>
      <c r="H60" s="62">
        <f>SUM($E$12:E60)/G60</f>
        <v>1.6374902403966274</v>
      </c>
    </row>
    <row r="61" spans="1:8" x14ac:dyDescent="0.3">
      <c r="A61" s="39" t="e">
        <f>ROUND(#REF!/100,0)</f>
        <v>#REF!</v>
      </c>
      <c r="B61" s="49">
        <v>50</v>
      </c>
      <c r="C61" s="47">
        <v>78</v>
      </c>
      <c r="D61" s="58">
        <f t="shared" si="4"/>
        <v>77.986730504440771</v>
      </c>
      <c r="E61" s="48">
        <f t="shared" si="1"/>
        <v>1.3269495559228517E-2</v>
      </c>
      <c r="F61" s="59">
        <f t="shared" si="2"/>
        <v>1.3269495559228517E-2</v>
      </c>
      <c r="G61" s="55">
        <f>AVERAGE($F$12:F61)</f>
        <v>18.537074057652251</v>
      </c>
      <c r="H61" s="62">
        <f>SUM($E$12:E61)/G61</f>
        <v>1.6716003221507449</v>
      </c>
    </row>
    <row r="62" spans="1:8" x14ac:dyDescent="0.3">
      <c r="B62" s="49"/>
      <c r="C62" s="39" t="s">
        <v>53</v>
      </c>
      <c r="D62" s="58">
        <f t="shared" si="4"/>
        <v>77.994436327442259</v>
      </c>
    </row>
    <row r="63" spans="1:8" x14ac:dyDescent="0.3">
      <c r="C63" s="39" t="s">
        <v>18</v>
      </c>
      <c r="D63" s="50">
        <f>1.25*G61</f>
        <v>23.171342572065313</v>
      </c>
    </row>
  </sheetData>
  <conditionalFormatting sqref="J17:K26">
    <cfRule type="expression" dxfId="1" priority="3">
      <formula>$K17=$L$27</formula>
    </cfRule>
  </conditionalFormatting>
  <conditionalFormatting sqref="J17:K26">
    <cfRule type="expression" dxfId="0" priority="1">
      <formula>$K17=$L$27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workbookViewId="0">
      <selection activeCell="T9" sqref="T9"/>
    </sheetView>
  </sheetViews>
  <sheetFormatPr defaultColWidth="9.140625" defaultRowHeight="12.75" x14ac:dyDescent="0.2"/>
  <cols>
    <col min="1" max="1" width="4.42578125" style="2" bestFit="1" customWidth="1"/>
    <col min="2" max="5" width="9.140625" style="2"/>
    <col min="6" max="6" width="10.7109375" style="2" bestFit="1" customWidth="1"/>
    <col min="7" max="8" width="5" style="2" bestFit="1" customWidth="1"/>
    <col min="9" max="9" width="9.7109375" style="2" bestFit="1" customWidth="1"/>
    <col min="10" max="10" width="5.85546875" style="2" bestFit="1" customWidth="1"/>
    <col min="11" max="11" width="4.7109375" style="2" bestFit="1" customWidth="1"/>
    <col min="12" max="12" width="8.5703125" style="2" bestFit="1" customWidth="1"/>
    <col min="13" max="16384" width="9.140625" style="2"/>
  </cols>
  <sheetData>
    <row r="1" spans="1:17" ht="13.5" thickBot="1" x14ac:dyDescent="0.25">
      <c r="A1" s="1" t="s">
        <v>4</v>
      </c>
      <c r="B1" s="2" t="s">
        <v>5</v>
      </c>
      <c r="C1" s="2" t="s">
        <v>6</v>
      </c>
      <c r="D1" s="2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</row>
    <row r="2" spans="1:17" ht="13.5" thickBot="1" x14ac:dyDescent="0.25">
      <c r="F2" s="4" t="str">
        <f>G2&amp;" - "&amp;H2</f>
        <v>100 - 200</v>
      </c>
      <c r="G2" s="5">
        <v>100</v>
      </c>
      <c r="H2" s="6">
        <f>G2+100</f>
        <v>200</v>
      </c>
      <c r="I2" s="7">
        <f t="shared" ref="I2:I14" si="0">COUNTIF($C$3:$C$77, "&lt;"&amp;H2)</f>
        <v>1</v>
      </c>
      <c r="J2" s="6">
        <f>I2</f>
        <v>1</v>
      </c>
      <c r="K2" s="8">
        <f>J2/$J$15</f>
        <v>1.3333333333333334E-2</v>
      </c>
      <c r="L2" s="9">
        <f>I2/$J$15</f>
        <v>1.3333333333333334E-2</v>
      </c>
      <c r="N2" s="10" t="s">
        <v>15</v>
      </c>
      <c r="O2" s="11">
        <f>AVERAGE(B$3:B$77)</f>
        <v>549.66666666666663</v>
      </c>
      <c r="P2" s="11">
        <f>AVERAGE(C$3:C$77)</f>
        <v>549.66666666666663</v>
      </c>
      <c r="Q2" s="12">
        <f>AVERAGE(D$3:D$77)</f>
        <v>549.66666666666663</v>
      </c>
    </row>
    <row r="3" spans="1:17" ht="13.5" thickBot="1" x14ac:dyDescent="0.25">
      <c r="A3" s="13">
        <v>1</v>
      </c>
      <c r="B3" s="14">
        <v>495</v>
      </c>
      <c r="C3" s="15">
        <v>176</v>
      </c>
      <c r="D3" s="16">
        <v>346</v>
      </c>
      <c r="F3" s="17" t="str">
        <f t="shared" ref="F3:F14" si="1">G3&amp;" - "&amp;H3</f>
        <v>200 - 300</v>
      </c>
      <c r="G3" s="18">
        <f>H2</f>
        <v>200</v>
      </c>
      <c r="H3" s="18">
        <f t="shared" ref="H3:H14" si="2">G3+100</f>
        <v>300</v>
      </c>
      <c r="I3" s="7">
        <f t="shared" si="0"/>
        <v>11</v>
      </c>
      <c r="J3" s="18">
        <f>I3-I2</f>
        <v>10</v>
      </c>
      <c r="K3" s="19">
        <f t="shared" ref="K3:K14" si="3">J3/$J$15</f>
        <v>0.13333333333333333</v>
      </c>
      <c r="L3" s="20">
        <f t="shared" ref="L3:L14" si="4">I3/$J$15</f>
        <v>0.14666666666666667</v>
      </c>
      <c r="N3" s="21" t="s">
        <v>16</v>
      </c>
      <c r="O3" s="22">
        <f>MAX(B$3:B$77)</f>
        <v>1330</v>
      </c>
      <c r="P3" s="22">
        <f>MAX(C$3:C$77)</f>
        <v>1330</v>
      </c>
      <c r="Q3" s="23">
        <f>MAX(D$3:D$77)</f>
        <v>1330</v>
      </c>
    </row>
    <row r="4" spans="1:17" ht="13.5" thickBot="1" x14ac:dyDescent="0.25">
      <c r="A4" s="13">
        <v>2</v>
      </c>
      <c r="B4" s="24">
        <v>204</v>
      </c>
      <c r="C4" s="25">
        <v>204</v>
      </c>
      <c r="D4" s="26">
        <v>775</v>
      </c>
      <c r="F4" s="17" t="str">
        <f t="shared" si="1"/>
        <v>300 - 400</v>
      </c>
      <c r="G4" s="18">
        <f t="shared" ref="G4:G13" si="5">H3</f>
        <v>300</v>
      </c>
      <c r="H4" s="18">
        <f t="shared" si="2"/>
        <v>400</v>
      </c>
      <c r="I4" s="7">
        <f t="shared" si="0"/>
        <v>24</v>
      </c>
      <c r="J4" s="18">
        <f t="shared" ref="J4:J14" si="6">I4-I3</f>
        <v>13</v>
      </c>
      <c r="K4" s="19">
        <f t="shared" si="3"/>
        <v>0.17333333333333334</v>
      </c>
      <c r="L4" s="20">
        <f t="shared" si="4"/>
        <v>0.32</v>
      </c>
      <c r="N4" s="21" t="s">
        <v>17</v>
      </c>
      <c r="O4" s="22">
        <f>MIN(B$3:B$77)</f>
        <v>176</v>
      </c>
      <c r="P4" s="22">
        <f>MIN(C$3:C$77)</f>
        <v>176</v>
      </c>
      <c r="Q4" s="23">
        <f>MIN(D$3:D$77)</f>
        <v>176</v>
      </c>
    </row>
    <row r="5" spans="1:17" ht="13.5" thickBot="1" x14ac:dyDescent="0.25">
      <c r="A5" s="13">
        <v>3</v>
      </c>
      <c r="B5" s="24">
        <v>318</v>
      </c>
      <c r="C5" s="25">
        <v>218</v>
      </c>
      <c r="D5" s="26">
        <v>572</v>
      </c>
      <c r="F5" s="17" t="str">
        <f t="shared" si="1"/>
        <v>400 - 500</v>
      </c>
      <c r="G5" s="18">
        <f t="shared" si="5"/>
        <v>400</v>
      </c>
      <c r="H5" s="18">
        <f t="shared" si="2"/>
        <v>500</v>
      </c>
      <c r="I5" s="7">
        <f t="shared" si="0"/>
        <v>33</v>
      </c>
      <c r="J5" s="18">
        <f t="shared" si="6"/>
        <v>9</v>
      </c>
      <c r="K5" s="19">
        <f t="shared" si="3"/>
        <v>0.12</v>
      </c>
      <c r="L5" s="20">
        <f t="shared" si="4"/>
        <v>0.44</v>
      </c>
      <c r="N5" s="21" t="s">
        <v>8</v>
      </c>
      <c r="O5" s="22">
        <f>O3-O4</f>
        <v>1154</v>
      </c>
      <c r="P5" s="22">
        <f>P3-P4</f>
        <v>1154</v>
      </c>
      <c r="Q5" s="23">
        <f>Q3-Q4</f>
        <v>1154</v>
      </c>
    </row>
    <row r="6" spans="1:17" ht="13.5" thickBot="1" x14ac:dyDescent="0.25">
      <c r="A6" s="13">
        <v>4</v>
      </c>
      <c r="B6" s="24">
        <v>802</v>
      </c>
      <c r="C6" s="25">
        <v>439</v>
      </c>
      <c r="D6" s="26">
        <v>455</v>
      </c>
      <c r="F6" s="17" t="str">
        <f t="shared" si="1"/>
        <v>500 - 600</v>
      </c>
      <c r="G6" s="18">
        <f t="shared" si="5"/>
        <v>500</v>
      </c>
      <c r="H6" s="18">
        <f t="shared" si="2"/>
        <v>600</v>
      </c>
      <c r="I6" s="7">
        <f t="shared" si="0"/>
        <v>49</v>
      </c>
      <c r="J6" s="18">
        <f t="shared" si="6"/>
        <v>16</v>
      </c>
      <c r="K6" s="19">
        <f t="shared" si="3"/>
        <v>0.21333333333333335</v>
      </c>
      <c r="L6" s="20">
        <f t="shared" si="4"/>
        <v>0.65333333333333332</v>
      </c>
      <c r="N6" s="21" t="s">
        <v>18</v>
      </c>
      <c r="O6" s="22">
        <f>_xlfn.STDEV.S(B$3:B$77)</f>
        <v>244.87626954727034</v>
      </c>
      <c r="P6" s="22">
        <f>_xlfn.STDEV.S(C$3:C$77)</f>
        <v>244.87626954727034</v>
      </c>
      <c r="Q6" s="23">
        <f>_xlfn.STDEV.S(D$3:D$77)</f>
        <v>244.87626954727034</v>
      </c>
    </row>
    <row r="7" spans="1:17" ht="13.5" thickBot="1" x14ac:dyDescent="0.25">
      <c r="A7" s="13">
        <v>5</v>
      </c>
      <c r="B7" s="24">
        <v>446</v>
      </c>
      <c r="C7" s="25">
        <v>229</v>
      </c>
      <c r="D7" s="26">
        <v>176</v>
      </c>
      <c r="F7" s="17" t="str">
        <f t="shared" si="1"/>
        <v>600 - 700</v>
      </c>
      <c r="G7" s="18">
        <f t="shared" si="5"/>
        <v>600</v>
      </c>
      <c r="H7" s="18">
        <f t="shared" si="2"/>
        <v>700</v>
      </c>
      <c r="I7" s="7">
        <f t="shared" si="0"/>
        <v>54</v>
      </c>
      <c r="J7" s="18">
        <f t="shared" si="6"/>
        <v>5</v>
      </c>
      <c r="K7" s="19">
        <f t="shared" si="3"/>
        <v>6.6666666666666666E-2</v>
      </c>
      <c r="L7" s="20">
        <f t="shared" si="4"/>
        <v>0.72</v>
      </c>
      <c r="N7" s="21" t="s">
        <v>19</v>
      </c>
      <c r="O7" s="22">
        <f>O6/O2</f>
        <v>0.44549958074094059</v>
      </c>
      <c r="P7" s="22">
        <f>P6/P2</f>
        <v>0.44549958074094059</v>
      </c>
      <c r="Q7" s="23">
        <f>Q6/Q2</f>
        <v>0.44549958074094059</v>
      </c>
    </row>
    <row r="8" spans="1:17" ht="13.5" thickBot="1" x14ac:dyDescent="0.25">
      <c r="A8" s="13">
        <v>6</v>
      </c>
      <c r="B8" s="24">
        <v>568</v>
      </c>
      <c r="C8" s="25">
        <v>249</v>
      </c>
      <c r="D8" s="26">
        <v>412</v>
      </c>
      <c r="F8" s="17" t="str">
        <f t="shared" si="1"/>
        <v>700 - 800</v>
      </c>
      <c r="G8" s="18">
        <f t="shared" si="5"/>
        <v>700</v>
      </c>
      <c r="H8" s="18">
        <f t="shared" si="2"/>
        <v>800</v>
      </c>
      <c r="I8" s="7">
        <f t="shared" si="0"/>
        <v>61</v>
      </c>
      <c r="J8" s="18">
        <f t="shared" si="6"/>
        <v>7</v>
      </c>
      <c r="K8" s="19">
        <f t="shared" si="3"/>
        <v>9.3333333333333338E-2</v>
      </c>
      <c r="L8" s="20">
        <f t="shared" si="4"/>
        <v>0.81333333333333335</v>
      </c>
      <c r="N8" s="21" t="s">
        <v>20</v>
      </c>
      <c r="O8" s="22">
        <f>O5/O2</f>
        <v>2.099454214675561</v>
      </c>
      <c r="P8" s="22">
        <f>P5/P2</f>
        <v>2.099454214675561</v>
      </c>
      <c r="Q8" s="23">
        <f>Q5/Q2</f>
        <v>2.099454214675561</v>
      </c>
    </row>
    <row r="9" spans="1:17" ht="13.5" thickBot="1" x14ac:dyDescent="0.25">
      <c r="A9" s="13">
        <v>7</v>
      </c>
      <c r="B9" s="24">
        <v>372</v>
      </c>
      <c r="C9" s="25">
        <v>227</v>
      </c>
      <c r="D9" s="26">
        <v>926</v>
      </c>
      <c r="F9" s="17" t="str">
        <f t="shared" si="1"/>
        <v>800 - 900</v>
      </c>
      <c r="G9" s="18">
        <f t="shared" si="5"/>
        <v>800</v>
      </c>
      <c r="H9" s="18">
        <f t="shared" si="2"/>
        <v>900</v>
      </c>
      <c r="I9" s="7">
        <f t="shared" si="0"/>
        <v>69</v>
      </c>
      <c r="J9" s="18">
        <f t="shared" si="6"/>
        <v>8</v>
      </c>
      <c r="K9" s="19">
        <f t="shared" si="3"/>
        <v>0.10666666666666667</v>
      </c>
      <c r="L9" s="20">
        <f t="shared" si="4"/>
        <v>0.92</v>
      </c>
      <c r="N9" s="27" t="s">
        <v>21</v>
      </c>
      <c r="O9" s="28">
        <f>SKEW(B$3:B$77)</f>
        <v>0.77576152004140142</v>
      </c>
      <c r="P9" s="28">
        <f>SKEW(C$3:C$77)</f>
        <v>0.77576152004140153</v>
      </c>
      <c r="Q9" s="29">
        <f>SKEW(D$3:D$77)</f>
        <v>0.77576152004140153</v>
      </c>
    </row>
    <row r="10" spans="1:17" ht="13.5" thickBot="1" x14ac:dyDescent="0.25">
      <c r="A10" s="13">
        <v>8</v>
      </c>
      <c r="B10" s="24">
        <v>281</v>
      </c>
      <c r="C10" s="25">
        <v>256</v>
      </c>
      <c r="D10" s="26">
        <v>710</v>
      </c>
      <c r="F10" s="17" t="str">
        <f t="shared" si="1"/>
        <v>900 - 1000</v>
      </c>
      <c r="G10" s="18">
        <f t="shared" si="5"/>
        <v>900</v>
      </c>
      <c r="H10" s="18">
        <f t="shared" si="2"/>
        <v>1000</v>
      </c>
      <c r="I10" s="7">
        <f t="shared" si="0"/>
        <v>71</v>
      </c>
      <c r="J10" s="18">
        <f t="shared" si="6"/>
        <v>2</v>
      </c>
      <c r="K10" s="19">
        <f t="shared" si="3"/>
        <v>2.6666666666666668E-2</v>
      </c>
      <c r="L10" s="20">
        <f t="shared" si="4"/>
        <v>0.94666666666666666</v>
      </c>
    </row>
    <row r="11" spans="1:17" ht="13.5" thickBot="1" x14ac:dyDescent="0.25">
      <c r="A11" s="13">
        <v>9</v>
      </c>
      <c r="B11" s="24">
        <v>676</v>
      </c>
      <c r="C11" s="25">
        <v>304</v>
      </c>
      <c r="D11" s="26">
        <v>514</v>
      </c>
      <c r="F11" s="17" t="str">
        <f t="shared" si="1"/>
        <v>1000 - 1100</v>
      </c>
      <c r="G11" s="18">
        <f t="shared" si="5"/>
        <v>1000</v>
      </c>
      <c r="H11" s="18">
        <f t="shared" si="2"/>
        <v>1100</v>
      </c>
      <c r="I11" s="7">
        <f t="shared" si="0"/>
        <v>73</v>
      </c>
      <c r="J11" s="18">
        <f t="shared" si="6"/>
        <v>2</v>
      </c>
      <c r="K11" s="19">
        <f t="shared" si="3"/>
        <v>2.6666666666666668E-2</v>
      </c>
      <c r="L11" s="20">
        <f t="shared" si="4"/>
        <v>0.97333333333333338</v>
      </c>
    </row>
    <row r="12" spans="1:17" ht="13.5" thickBot="1" x14ac:dyDescent="0.25">
      <c r="A12" s="13">
        <v>10</v>
      </c>
      <c r="B12" s="24">
        <v>755</v>
      </c>
      <c r="C12" s="25">
        <v>354</v>
      </c>
      <c r="D12" s="26">
        <v>281</v>
      </c>
      <c r="F12" s="17" t="str">
        <f t="shared" si="1"/>
        <v>1100 - 1200</v>
      </c>
      <c r="G12" s="18">
        <f t="shared" si="5"/>
        <v>1100</v>
      </c>
      <c r="H12" s="18">
        <f t="shared" si="2"/>
        <v>1200</v>
      </c>
      <c r="I12" s="7">
        <f t="shared" si="0"/>
        <v>74</v>
      </c>
      <c r="J12" s="18">
        <f t="shared" si="6"/>
        <v>1</v>
      </c>
      <c r="K12" s="19">
        <f t="shared" si="3"/>
        <v>1.3333333333333334E-2</v>
      </c>
      <c r="L12" s="20">
        <f t="shared" si="4"/>
        <v>0.98666666666666669</v>
      </c>
    </row>
    <row r="13" spans="1:17" ht="13.5" thickBot="1" x14ac:dyDescent="0.25">
      <c r="A13" s="13">
        <v>11</v>
      </c>
      <c r="B13" s="24">
        <v>503</v>
      </c>
      <c r="C13" s="25">
        <v>289</v>
      </c>
      <c r="D13" s="26">
        <v>412</v>
      </c>
      <c r="F13" s="17" t="str">
        <f t="shared" si="1"/>
        <v>1200 - 1300</v>
      </c>
      <c r="G13" s="18">
        <f t="shared" si="5"/>
        <v>1200</v>
      </c>
      <c r="H13" s="18">
        <f t="shared" si="2"/>
        <v>1300</v>
      </c>
      <c r="I13" s="7">
        <f t="shared" si="0"/>
        <v>74</v>
      </c>
      <c r="J13" s="18">
        <f t="shared" si="6"/>
        <v>0</v>
      </c>
      <c r="K13" s="19">
        <f t="shared" si="3"/>
        <v>0</v>
      </c>
      <c r="L13" s="20">
        <f t="shared" si="4"/>
        <v>0.98666666666666669</v>
      </c>
    </row>
    <row r="14" spans="1:17" ht="13.5" thickBot="1" x14ac:dyDescent="0.25">
      <c r="A14" s="13">
        <v>12</v>
      </c>
      <c r="B14" s="24">
        <v>511</v>
      </c>
      <c r="C14" s="25">
        <v>273</v>
      </c>
      <c r="D14" s="26">
        <v>939</v>
      </c>
      <c r="F14" s="30" t="str">
        <f t="shared" si="1"/>
        <v>1300 - 1400</v>
      </c>
      <c r="G14" s="31">
        <f>H13</f>
        <v>1300</v>
      </c>
      <c r="H14" s="31">
        <f t="shared" si="2"/>
        <v>1400</v>
      </c>
      <c r="I14" s="32">
        <f t="shared" si="0"/>
        <v>75</v>
      </c>
      <c r="J14" s="31">
        <f t="shared" si="6"/>
        <v>1</v>
      </c>
      <c r="K14" s="33">
        <f t="shared" si="3"/>
        <v>1.3333333333333334E-2</v>
      </c>
      <c r="L14" s="34">
        <f t="shared" si="4"/>
        <v>1</v>
      </c>
    </row>
    <row r="15" spans="1:17" x14ac:dyDescent="0.2">
      <c r="A15" s="13">
        <v>13</v>
      </c>
      <c r="B15" s="24">
        <v>229</v>
      </c>
      <c r="C15" s="25">
        <v>315</v>
      </c>
      <c r="D15" s="26">
        <v>718</v>
      </c>
      <c r="J15" s="35">
        <f>SUM(J2:J14)</f>
        <v>75</v>
      </c>
      <c r="K15" s="35">
        <f>SUM(K2:K14)</f>
        <v>0.99999999999999989</v>
      </c>
      <c r="L15" s="35"/>
    </row>
    <row r="16" spans="1:17" x14ac:dyDescent="0.2">
      <c r="A16" s="13">
        <v>14</v>
      </c>
      <c r="B16" s="24">
        <v>439</v>
      </c>
      <c r="C16" s="25">
        <v>346</v>
      </c>
      <c r="D16" s="26">
        <v>520</v>
      </c>
    </row>
    <row r="17" spans="1:4" x14ac:dyDescent="0.2">
      <c r="A17" s="13">
        <v>15</v>
      </c>
      <c r="B17" s="24">
        <v>412</v>
      </c>
      <c r="C17" s="25">
        <v>318</v>
      </c>
      <c r="D17" s="26">
        <v>289</v>
      </c>
    </row>
    <row r="18" spans="1:4" x14ac:dyDescent="0.2">
      <c r="A18" s="13">
        <v>16</v>
      </c>
      <c r="B18" s="24">
        <v>775</v>
      </c>
      <c r="C18" s="25">
        <v>330</v>
      </c>
      <c r="D18" s="26">
        <v>434</v>
      </c>
    </row>
    <row r="19" spans="1:4" x14ac:dyDescent="0.2">
      <c r="A19" s="13">
        <v>17</v>
      </c>
      <c r="B19" s="24">
        <v>330</v>
      </c>
      <c r="C19" s="25">
        <v>359</v>
      </c>
      <c r="D19" s="26">
        <v>1045</v>
      </c>
    </row>
    <row r="20" spans="1:4" x14ac:dyDescent="0.2">
      <c r="A20" s="13">
        <v>18</v>
      </c>
      <c r="B20" s="24">
        <v>289</v>
      </c>
      <c r="C20" s="25">
        <v>370</v>
      </c>
      <c r="D20" s="26">
        <v>719</v>
      </c>
    </row>
    <row r="21" spans="1:4" x14ac:dyDescent="0.2">
      <c r="A21" s="13">
        <v>19</v>
      </c>
      <c r="B21" s="24">
        <v>1045</v>
      </c>
      <c r="C21" s="25">
        <v>348</v>
      </c>
      <c r="D21" s="26">
        <v>529</v>
      </c>
    </row>
    <row r="22" spans="1:4" x14ac:dyDescent="0.2">
      <c r="A22" s="13">
        <v>20</v>
      </c>
      <c r="B22" s="24">
        <v>348</v>
      </c>
      <c r="C22" s="25">
        <v>281</v>
      </c>
      <c r="D22" s="26">
        <v>304</v>
      </c>
    </row>
    <row r="23" spans="1:4" x14ac:dyDescent="0.2">
      <c r="A23" s="13">
        <v>21</v>
      </c>
      <c r="B23" s="24">
        <v>249</v>
      </c>
      <c r="C23" s="25">
        <v>356</v>
      </c>
      <c r="D23" s="26">
        <v>439</v>
      </c>
    </row>
    <row r="24" spans="1:4" x14ac:dyDescent="0.2">
      <c r="A24" s="13">
        <v>22</v>
      </c>
      <c r="B24" s="24">
        <v>218</v>
      </c>
      <c r="C24" s="25">
        <v>372</v>
      </c>
      <c r="D24" s="26">
        <v>1045</v>
      </c>
    </row>
    <row r="25" spans="1:4" x14ac:dyDescent="0.2">
      <c r="A25" s="13">
        <v>23</v>
      </c>
      <c r="B25" s="24">
        <v>603</v>
      </c>
      <c r="C25" s="25">
        <v>377</v>
      </c>
      <c r="D25" s="26">
        <v>730</v>
      </c>
    </row>
    <row r="26" spans="1:4" x14ac:dyDescent="0.2">
      <c r="A26" s="13">
        <v>24</v>
      </c>
      <c r="B26" s="24">
        <v>412</v>
      </c>
      <c r="C26" s="25">
        <v>412</v>
      </c>
      <c r="D26" s="26">
        <v>532</v>
      </c>
    </row>
    <row r="27" spans="1:4" x14ac:dyDescent="0.2">
      <c r="A27" s="13">
        <v>25</v>
      </c>
      <c r="B27" s="24">
        <v>608</v>
      </c>
      <c r="C27" s="25">
        <v>503</v>
      </c>
      <c r="D27" s="26">
        <v>315</v>
      </c>
    </row>
    <row r="28" spans="1:4" x14ac:dyDescent="0.2">
      <c r="A28" s="13">
        <v>26</v>
      </c>
      <c r="B28" s="24">
        <v>540</v>
      </c>
      <c r="C28" s="25">
        <v>381</v>
      </c>
      <c r="D28" s="26">
        <v>446</v>
      </c>
    </row>
    <row r="29" spans="1:4" x14ac:dyDescent="0.2">
      <c r="A29" s="13">
        <v>27</v>
      </c>
      <c r="B29" s="24">
        <v>744</v>
      </c>
      <c r="C29" s="25">
        <v>434</v>
      </c>
      <c r="D29" s="26">
        <v>1133</v>
      </c>
    </row>
    <row r="30" spans="1:4" x14ac:dyDescent="0.2">
      <c r="A30" s="13">
        <v>28</v>
      </c>
      <c r="B30" s="24">
        <v>465</v>
      </c>
      <c r="C30" s="25">
        <v>229</v>
      </c>
      <c r="D30" s="26">
        <v>744</v>
      </c>
    </row>
    <row r="31" spans="1:4" x14ac:dyDescent="0.2">
      <c r="A31" s="13">
        <v>29</v>
      </c>
      <c r="B31" s="24">
        <v>577</v>
      </c>
      <c r="C31" s="25">
        <v>446</v>
      </c>
      <c r="D31" s="26">
        <v>540</v>
      </c>
    </row>
    <row r="32" spans="1:4" x14ac:dyDescent="0.2">
      <c r="A32" s="13">
        <v>30</v>
      </c>
      <c r="B32" s="24">
        <v>576</v>
      </c>
      <c r="C32" s="25">
        <v>450</v>
      </c>
      <c r="D32" s="26">
        <v>318</v>
      </c>
    </row>
    <row r="33" spans="1:4" x14ac:dyDescent="0.2">
      <c r="A33" s="13">
        <v>31</v>
      </c>
      <c r="B33" s="24">
        <v>681</v>
      </c>
      <c r="C33" s="25">
        <v>455</v>
      </c>
      <c r="D33" s="26">
        <v>450</v>
      </c>
    </row>
    <row r="34" spans="1:4" x14ac:dyDescent="0.2">
      <c r="A34" s="13">
        <v>32</v>
      </c>
      <c r="B34" s="24">
        <v>842</v>
      </c>
      <c r="C34" s="25">
        <v>465</v>
      </c>
      <c r="D34" s="26">
        <v>1330</v>
      </c>
    </row>
    <row r="35" spans="1:4" x14ac:dyDescent="0.2">
      <c r="A35" s="13">
        <v>33</v>
      </c>
      <c r="B35" s="24">
        <v>256</v>
      </c>
      <c r="C35" s="25">
        <v>495</v>
      </c>
      <c r="D35" s="26">
        <v>755</v>
      </c>
    </row>
    <row r="36" spans="1:4" x14ac:dyDescent="0.2">
      <c r="A36" s="13">
        <v>34</v>
      </c>
      <c r="B36" s="24">
        <v>851</v>
      </c>
      <c r="C36" s="25">
        <v>500</v>
      </c>
      <c r="D36" s="26">
        <v>568</v>
      </c>
    </row>
    <row r="37" spans="1:4" x14ac:dyDescent="0.2">
      <c r="A37" s="13">
        <v>35</v>
      </c>
      <c r="B37" s="24">
        <v>273</v>
      </c>
      <c r="C37" s="25">
        <v>412</v>
      </c>
      <c r="D37" s="26">
        <v>330</v>
      </c>
    </row>
    <row r="38" spans="1:4" x14ac:dyDescent="0.2">
      <c r="A38" s="13">
        <v>36</v>
      </c>
      <c r="B38" s="24">
        <v>856</v>
      </c>
      <c r="C38" s="25">
        <v>508</v>
      </c>
      <c r="D38" s="26">
        <v>348</v>
      </c>
    </row>
    <row r="39" spans="1:4" x14ac:dyDescent="0.2">
      <c r="A39" s="13">
        <v>37</v>
      </c>
      <c r="B39" s="24">
        <v>532</v>
      </c>
      <c r="C39" s="25">
        <v>511</v>
      </c>
      <c r="D39" s="26">
        <v>802</v>
      </c>
    </row>
    <row r="40" spans="1:4" x14ac:dyDescent="0.2">
      <c r="A40" s="13">
        <v>38</v>
      </c>
      <c r="B40" s="24">
        <v>508</v>
      </c>
      <c r="C40" s="25">
        <v>612</v>
      </c>
      <c r="D40" s="26">
        <v>576</v>
      </c>
    </row>
    <row r="41" spans="1:4" x14ac:dyDescent="0.2">
      <c r="A41" s="13">
        <v>39</v>
      </c>
      <c r="B41" s="24">
        <v>434</v>
      </c>
      <c r="C41" s="25">
        <v>511</v>
      </c>
      <c r="D41" s="26">
        <v>465</v>
      </c>
    </row>
    <row r="42" spans="1:4" x14ac:dyDescent="0.2">
      <c r="A42" s="13">
        <v>40</v>
      </c>
      <c r="B42" s="24">
        <v>597</v>
      </c>
      <c r="C42" s="25">
        <v>514</v>
      </c>
      <c r="D42" s="26">
        <v>204</v>
      </c>
    </row>
    <row r="43" spans="1:4" x14ac:dyDescent="0.2">
      <c r="A43" s="13">
        <v>41</v>
      </c>
      <c r="B43" s="24">
        <v>315</v>
      </c>
      <c r="C43" s="25">
        <v>520</v>
      </c>
      <c r="D43" s="26">
        <v>354</v>
      </c>
    </row>
    <row r="44" spans="1:4" x14ac:dyDescent="0.2">
      <c r="A44" s="13">
        <v>42</v>
      </c>
      <c r="B44" s="24">
        <v>1045</v>
      </c>
      <c r="C44" s="25">
        <v>710</v>
      </c>
      <c r="D44" s="26">
        <v>836</v>
      </c>
    </row>
    <row r="45" spans="1:4" x14ac:dyDescent="0.2">
      <c r="A45" s="13">
        <v>43</v>
      </c>
      <c r="B45" s="24">
        <v>370</v>
      </c>
      <c r="C45" s="25">
        <v>532</v>
      </c>
      <c r="D45" s="26">
        <v>577</v>
      </c>
    </row>
    <row r="46" spans="1:4" x14ac:dyDescent="0.2">
      <c r="A46" s="13">
        <v>44</v>
      </c>
      <c r="B46" s="24">
        <v>354</v>
      </c>
      <c r="C46" s="25">
        <v>540</v>
      </c>
      <c r="D46" s="26">
        <v>495</v>
      </c>
    </row>
    <row r="47" spans="1:4" x14ac:dyDescent="0.2">
      <c r="A47" s="13">
        <v>45</v>
      </c>
      <c r="B47" s="24">
        <v>500</v>
      </c>
      <c r="C47" s="25">
        <v>568</v>
      </c>
      <c r="D47" s="26">
        <v>218</v>
      </c>
    </row>
    <row r="48" spans="1:4" x14ac:dyDescent="0.2">
      <c r="A48" s="13">
        <v>46</v>
      </c>
      <c r="B48" s="24">
        <v>520</v>
      </c>
      <c r="C48" s="25">
        <v>572</v>
      </c>
      <c r="D48" s="26">
        <v>356</v>
      </c>
    </row>
    <row r="49" spans="1:4" x14ac:dyDescent="0.2">
      <c r="A49" s="13">
        <v>47</v>
      </c>
      <c r="B49" s="24">
        <v>356</v>
      </c>
      <c r="C49" s="25">
        <v>576</v>
      </c>
      <c r="D49" s="26">
        <v>842</v>
      </c>
    </row>
    <row r="50" spans="1:4" x14ac:dyDescent="0.2">
      <c r="A50" s="13">
        <v>48</v>
      </c>
      <c r="B50" s="24">
        <v>572</v>
      </c>
      <c r="C50" s="25">
        <v>577</v>
      </c>
      <c r="D50" s="26">
        <v>597</v>
      </c>
    </row>
    <row r="51" spans="1:4" x14ac:dyDescent="0.2">
      <c r="A51" s="13">
        <v>49</v>
      </c>
      <c r="B51" s="24">
        <v>514</v>
      </c>
      <c r="C51" s="25">
        <v>836</v>
      </c>
      <c r="D51" s="26">
        <v>500</v>
      </c>
    </row>
    <row r="52" spans="1:4" x14ac:dyDescent="0.2">
      <c r="A52" s="13">
        <v>50</v>
      </c>
      <c r="B52" s="24">
        <v>842</v>
      </c>
      <c r="C52" s="25">
        <v>603</v>
      </c>
      <c r="D52" s="26">
        <v>227</v>
      </c>
    </row>
    <row r="53" spans="1:4" x14ac:dyDescent="0.2">
      <c r="A53" s="13">
        <v>51</v>
      </c>
      <c r="B53" s="24">
        <v>176</v>
      </c>
      <c r="C53" s="25">
        <v>608</v>
      </c>
      <c r="D53" s="26">
        <v>359</v>
      </c>
    </row>
    <row r="54" spans="1:4" x14ac:dyDescent="0.2">
      <c r="A54" s="13">
        <v>52</v>
      </c>
      <c r="B54" s="24">
        <v>730</v>
      </c>
      <c r="C54" s="25">
        <v>511</v>
      </c>
      <c r="D54" s="26">
        <v>842</v>
      </c>
    </row>
    <row r="55" spans="1:4" x14ac:dyDescent="0.2">
      <c r="A55" s="13">
        <v>53</v>
      </c>
      <c r="B55" s="24">
        <v>377</v>
      </c>
      <c r="C55" s="25">
        <v>676</v>
      </c>
      <c r="D55" s="26">
        <v>603</v>
      </c>
    </row>
    <row r="56" spans="1:4" x14ac:dyDescent="0.2">
      <c r="A56" s="13">
        <v>54</v>
      </c>
      <c r="B56" s="24">
        <v>866</v>
      </c>
      <c r="C56" s="25">
        <v>681</v>
      </c>
      <c r="D56" s="26">
        <v>503</v>
      </c>
    </row>
    <row r="57" spans="1:4" x14ac:dyDescent="0.2">
      <c r="A57" s="13">
        <v>55</v>
      </c>
      <c r="B57" s="24">
        <v>939</v>
      </c>
      <c r="C57" s="25">
        <v>529</v>
      </c>
      <c r="D57" s="26">
        <v>229</v>
      </c>
    </row>
    <row r="58" spans="1:4" x14ac:dyDescent="0.2">
      <c r="A58" s="13">
        <v>56</v>
      </c>
      <c r="B58" s="24">
        <v>926</v>
      </c>
      <c r="C58" s="25">
        <v>718</v>
      </c>
      <c r="D58" s="26">
        <v>370</v>
      </c>
    </row>
    <row r="59" spans="1:4" x14ac:dyDescent="0.2">
      <c r="A59" s="13">
        <v>57</v>
      </c>
      <c r="B59" s="24">
        <v>229</v>
      </c>
      <c r="C59" s="25">
        <v>719</v>
      </c>
      <c r="D59" s="26">
        <v>843</v>
      </c>
    </row>
    <row r="60" spans="1:4" x14ac:dyDescent="0.2">
      <c r="A60" s="13">
        <v>58</v>
      </c>
      <c r="B60" s="24">
        <v>304</v>
      </c>
      <c r="C60" s="25">
        <v>730</v>
      </c>
      <c r="D60" s="26">
        <v>608</v>
      </c>
    </row>
    <row r="61" spans="1:4" x14ac:dyDescent="0.2">
      <c r="A61" s="13">
        <v>59</v>
      </c>
      <c r="B61" s="24">
        <v>450</v>
      </c>
      <c r="C61" s="25">
        <v>866</v>
      </c>
      <c r="D61" s="26">
        <v>508</v>
      </c>
    </row>
    <row r="62" spans="1:4" x14ac:dyDescent="0.2">
      <c r="A62" s="13">
        <v>60</v>
      </c>
      <c r="B62" s="24">
        <v>843</v>
      </c>
      <c r="C62" s="25">
        <v>755</v>
      </c>
      <c r="D62" s="26">
        <v>229</v>
      </c>
    </row>
    <row r="63" spans="1:4" x14ac:dyDescent="0.2">
      <c r="A63" s="13">
        <v>61</v>
      </c>
      <c r="B63" s="24">
        <v>1330</v>
      </c>
      <c r="C63" s="25">
        <v>775</v>
      </c>
      <c r="D63" s="26">
        <v>372</v>
      </c>
    </row>
    <row r="64" spans="1:4" x14ac:dyDescent="0.2">
      <c r="A64" s="13">
        <v>62</v>
      </c>
      <c r="B64" s="24">
        <v>455</v>
      </c>
      <c r="C64" s="25">
        <v>802</v>
      </c>
      <c r="D64" s="26">
        <v>851</v>
      </c>
    </row>
    <row r="65" spans="1:5" x14ac:dyDescent="0.2">
      <c r="A65" s="13">
        <v>63</v>
      </c>
      <c r="B65" s="24">
        <v>359</v>
      </c>
      <c r="C65" s="25">
        <v>597</v>
      </c>
      <c r="D65" s="26">
        <v>612</v>
      </c>
    </row>
    <row r="66" spans="1:5" x14ac:dyDescent="0.2">
      <c r="A66" s="13">
        <v>64</v>
      </c>
      <c r="B66" s="24">
        <v>1133</v>
      </c>
      <c r="C66" s="25">
        <v>842</v>
      </c>
      <c r="D66" s="26">
        <v>511</v>
      </c>
    </row>
    <row r="67" spans="1:5" x14ac:dyDescent="0.2">
      <c r="A67" s="13">
        <v>65</v>
      </c>
      <c r="B67" s="24">
        <v>710</v>
      </c>
      <c r="C67" s="25">
        <v>851</v>
      </c>
      <c r="D67" s="26">
        <v>249</v>
      </c>
    </row>
    <row r="68" spans="1:5" x14ac:dyDescent="0.2">
      <c r="A68" s="13">
        <v>66</v>
      </c>
      <c r="B68" s="24">
        <v>719</v>
      </c>
      <c r="C68" s="25">
        <v>843</v>
      </c>
      <c r="D68" s="26">
        <v>377</v>
      </c>
    </row>
    <row r="69" spans="1:5" x14ac:dyDescent="0.2">
      <c r="A69" s="13">
        <v>67</v>
      </c>
      <c r="B69" s="24">
        <v>346</v>
      </c>
      <c r="C69" s="25">
        <v>842</v>
      </c>
      <c r="D69" s="26">
        <v>856</v>
      </c>
    </row>
    <row r="70" spans="1:5" x14ac:dyDescent="0.2">
      <c r="A70" s="13">
        <v>68</v>
      </c>
      <c r="B70" s="24">
        <v>511</v>
      </c>
      <c r="C70" s="25">
        <v>856</v>
      </c>
      <c r="D70" s="26">
        <v>676</v>
      </c>
    </row>
    <row r="71" spans="1:5" x14ac:dyDescent="0.2">
      <c r="A71" s="13">
        <v>69</v>
      </c>
      <c r="B71" s="24">
        <v>718</v>
      </c>
      <c r="C71" s="25">
        <v>744</v>
      </c>
      <c r="D71" s="26">
        <v>511</v>
      </c>
    </row>
    <row r="72" spans="1:5" x14ac:dyDescent="0.2">
      <c r="A72" s="13">
        <v>70</v>
      </c>
      <c r="B72" s="24">
        <v>381</v>
      </c>
      <c r="C72" s="25">
        <v>926</v>
      </c>
      <c r="D72" s="26">
        <v>256</v>
      </c>
    </row>
    <row r="73" spans="1:5" x14ac:dyDescent="0.2">
      <c r="A73" s="13">
        <v>71</v>
      </c>
      <c r="B73" s="24">
        <v>529</v>
      </c>
      <c r="C73" s="25">
        <v>939</v>
      </c>
      <c r="D73" s="26">
        <v>381</v>
      </c>
    </row>
    <row r="74" spans="1:5" x14ac:dyDescent="0.2">
      <c r="A74" s="13">
        <v>72</v>
      </c>
      <c r="B74" s="24">
        <v>227</v>
      </c>
      <c r="C74" s="25">
        <v>1045</v>
      </c>
      <c r="D74" s="26">
        <v>866</v>
      </c>
    </row>
    <row r="75" spans="1:5" x14ac:dyDescent="0.2">
      <c r="A75" s="13">
        <v>73</v>
      </c>
      <c r="B75" s="24">
        <v>612</v>
      </c>
      <c r="C75" s="25">
        <v>1330</v>
      </c>
      <c r="D75" s="26">
        <v>681</v>
      </c>
    </row>
    <row r="76" spans="1:5" x14ac:dyDescent="0.2">
      <c r="A76" s="13">
        <v>74</v>
      </c>
      <c r="B76" s="24">
        <v>836</v>
      </c>
      <c r="C76" s="25">
        <v>1133</v>
      </c>
      <c r="D76" s="26">
        <v>511</v>
      </c>
    </row>
    <row r="77" spans="1:5" x14ac:dyDescent="0.2">
      <c r="A77" s="13">
        <v>75</v>
      </c>
      <c r="B77" s="24">
        <v>511</v>
      </c>
      <c r="C77" s="25">
        <v>1045</v>
      </c>
      <c r="D77" s="26">
        <v>273</v>
      </c>
    </row>
    <row r="80" spans="1:5" x14ac:dyDescent="0.2">
      <c r="E80" s="36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0.ArdiData</vt:lpstr>
      <vt:lpstr>1.Expo</vt:lpstr>
      <vt:lpstr>2.ES-MAD-TS</vt:lpstr>
      <vt:lpstr>3.ES-OptDataTab</vt:lpstr>
      <vt:lpstr>4.ES-OptSolver</vt:lpstr>
      <vt:lpstr>00.BookData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2019-09-22T15:29:28Z</dcterms:modified>
</cp:coreProperties>
</file>