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ink/ink1.xml" ContentType="application/inkml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orecasting\Slides\"/>
    </mc:Choice>
  </mc:AlternateContent>
  <bookViews>
    <workbookView xWindow="0" yWindow="0" windowWidth="14715" windowHeight="6900" activeTab="1"/>
  </bookViews>
  <sheets>
    <sheet name="0.ArdiData" sheetId="9" r:id="rId1"/>
    <sheet name="1.Regression" sheetId="11" r:id="rId2"/>
    <sheet name="1b.Total Cost" sheetId="14" r:id="rId3"/>
    <sheet name="1c.LinearDemand" sheetId="13" r:id="rId4"/>
    <sheet name="BookData" sheetId="6" r:id="rId5"/>
    <sheet name="0.ArdiData&amp;FixedData" sheetId="12" r:id="rId6"/>
  </sheets>
  <definedNames>
    <definedName name="solver_adj" localSheetId="1" hidden="1">'1.Regression'!$N$20:$N$21</definedName>
    <definedName name="solver_adj" localSheetId="2" hidden="1">'1b.Total Cost'!$B$9:$B$12</definedName>
    <definedName name="solver_adj" localSheetId="3" hidden="1">'1c.LinearDemand'!$B$9:$B$10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1" hidden="1">2</definedName>
    <definedName name="solver_drv" localSheetId="2" hidden="1">1</definedName>
    <definedName name="solver_drv" localSheetId="3" hidden="1">2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2" hidden="1">'1b.Total Cost'!$D$5</definedName>
    <definedName name="solver_lhs1" localSheetId="3" hidden="1">'1c.LinearDemand'!$E$4</definedName>
    <definedName name="solver_lhs2" localSheetId="3" hidden="1">'1c.LinearDemand'!$E$4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1" hidden="1">0</definedName>
    <definedName name="solver_num" localSheetId="2" hidden="1">1</definedName>
    <definedName name="solver_num" localSheetId="3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'1.Regression'!$N$22</definedName>
    <definedName name="solver_opt" localSheetId="2" hidden="1">'1b.Total Cost'!$E$5</definedName>
    <definedName name="solver_opt" localSheetId="3" hidden="1">'1c.LinearDemand'!$D$5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1" hidden="1">2</definedName>
    <definedName name="solver_rbv" localSheetId="2" hidden="1">1</definedName>
    <definedName name="solver_rbv" localSheetId="3" hidden="1">2</definedName>
    <definedName name="solver_rel1" localSheetId="2" hidden="1">2</definedName>
    <definedName name="solver_rel1" localSheetId="3" hidden="1">2</definedName>
    <definedName name="solver_rel2" localSheetId="3" hidden="1">2</definedName>
    <definedName name="solver_rhs1" localSheetId="2" hidden="1">1200</definedName>
    <definedName name="solver_rhs1" localSheetId="3" hidden="1">2.5</definedName>
    <definedName name="solver_rhs2" localSheetId="3" hidden="1">1.25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1" hidden="1">2</definedName>
    <definedName name="solver_scl" localSheetId="2" hidden="1">1</definedName>
    <definedName name="solver_scl" localSheetId="3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1" hidden="1">2</definedName>
    <definedName name="solver_typ" localSheetId="2" hidden="1">3</definedName>
    <definedName name="solver_typ" localSheetId="3" hidden="1">3</definedName>
    <definedName name="solver_val" localSheetId="1" hidden="1">0</definedName>
    <definedName name="solver_val" localSheetId="2" hidden="1">16</definedName>
    <definedName name="solver_val" localSheetId="3" hidden="1">175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1" l="1"/>
  <c r="K19" i="11"/>
  <c r="H1" i="11"/>
  <c r="G3" i="11"/>
  <c r="R9" i="11"/>
  <c r="R10" i="11"/>
  <c r="N8" i="11" l="1"/>
  <c r="O6" i="11"/>
  <c r="K17" i="11"/>
  <c r="K16" i="11"/>
  <c r="K15" i="11"/>
  <c r="K14" i="11"/>
  <c r="E6" i="11"/>
  <c r="E7" i="11"/>
  <c r="G5" i="11"/>
  <c r="F1" i="11"/>
  <c r="D1" i="11"/>
  <c r="K13" i="11" l="1"/>
  <c r="O8" i="11"/>
  <c r="F5" i="11"/>
  <c r="E5" i="11"/>
  <c r="D4" i="11"/>
  <c r="D3" i="11"/>
  <c r="F7" i="11"/>
  <c r="B13" i="13" l="1"/>
  <c r="G6" i="13"/>
  <c r="G5" i="13"/>
  <c r="B18" i="14"/>
  <c r="C18" i="14"/>
  <c r="D18" i="14"/>
  <c r="B19" i="14"/>
  <c r="C19" i="14"/>
  <c r="D19" i="14"/>
  <c r="B20" i="14"/>
  <c r="C20" i="14"/>
  <c r="D20" i="14"/>
  <c r="B21" i="14"/>
  <c r="C21" i="14"/>
  <c r="D21" i="14"/>
  <c r="B22" i="14"/>
  <c r="C22" i="14"/>
  <c r="D22" i="14"/>
  <c r="B23" i="14"/>
  <c r="C23" i="14"/>
  <c r="D23" i="14"/>
  <c r="B24" i="14"/>
  <c r="C24" i="14"/>
  <c r="D24" i="14"/>
  <c r="B25" i="14"/>
  <c r="C25" i="14"/>
  <c r="D25" i="14"/>
  <c r="B26" i="14"/>
  <c r="C26" i="14"/>
  <c r="D26" i="14"/>
  <c r="D2" i="14"/>
  <c r="D5" i="14"/>
  <c r="E5" i="14"/>
  <c r="C2" i="13"/>
  <c r="E4" i="13"/>
  <c r="D5" i="13"/>
  <c r="H5" i="13"/>
  <c r="H6" i="13"/>
  <c r="D27" i="14" l="1"/>
  <c r="D28" i="14" s="1"/>
  <c r="C27" i="14"/>
  <c r="C28" i="14" s="1"/>
  <c r="B27" i="14"/>
  <c r="B28" i="14" s="1"/>
  <c r="E6" i="13"/>
  <c r="N5" i="11" l="1"/>
  <c r="G4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E17" i="11" l="1"/>
  <c r="P23" i="11"/>
  <c r="D16" i="11"/>
  <c r="D5" i="11"/>
  <c r="D6" i="11"/>
  <c r="D7" i="11"/>
  <c r="D8" i="11"/>
  <c r="D9" i="11"/>
  <c r="D10" i="11"/>
  <c r="D11" i="11"/>
  <c r="D12" i="11"/>
  <c r="D13" i="11"/>
  <c r="D14" i="11"/>
  <c r="D15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F3" i="11"/>
  <c r="E3" i="11" l="1"/>
  <c r="N6" i="11"/>
  <c r="F4" i="11" l="1"/>
  <c r="F8" i="11"/>
  <c r="F9" i="11"/>
  <c r="F12" i="11"/>
  <c r="F13" i="11"/>
  <c r="F16" i="11"/>
  <c r="F17" i="11"/>
  <c r="F20" i="11"/>
  <c r="F21" i="11"/>
  <c r="F24" i="11"/>
  <c r="F25" i="11"/>
  <c r="F28" i="11"/>
  <c r="F29" i="11"/>
  <c r="F32" i="11"/>
  <c r="F33" i="11"/>
  <c r="F36" i="11"/>
  <c r="F37" i="11"/>
  <c r="F40" i="11"/>
  <c r="F41" i="11"/>
  <c r="F44" i="11"/>
  <c r="F45" i="11"/>
  <c r="F48" i="11"/>
  <c r="F49" i="11"/>
  <c r="F52" i="11"/>
  <c r="F6" i="11"/>
  <c r="F51" i="11" l="1"/>
  <c r="F47" i="11"/>
  <c r="F43" i="11"/>
  <c r="F39" i="11"/>
  <c r="F35" i="11"/>
  <c r="F31" i="11"/>
  <c r="F27" i="11"/>
  <c r="F23" i="11"/>
  <c r="F19" i="11"/>
  <c r="F15" i="11"/>
  <c r="F11" i="11"/>
  <c r="F50" i="11"/>
  <c r="F46" i="11"/>
  <c r="F42" i="11"/>
  <c r="F38" i="11"/>
  <c r="F34" i="11"/>
  <c r="F30" i="11"/>
  <c r="F26" i="11"/>
  <c r="F22" i="11"/>
  <c r="F18" i="11"/>
  <c r="F14" i="11"/>
  <c r="F10" i="11"/>
  <c r="P77" i="12"/>
  <c r="L77" i="12"/>
  <c r="P76" i="12"/>
  <c r="L76" i="12"/>
  <c r="P75" i="12"/>
  <c r="L75" i="12"/>
  <c r="P74" i="12"/>
  <c r="L74" i="12"/>
  <c r="P73" i="12"/>
  <c r="L73" i="12"/>
  <c r="P72" i="12"/>
  <c r="L72" i="12"/>
  <c r="P71" i="12"/>
  <c r="L71" i="12"/>
  <c r="P70" i="12"/>
  <c r="L70" i="12"/>
  <c r="P69" i="12"/>
  <c r="L69" i="12"/>
  <c r="P68" i="12"/>
  <c r="L68" i="12"/>
  <c r="P67" i="12"/>
  <c r="L67" i="12"/>
  <c r="P66" i="12"/>
  <c r="L66" i="12"/>
  <c r="P65" i="12"/>
  <c r="L65" i="12"/>
  <c r="P64" i="12"/>
  <c r="L64" i="12"/>
  <c r="P63" i="12"/>
  <c r="L63" i="12"/>
  <c r="P62" i="12"/>
  <c r="L62" i="12"/>
  <c r="P61" i="12"/>
  <c r="L61" i="12"/>
  <c r="P60" i="12"/>
  <c r="L60" i="12"/>
  <c r="P59" i="12"/>
  <c r="L59" i="12"/>
  <c r="P58" i="12"/>
  <c r="L58" i="12"/>
  <c r="P57" i="12"/>
  <c r="L57" i="12"/>
  <c r="P56" i="12"/>
  <c r="L56" i="12"/>
  <c r="P55" i="12"/>
  <c r="L55" i="12"/>
  <c r="P54" i="12"/>
  <c r="L54" i="12"/>
  <c r="P53" i="12"/>
  <c r="L53" i="12"/>
  <c r="P52" i="12"/>
  <c r="L52" i="12"/>
  <c r="P51" i="12"/>
  <c r="L51" i="12"/>
  <c r="P50" i="12"/>
  <c r="L50" i="12"/>
  <c r="P49" i="12"/>
  <c r="L49" i="12"/>
  <c r="P48" i="12"/>
  <c r="L48" i="12"/>
  <c r="P47" i="12"/>
  <c r="L47" i="12"/>
  <c r="P46" i="12"/>
  <c r="L46" i="12"/>
  <c r="P45" i="12"/>
  <c r="L45" i="12"/>
  <c r="P44" i="12"/>
  <c r="L44" i="12"/>
  <c r="P43" i="12"/>
  <c r="L43" i="12"/>
  <c r="P42" i="12"/>
  <c r="L42" i="12"/>
  <c r="P41" i="12"/>
  <c r="L41" i="12"/>
  <c r="P40" i="12"/>
  <c r="L40" i="12"/>
  <c r="P39" i="12"/>
  <c r="L39" i="12"/>
  <c r="P38" i="12"/>
  <c r="L38" i="12"/>
  <c r="P37" i="12"/>
  <c r="L37" i="12"/>
  <c r="P36" i="12"/>
  <c r="L36" i="12"/>
  <c r="P35" i="12"/>
  <c r="L35" i="12"/>
  <c r="P34" i="12"/>
  <c r="L34" i="12"/>
  <c r="P33" i="12"/>
  <c r="L33" i="12"/>
  <c r="P32" i="12"/>
  <c r="L32" i="12"/>
  <c r="P31" i="12"/>
  <c r="L31" i="12"/>
  <c r="P30" i="12"/>
  <c r="L30" i="12"/>
  <c r="P29" i="12"/>
  <c r="L29" i="12"/>
  <c r="P28" i="12"/>
  <c r="L28" i="12"/>
  <c r="P27" i="12"/>
  <c r="L27" i="12"/>
  <c r="P26" i="12"/>
  <c r="L26" i="12"/>
  <c r="P25" i="12"/>
  <c r="L25" i="12"/>
  <c r="P24" i="12"/>
  <c r="L24" i="12"/>
  <c r="P23" i="12"/>
  <c r="L23" i="12"/>
  <c r="P22" i="12"/>
  <c r="L22" i="12"/>
  <c r="P21" i="12"/>
  <c r="L21" i="12"/>
  <c r="P20" i="12"/>
  <c r="L20" i="12"/>
  <c r="P19" i="12"/>
  <c r="L19" i="12"/>
  <c r="P18" i="12"/>
  <c r="L18" i="12"/>
  <c r="P17" i="12"/>
  <c r="L17" i="12"/>
  <c r="P16" i="12"/>
  <c r="L16" i="12"/>
  <c r="P15" i="12"/>
  <c r="L15" i="12"/>
  <c r="P14" i="12"/>
  <c r="L14" i="12"/>
  <c r="P13" i="12"/>
  <c r="L13" i="12"/>
  <c r="P12" i="12"/>
  <c r="L12" i="12"/>
  <c r="P11" i="12"/>
  <c r="L11" i="12"/>
  <c r="P10" i="12"/>
  <c r="L10" i="12"/>
  <c r="P9" i="12"/>
  <c r="L9" i="12"/>
  <c r="P8" i="12"/>
  <c r="L8" i="12"/>
  <c r="P7" i="12"/>
  <c r="L7" i="12"/>
  <c r="P6" i="12"/>
  <c r="L6" i="12"/>
  <c r="P5" i="12"/>
  <c r="L5" i="12"/>
  <c r="P4" i="12"/>
  <c r="L4" i="12"/>
  <c r="P3" i="12"/>
  <c r="L3" i="12"/>
  <c r="S1" i="12"/>
  <c r="R1" i="12"/>
  <c r="O69" i="12" l="1"/>
  <c r="Q69" i="12" s="1"/>
  <c r="D69" i="12" s="1"/>
  <c r="O6" i="12"/>
  <c r="Q6" i="12" s="1"/>
  <c r="D6" i="12" s="1"/>
  <c r="O37" i="12"/>
  <c r="Q37" i="12" s="1"/>
  <c r="D37" i="12" s="1"/>
  <c r="O53" i="12"/>
  <c r="Q53" i="12" s="1"/>
  <c r="D53" i="12" s="1"/>
  <c r="O77" i="12"/>
  <c r="Q77" i="12" s="1"/>
  <c r="D77" i="12" s="1"/>
  <c r="O21" i="12"/>
  <c r="Q21" i="12" s="1"/>
  <c r="D21" i="12" s="1"/>
  <c r="O3" i="12"/>
  <c r="Q3" i="12" s="1"/>
  <c r="O4" i="12"/>
  <c r="Q4" i="12" s="1"/>
  <c r="D4" i="12" s="1"/>
  <c r="O25" i="12"/>
  <c r="Q25" i="12" s="1"/>
  <c r="D25" i="12" s="1"/>
  <c r="O73" i="12"/>
  <c r="Q73" i="12" s="1"/>
  <c r="D73" i="12" s="1"/>
  <c r="O29" i="12"/>
  <c r="Q29" i="12" s="1"/>
  <c r="D29" i="12" s="1"/>
  <c r="O45" i="12"/>
  <c r="Q45" i="12" s="1"/>
  <c r="D45" i="12" s="1"/>
  <c r="O61" i="12"/>
  <c r="Q61" i="12" s="1"/>
  <c r="D61" i="12" s="1"/>
  <c r="O75" i="12"/>
  <c r="Q75" i="12" s="1"/>
  <c r="D75" i="12" s="1"/>
  <c r="O71" i="12"/>
  <c r="Q71" i="12" s="1"/>
  <c r="D71" i="12" s="1"/>
  <c r="O67" i="12"/>
  <c r="Q67" i="12" s="1"/>
  <c r="D67" i="12" s="1"/>
  <c r="O63" i="12"/>
  <c r="Q63" i="12" s="1"/>
  <c r="D63" i="12" s="1"/>
  <c r="O59" i="12"/>
  <c r="Q59" i="12" s="1"/>
  <c r="D59" i="12" s="1"/>
  <c r="O55" i="12"/>
  <c r="Q55" i="12" s="1"/>
  <c r="D55" i="12" s="1"/>
  <c r="O51" i="12"/>
  <c r="Q51" i="12" s="1"/>
  <c r="D51" i="12" s="1"/>
  <c r="O47" i="12"/>
  <c r="Q47" i="12" s="1"/>
  <c r="D47" i="12" s="1"/>
  <c r="O43" i="12"/>
  <c r="Q43" i="12" s="1"/>
  <c r="D43" i="12" s="1"/>
  <c r="O39" i="12"/>
  <c r="Q39" i="12" s="1"/>
  <c r="D39" i="12" s="1"/>
  <c r="O35" i="12"/>
  <c r="Q35" i="12" s="1"/>
  <c r="D35" i="12" s="1"/>
  <c r="O31" i="12"/>
  <c r="Q31" i="12" s="1"/>
  <c r="D31" i="12" s="1"/>
  <c r="O27" i="12"/>
  <c r="Q27" i="12" s="1"/>
  <c r="D27" i="12" s="1"/>
  <c r="O23" i="12"/>
  <c r="Q23" i="12" s="1"/>
  <c r="D23" i="12" s="1"/>
  <c r="O19" i="12"/>
  <c r="Q19" i="12" s="1"/>
  <c r="D19" i="12" s="1"/>
  <c r="O15" i="12"/>
  <c r="Q15" i="12" s="1"/>
  <c r="D15" i="12" s="1"/>
  <c r="O76" i="12"/>
  <c r="Q76" i="12" s="1"/>
  <c r="D76" i="12" s="1"/>
  <c r="O72" i="12"/>
  <c r="Q72" i="12" s="1"/>
  <c r="D72" i="12" s="1"/>
  <c r="O68" i="12"/>
  <c r="Q68" i="12" s="1"/>
  <c r="D68" i="12" s="1"/>
  <c r="O64" i="12"/>
  <c r="Q64" i="12" s="1"/>
  <c r="D64" i="12" s="1"/>
  <c r="O60" i="12"/>
  <c r="Q60" i="12" s="1"/>
  <c r="D60" i="12" s="1"/>
  <c r="O56" i="12"/>
  <c r="Q56" i="12" s="1"/>
  <c r="D56" i="12" s="1"/>
  <c r="O52" i="12"/>
  <c r="Q52" i="12" s="1"/>
  <c r="D52" i="12" s="1"/>
  <c r="O48" i="12"/>
  <c r="Q48" i="12" s="1"/>
  <c r="D48" i="12" s="1"/>
  <c r="O44" i="12"/>
  <c r="Q44" i="12" s="1"/>
  <c r="D44" i="12" s="1"/>
  <c r="O40" i="12"/>
  <c r="Q40" i="12" s="1"/>
  <c r="D40" i="12" s="1"/>
  <c r="O36" i="12"/>
  <c r="Q36" i="12" s="1"/>
  <c r="D36" i="12" s="1"/>
  <c r="O32" i="12"/>
  <c r="Q32" i="12" s="1"/>
  <c r="D32" i="12" s="1"/>
  <c r="O28" i="12"/>
  <c r="Q28" i="12" s="1"/>
  <c r="D28" i="12" s="1"/>
  <c r="O24" i="12"/>
  <c r="Q24" i="12" s="1"/>
  <c r="D24" i="12" s="1"/>
  <c r="O20" i="12"/>
  <c r="Q20" i="12" s="1"/>
  <c r="D20" i="12" s="1"/>
  <c r="O16" i="12"/>
  <c r="Q16" i="12" s="1"/>
  <c r="D16" i="12" s="1"/>
  <c r="O14" i="12"/>
  <c r="Q14" i="12" s="1"/>
  <c r="D14" i="12" s="1"/>
  <c r="O70" i="12"/>
  <c r="Q70" i="12" s="1"/>
  <c r="D70" i="12" s="1"/>
  <c r="O62" i="12"/>
  <c r="Q62" i="12" s="1"/>
  <c r="D62" i="12" s="1"/>
  <c r="O54" i="12"/>
  <c r="Q54" i="12" s="1"/>
  <c r="D54" i="12" s="1"/>
  <c r="O46" i="12"/>
  <c r="Q46" i="12" s="1"/>
  <c r="D46" i="12" s="1"/>
  <c r="O38" i="12"/>
  <c r="Q38" i="12" s="1"/>
  <c r="D38" i="12" s="1"/>
  <c r="O30" i="12"/>
  <c r="Q30" i="12" s="1"/>
  <c r="D30" i="12" s="1"/>
  <c r="O22" i="12"/>
  <c r="Q22" i="12" s="1"/>
  <c r="D22" i="12" s="1"/>
  <c r="O13" i="12"/>
  <c r="Q13" i="12" s="1"/>
  <c r="D13" i="12" s="1"/>
  <c r="O12" i="12"/>
  <c r="Q12" i="12" s="1"/>
  <c r="D12" i="12" s="1"/>
  <c r="O10" i="12"/>
  <c r="Q10" i="12" s="1"/>
  <c r="D10" i="12" s="1"/>
  <c r="O7" i="12"/>
  <c r="Q7" i="12" s="1"/>
  <c r="D7" i="12" s="1"/>
  <c r="O74" i="12"/>
  <c r="Q74" i="12" s="1"/>
  <c r="D74" i="12" s="1"/>
  <c r="O66" i="12"/>
  <c r="Q66" i="12" s="1"/>
  <c r="D66" i="12" s="1"/>
  <c r="O58" i="12"/>
  <c r="Q58" i="12" s="1"/>
  <c r="D58" i="12" s="1"/>
  <c r="O50" i="12"/>
  <c r="Q50" i="12" s="1"/>
  <c r="D50" i="12" s="1"/>
  <c r="O42" i="12"/>
  <c r="Q42" i="12" s="1"/>
  <c r="D42" i="12" s="1"/>
  <c r="O34" i="12"/>
  <c r="Q34" i="12" s="1"/>
  <c r="D34" i="12" s="1"/>
  <c r="O26" i="12"/>
  <c r="Q26" i="12" s="1"/>
  <c r="D26" i="12" s="1"/>
  <c r="O18" i="12"/>
  <c r="Q18" i="12" s="1"/>
  <c r="D18" i="12" s="1"/>
  <c r="O11" i="12"/>
  <c r="Q11" i="12" s="1"/>
  <c r="D11" i="12" s="1"/>
  <c r="O9" i="12"/>
  <c r="Q9" i="12" s="1"/>
  <c r="D9" i="12" s="1"/>
  <c r="O5" i="12"/>
  <c r="Q5" i="12" s="1"/>
  <c r="D5" i="12" s="1"/>
  <c r="O8" i="12"/>
  <c r="Q8" i="12" s="1"/>
  <c r="D8" i="12" s="1"/>
  <c r="O41" i="12"/>
  <c r="Q41" i="12" s="1"/>
  <c r="D41" i="12" s="1"/>
  <c r="O57" i="12"/>
  <c r="Q57" i="12" s="1"/>
  <c r="D57" i="12" s="1"/>
  <c r="O17" i="12"/>
  <c r="Q17" i="12" s="1"/>
  <c r="D17" i="12" s="1"/>
  <c r="O33" i="12"/>
  <c r="Q33" i="12" s="1"/>
  <c r="D33" i="12" s="1"/>
  <c r="O49" i="12"/>
  <c r="Q49" i="12" s="1"/>
  <c r="D49" i="12" s="1"/>
  <c r="O65" i="12"/>
  <c r="Q65" i="12" s="1"/>
  <c r="D65" i="12" s="1"/>
  <c r="B22" i="12" l="1"/>
  <c r="B16" i="12"/>
  <c r="B36" i="12"/>
  <c r="B64" i="12"/>
  <c r="B28" i="12"/>
  <c r="B48" i="12"/>
  <c r="B70" i="12"/>
  <c r="B44" i="12"/>
  <c r="B46" i="12"/>
  <c r="B10" i="12"/>
  <c r="B26" i="12"/>
  <c r="B58" i="12"/>
  <c r="B72" i="12"/>
  <c r="B60" i="12"/>
  <c r="B54" i="12"/>
  <c r="B51" i="12"/>
  <c r="B47" i="12"/>
  <c r="B76" i="12"/>
  <c r="B7" i="12"/>
  <c r="B33" i="12"/>
  <c r="B42" i="12"/>
  <c r="B75" i="12"/>
  <c r="B65" i="12"/>
  <c r="B63" i="12"/>
  <c r="B32" i="12"/>
  <c r="B9" i="12"/>
  <c r="B62" i="12"/>
  <c r="B13" i="12"/>
  <c r="B30" i="12"/>
  <c r="B19" i="12"/>
  <c r="B67" i="12"/>
  <c r="B4" i="12"/>
  <c r="C76" i="12"/>
  <c r="C72" i="12"/>
  <c r="C68" i="12"/>
  <c r="C64" i="12"/>
  <c r="C60" i="12"/>
  <c r="C56" i="12"/>
  <c r="C52" i="12"/>
  <c r="C48" i="12"/>
  <c r="C44" i="12"/>
  <c r="C40" i="12"/>
  <c r="C36" i="12"/>
  <c r="C32" i="12"/>
  <c r="C28" i="12"/>
  <c r="C24" i="12"/>
  <c r="C20" i="12"/>
  <c r="C16" i="12"/>
  <c r="C77" i="12"/>
  <c r="C73" i="12"/>
  <c r="C69" i="12"/>
  <c r="C65" i="12"/>
  <c r="C61" i="12"/>
  <c r="C57" i="12"/>
  <c r="C53" i="12"/>
  <c r="C49" i="12"/>
  <c r="C45" i="12"/>
  <c r="C41" i="12"/>
  <c r="C37" i="12"/>
  <c r="C33" i="12"/>
  <c r="C29" i="12"/>
  <c r="C25" i="12"/>
  <c r="C21" i="12"/>
  <c r="C17" i="12"/>
  <c r="C15" i="12"/>
  <c r="C75" i="12"/>
  <c r="C74" i="12"/>
  <c r="C67" i="12"/>
  <c r="C66" i="12"/>
  <c r="C59" i="12"/>
  <c r="C58" i="12"/>
  <c r="C51" i="12"/>
  <c r="C50" i="12"/>
  <c r="C43" i="12"/>
  <c r="C42" i="12"/>
  <c r="C35" i="12"/>
  <c r="C34" i="12"/>
  <c r="C27" i="12"/>
  <c r="C26" i="12"/>
  <c r="C19" i="12"/>
  <c r="C18" i="12"/>
  <c r="C13" i="12"/>
  <c r="C11" i="12"/>
  <c r="C8" i="12"/>
  <c r="C71" i="12"/>
  <c r="C70" i="12"/>
  <c r="C63" i="12"/>
  <c r="C62" i="12"/>
  <c r="C55" i="12"/>
  <c r="C54" i="12"/>
  <c r="C47" i="12"/>
  <c r="C46" i="12"/>
  <c r="C39" i="12"/>
  <c r="C38" i="12"/>
  <c r="C31" i="12"/>
  <c r="C30" i="12"/>
  <c r="C23" i="12"/>
  <c r="C22" i="12"/>
  <c r="C12" i="12"/>
  <c r="C10" i="12"/>
  <c r="C6" i="12"/>
  <c r="C7" i="12"/>
  <c r="C5" i="12"/>
  <c r="C4" i="12"/>
  <c r="C9" i="12"/>
  <c r="D3" i="12"/>
  <c r="C14" i="12"/>
  <c r="C3" i="12"/>
  <c r="B11" i="12"/>
  <c r="B34" i="12"/>
  <c r="B6" i="12"/>
  <c r="B74" i="12"/>
  <c r="B27" i="12"/>
  <c r="B43" i="12"/>
  <c r="B59" i="12"/>
  <c r="B40" i="12"/>
  <c r="B52" i="12"/>
  <c r="B20" i="12"/>
  <c r="B12" i="12"/>
  <c r="B61" i="12"/>
  <c r="B17" i="12"/>
  <c r="B37" i="12"/>
  <c r="B69" i="12"/>
  <c r="B29" i="12"/>
  <c r="B50" i="12"/>
  <c r="B25" i="12"/>
  <c r="B57" i="12"/>
  <c r="B14" i="12"/>
  <c r="B31" i="12"/>
  <c r="B5" i="12"/>
  <c r="B15" i="12"/>
  <c r="B38" i="12"/>
  <c r="B66" i="12"/>
  <c r="B35" i="12"/>
  <c r="B56" i="12"/>
  <c r="B24" i="12"/>
  <c r="B68" i="12"/>
  <c r="B45" i="12"/>
  <c r="B77" i="12"/>
  <c r="B49" i="12"/>
  <c r="B21" i="12"/>
  <c r="B53" i="12"/>
  <c r="B8" i="12"/>
  <c r="B18" i="12"/>
  <c r="B3" i="12"/>
  <c r="B41" i="12"/>
  <c r="B73" i="12"/>
  <c r="B23" i="12"/>
  <c r="B39" i="12"/>
  <c r="B55" i="12"/>
  <c r="B71" i="12"/>
  <c r="AF4" i="9" l="1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3" i="9"/>
  <c r="AB77" i="9" l="1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B4" i="9"/>
  <c r="AB3" i="9"/>
  <c r="AI1" i="9"/>
  <c r="AH1" i="9"/>
  <c r="Q9" i="6"/>
  <c r="P9" i="6"/>
  <c r="O9" i="6"/>
  <c r="Q6" i="6"/>
  <c r="P6" i="6"/>
  <c r="O6" i="6"/>
  <c r="Q4" i="6"/>
  <c r="P4" i="6"/>
  <c r="O4" i="6"/>
  <c r="Q3" i="6"/>
  <c r="P3" i="6"/>
  <c r="O3" i="6"/>
  <c r="O5" i="6" s="1"/>
  <c r="Q2" i="6"/>
  <c r="P2" i="6"/>
  <c r="O2" i="6"/>
  <c r="O7" i="6" s="1"/>
  <c r="H2" i="6"/>
  <c r="P5" i="6" l="1"/>
  <c r="P8" i="6" s="1"/>
  <c r="P7" i="6"/>
  <c r="O8" i="6"/>
  <c r="AE10" i="9"/>
  <c r="AE5" i="9"/>
  <c r="AE9" i="9"/>
  <c r="AE13" i="9"/>
  <c r="AE17" i="9"/>
  <c r="AE21" i="9"/>
  <c r="AG21" i="9" s="1"/>
  <c r="AE25" i="9"/>
  <c r="AE29" i="9"/>
  <c r="AE33" i="9"/>
  <c r="AG33" i="9" s="1"/>
  <c r="AE37" i="9"/>
  <c r="AG37" i="9" s="1"/>
  <c r="AE41" i="9"/>
  <c r="AE45" i="9"/>
  <c r="AE49" i="9"/>
  <c r="AE53" i="9"/>
  <c r="AE57" i="9"/>
  <c r="AE61" i="9"/>
  <c r="AG61" i="9" s="1"/>
  <c r="AE65" i="9"/>
  <c r="AE69" i="9"/>
  <c r="AE73" i="9"/>
  <c r="AE77" i="9"/>
  <c r="AG77" i="9" s="1"/>
  <c r="AE6" i="9"/>
  <c r="AE14" i="9"/>
  <c r="AE18" i="9"/>
  <c r="AE22" i="9"/>
  <c r="AE26" i="9"/>
  <c r="AE30" i="9"/>
  <c r="AG30" i="9" s="1"/>
  <c r="AE34" i="9"/>
  <c r="AE38" i="9"/>
  <c r="AE42" i="9"/>
  <c r="AE46" i="9"/>
  <c r="AE50" i="9"/>
  <c r="AE54" i="9"/>
  <c r="AE58" i="9"/>
  <c r="AE62" i="9"/>
  <c r="AE66" i="9"/>
  <c r="AE70" i="9"/>
  <c r="AE74" i="9"/>
  <c r="AE7" i="9"/>
  <c r="AE11" i="9"/>
  <c r="AE15" i="9"/>
  <c r="AE19" i="9"/>
  <c r="AE23" i="9"/>
  <c r="AE27" i="9"/>
  <c r="AE31" i="9"/>
  <c r="AE35" i="9"/>
  <c r="AE39" i="9"/>
  <c r="AE43" i="9"/>
  <c r="AE47" i="9"/>
  <c r="AG47" i="9" s="1"/>
  <c r="AE51" i="9"/>
  <c r="AE55" i="9"/>
  <c r="AE59" i="9"/>
  <c r="AG59" i="9" s="1"/>
  <c r="AE63" i="9"/>
  <c r="AE67" i="9"/>
  <c r="AE71" i="9"/>
  <c r="AE75" i="9"/>
  <c r="AE4" i="9"/>
  <c r="AE8" i="9"/>
  <c r="AE12" i="9"/>
  <c r="AE16" i="9"/>
  <c r="AE20" i="9"/>
  <c r="AE24" i="9"/>
  <c r="AE28" i="9"/>
  <c r="AE32" i="9"/>
  <c r="AE36" i="9"/>
  <c r="AE40" i="9"/>
  <c r="AE44" i="9"/>
  <c r="AE48" i="9"/>
  <c r="AE52" i="9"/>
  <c r="AE56" i="9"/>
  <c r="AE60" i="9"/>
  <c r="AE64" i="9"/>
  <c r="AE68" i="9"/>
  <c r="AE72" i="9"/>
  <c r="AG72" i="9" s="1"/>
  <c r="AE76" i="9"/>
  <c r="AE3" i="9"/>
  <c r="AG3" i="9" s="1"/>
  <c r="Q7" i="6"/>
  <c r="G3" i="6"/>
  <c r="I2" i="6"/>
  <c r="F2" i="6"/>
  <c r="Q5" i="6"/>
  <c r="Q8" i="6" s="1"/>
  <c r="AG5" i="9" l="1"/>
  <c r="D5" i="9" s="1"/>
  <c r="AG60" i="9"/>
  <c r="D60" i="9" s="1"/>
  <c r="AG44" i="9"/>
  <c r="D44" i="9" s="1"/>
  <c r="AG28" i="9"/>
  <c r="D28" i="9" s="1"/>
  <c r="AG74" i="9"/>
  <c r="D74" i="9" s="1"/>
  <c r="AG50" i="9"/>
  <c r="D50" i="9" s="1"/>
  <c r="AG22" i="9"/>
  <c r="D22" i="9" s="1"/>
  <c r="AG65" i="9"/>
  <c r="D65" i="9" s="1"/>
  <c r="AG49" i="9"/>
  <c r="D49" i="9" s="1"/>
  <c r="AG42" i="9"/>
  <c r="D42" i="9" s="1"/>
  <c r="AG31" i="9"/>
  <c r="D31" i="9" s="1"/>
  <c r="AG27" i="9"/>
  <c r="D27" i="9" s="1"/>
  <c r="AG23" i="9"/>
  <c r="D23" i="9" s="1"/>
  <c r="AG76" i="9"/>
  <c r="D76" i="9" s="1"/>
  <c r="AG56" i="9"/>
  <c r="D56" i="9" s="1"/>
  <c r="AG40" i="9"/>
  <c r="D40" i="9" s="1"/>
  <c r="AG24" i="9"/>
  <c r="D24" i="9" s="1"/>
  <c r="AG70" i="9"/>
  <c r="D70" i="9" s="1"/>
  <c r="AG38" i="9"/>
  <c r="D38" i="9" s="1"/>
  <c r="AG45" i="9"/>
  <c r="D45" i="9" s="1"/>
  <c r="AG29" i="9"/>
  <c r="D29" i="9" s="1"/>
  <c r="AG66" i="9"/>
  <c r="D66" i="9" s="1"/>
  <c r="AG34" i="9"/>
  <c r="D34" i="9" s="1"/>
  <c r="AG75" i="9"/>
  <c r="D75" i="9" s="1"/>
  <c r="AG71" i="9"/>
  <c r="D71" i="9" s="1"/>
  <c r="AG67" i="9"/>
  <c r="D67" i="9" s="1"/>
  <c r="AG68" i="9"/>
  <c r="D68" i="9" s="1"/>
  <c r="AG52" i="9"/>
  <c r="D52" i="9" s="1"/>
  <c r="AG36" i="9"/>
  <c r="D36" i="9" s="1"/>
  <c r="AG20" i="9"/>
  <c r="D20" i="9" s="1"/>
  <c r="AG62" i="9"/>
  <c r="D62" i="9" s="1"/>
  <c r="AG73" i="9"/>
  <c r="D73" i="9" s="1"/>
  <c r="AG57" i="9"/>
  <c r="D57" i="9" s="1"/>
  <c r="AG41" i="9"/>
  <c r="D41" i="9" s="1"/>
  <c r="AG25" i="9"/>
  <c r="D25" i="9" s="1"/>
  <c r="AG54" i="9"/>
  <c r="D54" i="9" s="1"/>
  <c r="AG63" i="9"/>
  <c r="D63" i="9" s="1"/>
  <c r="AG55" i="9"/>
  <c r="D55" i="9" s="1"/>
  <c r="AG51" i="9"/>
  <c r="D51" i="9" s="1"/>
  <c r="AG64" i="9"/>
  <c r="D64" i="9" s="1"/>
  <c r="AG48" i="9"/>
  <c r="D48" i="9" s="1"/>
  <c r="AG32" i="9"/>
  <c r="D32" i="9" s="1"/>
  <c r="AG4" i="9"/>
  <c r="D4" i="9" s="1"/>
  <c r="AG58" i="9"/>
  <c r="D58" i="9" s="1"/>
  <c r="AG26" i="9"/>
  <c r="D26" i="9" s="1"/>
  <c r="AG69" i="9"/>
  <c r="D69" i="9" s="1"/>
  <c r="AG53" i="9"/>
  <c r="D53" i="9" s="1"/>
  <c r="AG46" i="9"/>
  <c r="D46" i="9" s="1"/>
  <c r="AG43" i="9"/>
  <c r="AG39" i="9"/>
  <c r="D39" i="9" s="1"/>
  <c r="AG35" i="9"/>
  <c r="D35" i="9" s="1"/>
  <c r="D61" i="9"/>
  <c r="D72" i="9"/>
  <c r="D30" i="9"/>
  <c r="D37" i="9"/>
  <c r="D21" i="9"/>
  <c r="D47" i="9"/>
  <c r="D59" i="9"/>
  <c r="D33" i="9"/>
  <c r="D77" i="9"/>
  <c r="H3" i="6"/>
  <c r="F3" i="6"/>
  <c r="J2" i="6"/>
  <c r="D43" i="9" l="1"/>
  <c r="D3" i="9"/>
  <c r="AG6" i="9"/>
  <c r="AG7" i="9"/>
  <c r="AG10" i="9"/>
  <c r="AG11" i="9"/>
  <c r="I3" i="6"/>
  <c r="G4" i="6"/>
  <c r="AG8" i="9" l="1"/>
  <c r="D6" i="9"/>
  <c r="AG14" i="9"/>
  <c r="AG16" i="9"/>
  <c r="H4" i="6"/>
  <c r="F4" i="6" s="1"/>
  <c r="J3" i="6"/>
  <c r="D8" i="9" l="1"/>
  <c r="AG12" i="9"/>
  <c r="AG13" i="9"/>
  <c r="AG9" i="9"/>
  <c r="D7" i="9"/>
  <c r="D10" i="9"/>
  <c r="D11" i="9"/>
  <c r="G5" i="6"/>
  <c r="I4" i="6"/>
  <c r="AG15" i="9" l="1"/>
  <c r="D9" i="9"/>
  <c r="D13" i="9"/>
  <c r="D12" i="9"/>
  <c r="D14" i="9"/>
  <c r="D16" i="9"/>
  <c r="J4" i="6"/>
  <c r="H5" i="6"/>
  <c r="F5" i="6" s="1"/>
  <c r="AG18" i="9" l="1"/>
  <c r="D15" i="9"/>
  <c r="G6" i="6"/>
  <c r="I5" i="6"/>
  <c r="AG17" i="9" l="1"/>
  <c r="AG19" i="9"/>
  <c r="H6" i="6"/>
  <c r="J5" i="6"/>
  <c r="B67" i="9" l="1"/>
  <c r="B30" i="9"/>
  <c r="B3" i="9"/>
  <c r="C3" i="9"/>
  <c r="C35" i="9"/>
  <c r="C67" i="9"/>
  <c r="C58" i="9"/>
  <c r="C73" i="9"/>
  <c r="C29" i="9"/>
  <c r="C60" i="9"/>
  <c r="C32" i="9"/>
  <c r="C30" i="9"/>
  <c r="C61" i="9"/>
  <c r="C17" i="9"/>
  <c r="C64" i="9"/>
  <c r="C68" i="9"/>
  <c r="C24" i="9"/>
  <c r="C59" i="9"/>
  <c r="C15" i="9"/>
  <c r="C53" i="9"/>
  <c r="C26" i="9"/>
  <c r="C9" i="9"/>
  <c r="C33" i="9"/>
  <c r="C57" i="9"/>
  <c r="C54" i="9"/>
  <c r="C4" i="9"/>
  <c r="C43" i="9"/>
  <c r="C14" i="9"/>
  <c r="C36" i="9"/>
  <c r="C39" i="9"/>
  <c r="C70" i="9"/>
  <c r="C23" i="9"/>
  <c r="C65" i="9"/>
  <c r="C41" i="9"/>
  <c r="C49" i="9"/>
  <c r="C19" i="9"/>
  <c r="C37" i="9"/>
  <c r="C72" i="9"/>
  <c r="C21" i="9"/>
  <c r="C48" i="9"/>
  <c r="C31" i="9"/>
  <c r="C55" i="9"/>
  <c r="C16" i="9"/>
  <c r="C25" i="9"/>
  <c r="C74" i="9"/>
  <c r="C11" i="9"/>
  <c r="C51" i="9"/>
  <c r="C47" i="9"/>
  <c r="C69" i="9"/>
  <c r="C77" i="9"/>
  <c r="C50" i="9"/>
  <c r="C13" i="9"/>
  <c r="C62" i="9"/>
  <c r="C52" i="9"/>
  <c r="C42" i="9"/>
  <c r="C5" i="9"/>
  <c r="C38" i="9"/>
  <c r="C28" i="9"/>
  <c r="C66" i="9"/>
  <c r="C40" i="9"/>
  <c r="C7" i="9"/>
  <c r="C71" i="9"/>
  <c r="C56" i="9"/>
  <c r="C45" i="9"/>
  <c r="C6" i="9"/>
  <c r="C44" i="9"/>
  <c r="C18" i="9"/>
  <c r="C8" i="9"/>
  <c r="C46" i="9"/>
  <c r="C20" i="9"/>
  <c r="C10" i="9"/>
  <c r="C63" i="9"/>
  <c r="C22" i="9"/>
  <c r="C75" i="9"/>
  <c r="C34" i="9"/>
  <c r="C27" i="9"/>
  <c r="C12" i="9"/>
  <c r="C76" i="9"/>
  <c r="B51" i="9"/>
  <c r="B58" i="9"/>
  <c r="B16" i="9"/>
  <c r="B33" i="9"/>
  <c r="B25" i="9"/>
  <c r="B24" i="9"/>
  <c r="B55" i="9"/>
  <c r="B17" i="9"/>
  <c r="B34" i="9"/>
  <c r="B31" i="9"/>
  <c r="B57" i="9"/>
  <c r="B18" i="9"/>
  <c r="B48" i="9"/>
  <c r="B29" i="9"/>
  <c r="B22" i="9"/>
  <c r="B68" i="9"/>
  <c r="B41" i="9"/>
  <c r="B77" i="9"/>
  <c r="B7" i="9"/>
  <c r="B8" i="9"/>
  <c r="B49" i="9"/>
  <c r="B36" i="9"/>
  <c r="B26" i="9"/>
  <c r="B21" i="9"/>
  <c r="B64" i="9"/>
  <c r="B28" i="9"/>
  <c r="B37" i="9"/>
  <c r="B10" i="9"/>
  <c r="B70" i="9"/>
  <c r="B53" i="9"/>
  <c r="B61" i="9"/>
  <c r="B23" i="9"/>
  <c r="B20" i="9"/>
  <c r="B44" i="9"/>
  <c r="B62" i="9"/>
  <c r="B69" i="9"/>
  <c r="B15" i="9"/>
  <c r="B74" i="9"/>
  <c r="B60" i="9"/>
  <c r="B5" i="9"/>
  <c r="B9" i="9"/>
  <c r="B39" i="9"/>
  <c r="B42" i="9"/>
  <c r="B75" i="9"/>
  <c r="B47" i="9"/>
  <c r="B50" i="9"/>
  <c r="B72" i="9"/>
  <c r="B71" i="9"/>
  <c r="B40" i="9"/>
  <c r="B13" i="9"/>
  <c r="D19" i="9"/>
  <c r="B76" i="9"/>
  <c r="B14" i="9"/>
  <c r="B32" i="9"/>
  <c r="B6" i="9"/>
  <c r="B38" i="9"/>
  <c r="B56" i="9"/>
  <c r="B45" i="9"/>
  <c r="B11" i="9"/>
  <c r="B52" i="9"/>
  <c r="B43" i="9"/>
  <c r="B46" i="9"/>
  <c r="B73" i="9"/>
  <c r="B54" i="9"/>
  <c r="B4" i="9"/>
  <c r="B66" i="9"/>
  <c r="B27" i="9"/>
  <c r="B65" i="9"/>
  <c r="B59" i="9"/>
  <c r="D17" i="9"/>
  <c r="B63" i="9"/>
  <c r="B35" i="9"/>
  <c r="B19" i="9"/>
  <c r="B12" i="9"/>
  <c r="D18" i="9"/>
  <c r="G7" i="6"/>
  <c r="I6" i="6"/>
  <c r="F6" i="6"/>
  <c r="P9" i="9" l="1"/>
  <c r="A20" i="11"/>
  <c r="A44" i="11"/>
  <c r="A28" i="11"/>
  <c r="A52" i="11"/>
  <c r="A11" i="11"/>
  <c r="A41" i="11"/>
  <c r="A39" i="11"/>
  <c r="A4" i="11"/>
  <c r="A9" i="11"/>
  <c r="A17" i="11"/>
  <c r="A12" i="11"/>
  <c r="A22" i="11"/>
  <c r="A46" i="11"/>
  <c r="A6" i="11"/>
  <c r="A7" i="11"/>
  <c r="A38" i="11"/>
  <c r="A31" i="11"/>
  <c r="A37" i="11"/>
  <c r="A36" i="11"/>
  <c r="A26" i="11"/>
  <c r="A24" i="11"/>
  <c r="A29" i="11"/>
  <c r="A35" i="11"/>
  <c r="A27" i="11"/>
  <c r="A8" i="11"/>
  <c r="A45" i="11"/>
  <c r="A40" i="11"/>
  <c r="A5" i="11"/>
  <c r="A13" i="11"/>
  <c r="A47" i="11"/>
  <c r="A25" i="11"/>
  <c r="A48" i="11"/>
  <c r="A19" i="11"/>
  <c r="A23" i="11"/>
  <c r="A14" i="11"/>
  <c r="A30" i="11"/>
  <c r="A34" i="11"/>
  <c r="A10" i="11"/>
  <c r="A18" i="11"/>
  <c r="A42" i="11"/>
  <c r="A50" i="11"/>
  <c r="A51" i="11"/>
  <c r="A16" i="11"/>
  <c r="A21" i="11"/>
  <c r="A49" i="11"/>
  <c r="A43" i="11"/>
  <c r="A33" i="11"/>
  <c r="A15" i="11"/>
  <c r="A32" i="11"/>
  <c r="A3" i="11"/>
  <c r="M20" i="11"/>
  <c r="N9" i="11"/>
  <c r="M21" i="11"/>
  <c r="P2" i="9"/>
  <c r="O2" i="9"/>
  <c r="Q2" i="9"/>
  <c r="P4" i="9"/>
  <c r="P6" i="9"/>
  <c r="P3" i="9"/>
  <c r="Q6" i="9"/>
  <c r="Q4" i="9"/>
  <c r="Q3" i="9"/>
  <c r="Q9" i="9"/>
  <c r="O6" i="9"/>
  <c r="O9" i="9"/>
  <c r="O4" i="9"/>
  <c r="O3" i="9"/>
  <c r="J6" i="6"/>
  <c r="H7" i="6"/>
  <c r="F7" i="6"/>
  <c r="T4" i="9" l="1"/>
  <c r="T9" i="9"/>
  <c r="E51" i="11"/>
  <c r="E35" i="11"/>
  <c r="E48" i="11"/>
  <c r="E32" i="11"/>
  <c r="E14" i="11"/>
  <c r="E49" i="11"/>
  <c r="E38" i="11"/>
  <c r="E22" i="11"/>
  <c r="E12" i="11"/>
  <c r="E29" i="11"/>
  <c r="E11" i="11"/>
  <c r="E47" i="11"/>
  <c r="E31" i="11"/>
  <c r="E13" i="11"/>
  <c r="E37" i="11"/>
  <c r="E44" i="11"/>
  <c r="E28" i="11"/>
  <c r="E10" i="11"/>
  <c r="E50" i="11"/>
  <c r="E34" i="11"/>
  <c r="E21" i="11"/>
  <c r="E4" i="11"/>
  <c r="E25" i="11"/>
  <c r="E43" i="11"/>
  <c r="E27" i="11"/>
  <c r="E33" i="11"/>
  <c r="E40" i="11"/>
  <c r="E24" i="11"/>
  <c r="E9" i="11"/>
  <c r="E46" i="11"/>
  <c r="E30" i="11"/>
  <c r="E20" i="11"/>
  <c r="E45" i="11"/>
  <c r="E15" i="11"/>
  <c r="E39" i="11"/>
  <c r="E23" i="11"/>
  <c r="E52" i="11"/>
  <c r="E36" i="11"/>
  <c r="E18" i="11"/>
  <c r="E8" i="11"/>
  <c r="E42" i="11"/>
  <c r="E26" i="11"/>
  <c r="E16" i="11"/>
  <c r="E41" i="11"/>
  <c r="E19" i="11"/>
  <c r="T6" i="9"/>
  <c r="T3" i="9"/>
  <c r="U4" i="9"/>
  <c r="T2" i="9"/>
  <c r="U9" i="9"/>
  <c r="U3" i="9"/>
  <c r="U6" i="9"/>
  <c r="U2" i="9"/>
  <c r="Q7" i="9"/>
  <c r="Q5" i="9"/>
  <c r="Q8" i="9" s="1"/>
  <c r="P5" i="9"/>
  <c r="P7" i="9"/>
  <c r="O5" i="9"/>
  <c r="O8" i="9" s="1"/>
  <c r="O7" i="9"/>
  <c r="G8" i="6"/>
  <c r="I7" i="6"/>
  <c r="U7" i="9" l="1"/>
  <c r="T5" i="9"/>
  <c r="U5" i="9"/>
  <c r="T7" i="9"/>
  <c r="P8" i="9"/>
  <c r="U8" i="9" s="1"/>
  <c r="R5" i="9"/>
  <c r="S5" i="9" s="1"/>
  <c r="J7" i="6"/>
  <c r="H8" i="6"/>
  <c r="K2" i="11" l="1"/>
  <c r="T8" i="9"/>
  <c r="R3" i="9"/>
  <c r="S3" i="9" s="1"/>
  <c r="R4" i="9"/>
  <c r="G2" i="9" s="1"/>
  <c r="G9" i="6"/>
  <c r="I8" i="6"/>
  <c r="F8" i="6"/>
  <c r="R11" i="11" l="1"/>
  <c r="H2" i="9"/>
  <c r="J8" i="6"/>
  <c r="H9" i="6"/>
  <c r="G3" i="9" l="1"/>
  <c r="I2" i="9"/>
  <c r="J2" i="9" s="1"/>
  <c r="F2" i="9"/>
  <c r="G10" i="6"/>
  <c r="I9" i="6"/>
  <c r="F9" i="6"/>
  <c r="H3" i="9" l="1"/>
  <c r="J9" i="6"/>
  <c r="H10" i="6"/>
  <c r="F10" i="6" s="1"/>
  <c r="I3" i="9" l="1"/>
  <c r="J3" i="9" s="1"/>
  <c r="G4" i="9"/>
  <c r="F3" i="9"/>
  <c r="G11" i="6"/>
  <c r="I10" i="6"/>
  <c r="H4" i="9" l="1"/>
  <c r="H11" i="6"/>
  <c r="F11" i="6" s="1"/>
  <c r="J10" i="6"/>
  <c r="I4" i="9" l="1"/>
  <c r="J4" i="9" s="1"/>
  <c r="G5" i="9"/>
  <c r="F4" i="9"/>
  <c r="G12" i="6"/>
  <c r="I11" i="6"/>
  <c r="H5" i="9" l="1"/>
  <c r="J11" i="6"/>
  <c r="H12" i="6"/>
  <c r="F12" i="6" s="1"/>
  <c r="I5" i="9" l="1"/>
  <c r="J5" i="9" s="1"/>
  <c r="G6" i="9"/>
  <c r="F5" i="9"/>
  <c r="G13" i="6"/>
  <c r="I12" i="6"/>
  <c r="H6" i="9" l="1"/>
  <c r="J12" i="6"/>
  <c r="H13" i="6"/>
  <c r="I6" i="9" l="1"/>
  <c r="J6" i="9" s="1"/>
  <c r="G7" i="9"/>
  <c r="F6" i="9"/>
  <c r="G14" i="6"/>
  <c r="I13" i="6"/>
  <c r="F13" i="6"/>
  <c r="H7" i="9" l="1"/>
  <c r="J13" i="6"/>
  <c r="H14" i="6"/>
  <c r="I14" i="6" s="1"/>
  <c r="F14" i="6" l="1"/>
  <c r="I7" i="9"/>
  <c r="J7" i="9" s="1"/>
  <c r="G8" i="9"/>
  <c r="F7" i="9"/>
  <c r="J14" i="6"/>
  <c r="H8" i="9" l="1"/>
  <c r="J15" i="6"/>
  <c r="I8" i="9" l="1"/>
  <c r="J8" i="9" s="1"/>
  <c r="G9" i="9"/>
  <c r="F8" i="9"/>
  <c r="L2" i="6"/>
  <c r="K2" i="6"/>
  <c r="L3" i="6"/>
  <c r="K3" i="6"/>
  <c r="L4" i="6"/>
  <c r="K4" i="6"/>
  <c r="L5" i="6"/>
  <c r="K5" i="6"/>
  <c r="L6" i="6"/>
  <c r="K6" i="6"/>
  <c r="L7" i="6"/>
  <c r="K7" i="6"/>
  <c r="L8" i="6"/>
  <c r="K8" i="6"/>
  <c r="L9" i="6"/>
  <c r="K9" i="6"/>
  <c r="L10" i="6"/>
  <c r="K10" i="6"/>
  <c r="L11" i="6"/>
  <c r="K11" i="6"/>
  <c r="L12" i="6"/>
  <c r="K12" i="6"/>
  <c r="L13" i="6"/>
  <c r="L14" i="6"/>
  <c r="K13" i="6"/>
  <c r="K14" i="6"/>
  <c r="H9" i="9" l="1"/>
  <c r="K15" i="6"/>
  <c r="I9" i="9" l="1"/>
  <c r="J9" i="9" s="1"/>
  <c r="G10" i="9"/>
  <c r="F9" i="9"/>
  <c r="H10" i="9" l="1"/>
  <c r="I10" i="9" l="1"/>
  <c r="J10" i="9" s="1"/>
  <c r="G11" i="9"/>
  <c r="F10" i="9"/>
  <c r="H11" i="9" l="1"/>
  <c r="I11" i="9" l="1"/>
  <c r="J11" i="9" s="1"/>
  <c r="G12" i="9"/>
  <c r="F11" i="9"/>
  <c r="H12" i="9" l="1"/>
  <c r="I12" i="9" l="1"/>
  <c r="J12" i="9" s="1"/>
  <c r="G13" i="9"/>
  <c r="F12" i="9"/>
  <c r="H13" i="9" l="1"/>
  <c r="I13" i="9" l="1"/>
  <c r="J13" i="9" s="1"/>
  <c r="G14" i="9"/>
  <c r="F13" i="9"/>
  <c r="H14" i="9" l="1"/>
  <c r="I14" i="9" s="1"/>
  <c r="F14" i="9" l="1"/>
  <c r="J14" i="9"/>
  <c r="J15" i="9" l="1"/>
  <c r="K2" i="9" l="1"/>
  <c r="K6" i="9"/>
  <c r="K10" i="9"/>
  <c r="L4" i="9"/>
  <c r="L8" i="9"/>
  <c r="L12" i="9"/>
  <c r="K3" i="9"/>
  <c r="K7" i="9"/>
  <c r="K11" i="9"/>
  <c r="L5" i="9"/>
  <c r="L9" i="9"/>
  <c r="K12" i="9"/>
  <c r="K4" i="9"/>
  <c r="K8" i="9"/>
  <c r="L6" i="9"/>
  <c r="L10" i="9"/>
  <c r="K13" i="9"/>
  <c r="K5" i="9"/>
  <c r="K9" i="9"/>
  <c r="L3" i="9"/>
  <c r="L7" i="9"/>
  <c r="L11" i="9"/>
  <c r="L2" i="9"/>
  <c r="L13" i="9"/>
  <c r="L14" i="9"/>
  <c r="K14" i="9"/>
  <c r="K15" i="9" l="1"/>
</calcChain>
</file>

<file path=xl/sharedStrings.xml><?xml version="1.0" encoding="utf-8"?>
<sst xmlns="http://schemas.openxmlformats.org/spreadsheetml/2006/main" count="128" uniqueCount="90">
  <si>
    <t>At</t>
  </si>
  <si>
    <t>Per.</t>
  </si>
  <si>
    <t>Office 1</t>
  </si>
  <si>
    <t>Office 2</t>
  </si>
  <si>
    <t>Office 3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</si>
  <si>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</si>
  <si>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</si>
  <si>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</si>
  <si>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</si>
  <si>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</si>
  <si>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</si>
  <si>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</si>
  <si>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</si>
  <si>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</si>
  <si>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</si>
  <si>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</si>
  <si>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</si>
  <si>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Rg/Mean</t>
  </si>
  <si>
    <t>Skew</t>
  </si>
  <si>
    <t>These data were generated using the procedure in columns AB to AI</t>
  </si>
  <si>
    <t>Do Not Write on these four columns A-D</t>
  </si>
  <si>
    <t>Trend</t>
  </si>
  <si>
    <t>Seas</t>
  </si>
  <si>
    <t>T&amp;RanS</t>
  </si>
  <si>
    <t>Trend&amp;Seas</t>
  </si>
  <si>
    <t>=RANDBETWEEN(INT((ROWS($AC$3:AC15)/($AA$2)))*$AA$2,(INT((ROWS($AC$3:AC15)/($AA$2))+1)*$AA$2-1))</t>
  </si>
  <si>
    <t>TrendForSEason</t>
  </si>
  <si>
    <t xml:space="preserve">No Trend </t>
  </si>
  <si>
    <t>Day</t>
  </si>
  <si>
    <t>Yhat (Reg)</t>
  </si>
  <si>
    <t>SE</t>
  </si>
  <si>
    <t>SUMMARY OUTPUT</t>
  </si>
  <si>
    <t>Regression Statistics</t>
  </si>
  <si>
    <t>Correlation</t>
  </si>
  <si>
    <t>Multiple R</t>
  </si>
  <si>
    <t>Coefficient of Determination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</si>
  <si>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</si>
  <si>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</si>
  <si>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</si>
  <si>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</si>
  <si>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</si>
  <si>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</si>
  <si>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</si>
  <si>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</si>
  <si>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</si>
  <si>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</si>
  <si>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</si>
  <si>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</si>
  <si>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</si>
  <si>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</si>
  <si>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</si>
  <si>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</si>
  <si>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</si>
  <si>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</si>
  <si>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b0</t>
  </si>
  <si>
    <t>Intercept</t>
  </si>
  <si>
    <t>b1</t>
  </si>
  <si>
    <t>X Variable 1</t>
  </si>
  <si>
    <t>Rand-TR</t>
  </si>
  <si>
    <t>Generated using columns L to T</t>
  </si>
  <si>
    <t>Fixed Data</t>
  </si>
  <si>
    <t>ST</t>
  </si>
  <si>
    <t>Ybar</t>
  </si>
  <si>
    <t>SSE</t>
  </si>
  <si>
    <t>SST</t>
  </si>
  <si>
    <t>SSR</t>
  </si>
  <si>
    <t>Statistics</t>
  </si>
  <si>
    <t>Set 1</t>
  </si>
  <si>
    <t>Set 2</t>
  </si>
  <si>
    <t>Set 3</t>
  </si>
  <si>
    <t>Range/Mean</t>
  </si>
  <si>
    <t>MSR</t>
  </si>
  <si>
    <t>MSE</t>
  </si>
  <si>
    <t>P(F)Left</t>
  </si>
  <si>
    <t>P(F)Right</t>
  </si>
  <si>
    <t>Intercept (b0)</t>
  </si>
  <si>
    <t>X Variable 1 (b1)</t>
  </si>
  <si>
    <t>Xbar</t>
  </si>
  <si>
    <t>Q</t>
  </si>
  <si>
    <t>P</t>
  </si>
  <si>
    <t>Slope</t>
  </si>
  <si>
    <t>Price</t>
  </si>
  <si>
    <t>Sales</t>
  </si>
  <si>
    <t>Total Cost</t>
  </si>
  <si>
    <t xml:space="preserve">Production </t>
  </si>
  <si>
    <t>TC</t>
  </si>
  <si>
    <t>R-Square</t>
  </si>
  <si>
    <r>
      <t>(X-Xbar)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</si>
  <si>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t>Sb1</t>
  </si>
  <si>
    <r>
      <t>SQRT(SUM(X-Xbar)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</si>
</sst>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00"/>
    <numFmt numFmtId="167" formatCode="0.0000000"/>
    <numFmt numFmtId="168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/>
    <xf numFmtId="0" fontId="5" fillId="0" borderId="0" xfId="2" applyFont="1" applyAlignment="1">
      <alignment horizontal="center"/>
    </xf>
    <xf numFmtId="0" fontId="4" fillId="0" borderId="2" xfId="2" applyBorder="1" applyAlignment="1">
      <alignment horizontal="center"/>
    </xf>
    <xf numFmtId="1" fontId="4" fillId="0" borderId="13" xfId="2" applyNumberFormat="1" applyFill="1" applyBorder="1" applyAlignment="1">
      <alignment horizontal="center"/>
    </xf>
    <xf numFmtId="1" fontId="4" fillId="0" borderId="13" xfId="2" applyNumberFormat="1" applyBorder="1" applyAlignment="1">
      <alignment horizontal="center"/>
    </xf>
    <xf numFmtId="1" fontId="4" fillId="0" borderId="8" xfId="2" applyNumberFormat="1" applyBorder="1" applyAlignment="1">
      <alignment horizontal="center"/>
    </xf>
    <xf numFmtId="2" fontId="4" fillId="0" borderId="13" xfId="2" applyNumberFormat="1" applyBorder="1" applyAlignment="1">
      <alignment horizontal="center"/>
    </xf>
    <xf numFmtId="2" fontId="4" fillId="0" borderId="3" xfId="2" applyNumberFormat="1" applyBorder="1" applyAlignment="1">
      <alignment horizontal="center"/>
    </xf>
    <xf numFmtId="0" fontId="6" fillId="4" borderId="2" xfId="2" applyFont="1" applyFill="1" applyBorder="1"/>
    <xf numFmtId="164" fontId="6" fillId="4" borderId="13" xfId="2" applyNumberFormat="1" applyFont="1" applyFill="1" applyBorder="1"/>
    <xf numFmtId="164" fontId="6" fillId="4" borderId="3" xfId="2" applyNumberFormat="1" applyFont="1" applyFill="1" applyBorder="1"/>
    <xf numFmtId="0" fontId="4" fillId="0" borderId="0" xfId="2" applyAlignment="1">
      <alignment horizontal="left"/>
    </xf>
    <xf numFmtId="1" fontId="4" fillId="0" borderId="2" xfId="2" applyNumberFormat="1" applyBorder="1"/>
    <xf numFmtId="1" fontId="4" fillId="0" borderId="13" xfId="2" applyNumberFormat="1" applyBorder="1"/>
    <xf numFmtId="1" fontId="4" fillId="0" borderId="3" xfId="2" applyNumberFormat="1" applyBorder="1"/>
    <xf numFmtId="0" fontId="4" fillId="0" borderId="4" xfId="2" applyBorder="1" applyAlignment="1">
      <alignment horizontal="center"/>
    </xf>
    <xf numFmtId="1" fontId="4" fillId="0" borderId="0" xfId="2" applyNumberFormat="1" applyBorder="1" applyAlignment="1">
      <alignment horizontal="center"/>
    </xf>
    <xf numFmtId="2" fontId="4" fillId="0" borderId="0" xfId="2" applyNumberFormat="1" applyBorder="1" applyAlignment="1">
      <alignment horizontal="center"/>
    </xf>
    <xf numFmtId="2" fontId="4" fillId="0" borderId="5" xfId="2" applyNumberFormat="1" applyBorder="1" applyAlignment="1">
      <alignment horizontal="center"/>
    </xf>
    <xf numFmtId="0" fontId="6" fillId="4" borderId="4" xfId="2" applyFont="1" applyFill="1" applyBorder="1"/>
    <xf numFmtId="164" fontId="6" fillId="4" borderId="0" xfId="2" applyNumberFormat="1" applyFont="1" applyFill="1" applyBorder="1"/>
    <xf numFmtId="164" fontId="6" fillId="4" borderId="5" xfId="2" applyNumberFormat="1" applyFont="1" applyFill="1" applyBorder="1"/>
    <xf numFmtId="1" fontId="4" fillId="0" borderId="4" xfId="2" applyNumberFormat="1" applyBorder="1"/>
    <xf numFmtId="1" fontId="4" fillId="0" borderId="0" xfId="2" applyNumberFormat="1" applyBorder="1"/>
    <xf numFmtId="1" fontId="4" fillId="0" borderId="5" xfId="2" applyNumberFormat="1" applyBorder="1"/>
    <xf numFmtId="0" fontId="6" fillId="4" borderId="6" xfId="2" applyFont="1" applyFill="1" applyBorder="1"/>
    <xf numFmtId="164" fontId="6" fillId="4" borderId="14" xfId="2" applyNumberFormat="1" applyFont="1" applyFill="1" applyBorder="1"/>
    <xf numFmtId="164" fontId="6" fillId="4" borderId="7" xfId="2" applyNumberFormat="1" applyFont="1" applyFill="1" applyBorder="1"/>
    <xf numFmtId="0" fontId="4" fillId="0" borderId="6" xfId="2" applyBorder="1" applyAlignment="1">
      <alignment horizontal="center"/>
    </xf>
    <xf numFmtId="1" fontId="4" fillId="0" borderId="14" xfId="2" applyNumberFormat="1" applyBorder="1" applyAlignment="1">
      <alignment horizontal="center"/>
    </xf>
    <xf numFmtId="1" fontId="4" fillId="0" borderId="1" xfId="2" applyNumberFormat="1" applyBorder="1" applyAlignment="1">
      <alignment horizontal="center"/>
    </xf>
    <xf numFmtId="2" fontId="4" fillId="0" borderId="14" xfId="2" applyNumberFormat="1" applyBorder="1" applyAlignment="1">
      <alignment horizontal="center"/>
    </xf>
    <xf numFmtId="2" fontId="4" fillId="0" borderId="7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4" fillId="0" borderId="0" xfId="2" applyFont="1"/>
    <xf numFmtId="0" fontId="7" fillId="4" borderId="0" xfId="1" applyFont="1" applyFill="1"/>
    <xf numFmtId="0" fontId="2" fillId="4" borderId="0" xfId="1" applyFont="1" applyFill="1" applyAlignment="1">
      <alignment horizontal="right"/>
    </xf>
    <xf numFmtId="0" fontId="2" fillId="4" borderId="0" xfId="1" applyFill="1" applyAlignment="1">
      <alignment horizontal="left"/>
    </xf>
    <xf numFmtId="0" fontId="2" fillId="0" borderId="0" xfId="1"/>
    <xf numFmtId="0" fontId="2" fillId="0" borderId="0" xfId="1" applyFont="1"/>
    <xf numFmtId="0" fontId="3" fillId="0" borderId="0" xfId="1" applyFont="1"/>
    <xf numFmtId="0" fontId="2" fillId="5" borderId="0" xfId="1" applyFill="1"/>
    <xf numFmtId="0" fontId="2" fillId="5" borderId="0" xfId="1" applyFont="1" applyFill="1"/>
    <xf numFmtId="0" fontId="2" fillId="0" borderId="10" xfId="1" applyFont="1" applyBorder="1" applyAlignment="1">
      <alignment horizontal="left"/>
    </xf>
    <xf numFmtId="0" fontId="2" fillId="6" borderId="12" xfId="1" applyFont="1" applyFill="1" applyBorder="1" applyAlignment="1">
      <alignment horizontal="center"/>
    </xf>
    <xf numFmtId="0" fontId="4" fillId="0" borderId="0" xfId="3"/>
    <xf numFmtId="0" fontId="2" fillId="0" borderId="0" xfId="1" applyAlignment="1">
      <alignment horizontal="left"/>
    </xf>
    <xf numFmtId="0" fontId="2" fillId="3" borderId="0" xfId="1" applyFill="1" applyAlignment="1">
      <alignment horizontal="center"/>
    </xf>
    <xf numFmtId="0" fontId="2" fillId="6" borderId="0" xfId="1" applyFill="1" applyAlignment="1">
      <alignment horizontal="center"/>
    </xf>
    <xf numFmtId="0" fontId="2" fillId="7" borderId="0" xfId="1" applyFill="1" applyAlignment="1">
      <alignment horizontal="center"/>
    </xf>
    <xf numFmtId="0" fontId="2" fillId="0" borderId="0" xfId="4"/>
    <xf numFmtId="0" fontId="8" fillId="0" borderId="0" xfId="1" applyFont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2" applyFill="1"/>
    <xf numFmtId="0" fontId="4" fillId="0" borderId="0" xfId="2" applyFont="1" applyFill="1"/>
    <xf numFmtId="0" fontId="0" fillId="7" borderId="11" xfId="1" applyFont="1" applyFill="1" applyBorder="1" applyAlignment="1">
      <alignment horizontal="center"/>
    </xf>
    <xf numFmtId="0" fontId="0" fillId="5" borderId="0" xfId="1" applyFont="1" applyFill="1"/>
    <xf numFmtId="0" fontId="0" fillId="0" borderId="0" xfId="1" applyFont="1"/>
    <xf numFmtId="0" fontId="0" fillId="3" borderId="12" xfId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11" fillId="0" borderId="16" xfId="0" applyFont="1" applyFill="1" applyBorder="1" applyAlignment="1">
      <alignment horizontal="centerContinuous"/>
    </xf>
    <xf numFmtId="0" fontId="12" fillId="0" borderId="0" xfId="0" applyFont="1" applyAlignment="1">
      <alignment horizontal="right"/>
    </xf>
    <xf numFmtId="0" fontId="12" fillId="0" borderId="0" xfId="0" applyFont="1" applyFill="1" applyBorder="1" applyAlignment="1"/>
    <xf numFmtId="2" fontId="12" fillId="0" borderId="0" xfId="0" applyNumberFormat="1" applyFont="1" applyFill="1" applyBorder="1" applyAlignme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12" fillId="0" borderId="14" xfId="0" applyFont="1" applyFill="1" applyBorder="1" applyAlignment="1"/>
    <xf numFmtId="0" fontId="11" fillId="0" borderId="16" xfId="0" applyFont="1" applyFill="1" applyBorder="1" applyAlignment="1">
      <alignment horizontal="center"/>
    </xf>
    <xf numFmtId="0" fontId="0" fillId="0" borderId="14" xfId="0" applyFill="1" applyBorder="1" applyAlignment="1"/>
    <xf numFmtId="2" fontId="0" fillId="0" borderId="14" xfId="0" applyNumberFormat="1" applyFill="1" applyBorder="1" applyAlignment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5" borderId="5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164" fontId="0" fillId="5" borderId="7" xfId="0" applyNumberForma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9" fillId="8" borderId="4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164" fontId="10" fillId="6" borderId="9" xfId="0" applyNumberFormat="1" applyFon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0" fontId="8" fillId="0" borderId="0" xfId="1" applyFont="1"/>
    <xf numFmtId="0" fontId="14" fillId="0" borderId="0" xfId="3" applyFont="1"/>
    <xf numFmtId="0" fontId="13" fillId="4" borderId="0" xfId="1" applyFont="1" applyFill="1"/>
    <xf numFmtId="0" fontId="8" fillId="4" borderId="0" xfId="1" applyFont="1" applyFill="1" applyAlignment="1">
      <alignment horizontal="right"/>
    </xf>
    <xf numFmtId="0" fontId="8" fillId="4" borderId="0" xfId="1" applyFont="1" applyFill="1" applyAlignment="1">
      <alignment horizontal="left"/>
    </xf>
    <xf numFmtId="0" fontId="8" fillId="0" borderId="11" xfId="1" applyFont="1" applyFill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15" fillId="0" borderId="3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4" fillId="0" borderId="0" xfId="2" applyFont="1"/>
    <xf numFmtId="0" fontId="14" fillId="0" borderId="0" xfId="2" quotePrefix="1" applyFont="1"/>
    <xf numFmtId="0" fontId="16" fillId="0" borderId="0" xfId="1" applyFont="1"/>
    <xf numFmtId="0" fontId="8" fillId="5" borderId="0" xfId="1" applyFont="1" applyFill="1"/>
    <xf numFmtId="0" fontId="8" fillId="0" borderId="10" xfId="1" applyFont="1" applyBorder="1" applyAlignment="1">
      <alignment horizontal="left"/>
    </xf>
    <xf numFmtId="0" fontId="8" fillId="3" borderId="12" xfId="1" applyFont="1" applyFill="1" applyBorder="1" applyAlignment="1">
      <alignment horizontal="center"/>
    </xf>
    <xf numFmtId="0" fontId="8" fillId="6" borderId="12" xfId="1" applyFont="1" applyFill="1" applyBorder="1" applyAlignment="1">
      <alignment horizontal="center"/>
    </xf>
    <xf numFmtId="0" fontId="8" fillId="7" borderId="11" xfId="1" applyFont="1" applyFill="1" applyBorder="1" applyAlignment="1">
      <alignment horizontal="center"/>
    </xf>
    <xf numFmtId="0" fontId="14" fillId="0" borderId="0" xfId="2" applyFont="1" applyFill="1"/>
    <xf numFmtId="0" fontId="14" fillId="0" borderId="2" xfId="2" applyFont="1" applyBorder="1" applyAlignment="1">
      <alignment horizontal="center"/>
    </xf>
    <xf numFmtId="1" fontId="14" fillId="0" borderId="2" xfId="2" applyNumberFormat="1" applyFont="1" applyFill="1" applyBorder="1" applyAlignment="1">
      <alignment horizontal="center"/>
    </xf>
    <xf numFmtId="1" fontId="14" fillId="0" borderId="3" xfId="2" applyNumberFormat="1" applyFont="1" applyBorder="1" applyAlignment="1">
      <alignment horizontal="center"/>
    </xf>
    <xf numFmtId="1" fontId="14" fillId="0" borderId="13" xfId="2" applyNumberFormat="1" applyFont="1" applyBorder="1" applyAlignment="1">
      <alignment horizontal="center"/>
    </xf>
    <xf numFmtId="2" fontId="14" fillId="0" borderId="13" xfId="2" applyNumberFormat="1" applyFont="1" applyBorder="1" applyAlignment="1">
      <alignment horizontal="center"/>
    </xf>
    <xf numFmtId="2" fontId="14" fillId="0" borderId="3" xfId="2" applyNumberFormat="1" applyFont="1" applyBorder="1" applyAlignment="1">
      <alignment horizontal="center"/>
    </xf>
    <xf numFmtId="0" fontId="8" fillId="3" borderId="0" xfId="1" applyFont="1" applyFill="1" applyAlignment="1">
      <alignment horizontal="center"/>
    </xf>
    <xf numFmtId="0" fontId="8" fillId="6" borderId="0" xfId="1" applyFont="1" applyFill="1" applyAlignment="1">
      <alignment horizontal="center"/>
    </xf>
    <xf numFmtId="0" fontId="8" fillId="7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14" fillId="0" borderId="4" xfId="2" applyFont="1" applyBorder="1" applyAlignment="1">
      <alignment horizontal="center"/>
    </xf>
    <xf numFmtId="1" fontId="14" fillId="0" borderId="4" xfId="2" applyNumberFormat="1" applyFont="1" applyBorder="1" applyAlignment="1">
      <alignment horizontal="center"/>
    </xf>
    <xf numFmtId="1" fontId="14" fillId="0" borderId="5" xfId="2" applyNumberFormat="1" applyFont="1" applyBorder="1" applyAlignment="1">
      <alignment horizontal="center"/>
    </xf>
    <xf numFmtId="1" fontId="14" fillId="0" borderId="0" xfId="2" applyNumberFormat="1" applyFont="1" applyBorder="1" applyAlignment="1">
      <alignment horizontal="center"/>
    </xf>
    <xf numFmtId="2" fontId="14" fillId="0" borderId="0" xfId="2" applyNumberFormat="1" applyFont="1" applyBorder="1" applyAlignment="1">
      <alignment horizontal="center"/>
    </xf>
    <xf numFmtId="2" fontId="14" fillId="0" borderId="5" xfId="2" applyNumberFormat="1" applyFont="1" applyBorder="1" applyAlignment="1">
      <alignment horizontal="center"/>
    </xf>
    <xf numFmtId="0" fontId="8" fillId="0" borderId="0" xfId="4" applyFont="1"/>
    <xf numFmtId="0" fontId="14" fillId="0" borderId="6" xfId="2" applyFont="1" applyBorder="1" applyAlignment="1">
      <alignment horizontal="center"/>
    </xf>
    <xf numFmtId="1" fontId="14" fillId="0" borderId="6" xfId="2" applyNumberFormat="1" applyFont="1" applyBorder="1" applyAlignment="1">
      <alignment horizontal="center"/>
    </xf>
    <xf numFmtId="1" fontId="14" fillId="0" borderId="7" xfId="2" applyNumberFormat="1" applyFont="1" applyBorder="1" applyAlignment="1">
      <alignment horizontal="center"/>
    </xf>
    <xf numFmtId="1" fontId="14" fillId="0" borderId="14" xfId="2" applyNumberFormat="1" applyFont="1" applyBorder="1" applyAlignment="1">
      <alignment horizontal="center"/>
    </xf>
    <xf numFmtId="2" fontId="14" fillId="0" borderId="14" xfId="2" applyNumberFormat="1" applyFont="1" applyBorder="1" applyAlignment="1">
      <alignment horizontal="center"/>
    </xf>
    <xf numFmtId="2" fontId="14" fillId="0" borderId="7" xfId="2" applyNumberFormat="1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0" xfId="2" applyFont="1" applyBorder="1"/>
    <xf numFmtId="0" fontId="14" fillId="0" borderId="0" xfId="2" applyFont="1" applyAlignment="1">
      <alignment horizontal="center"/>
    </xf>
    <xf numFmtId="165" fontId="17" fillId="0" borderId="13" xfId="2" applyNumberFormat="1" applyFont="1" applyFill="1" applyBorder="1"/>
    <xf numFmtId="165" fontId="17" fillId="0" borderId="0" xfId="2" applyNumberFormat="1" applyFont="1" applyFill="1" applyBorder="1"/>
    <xf numFmtId="165" fontId="17" fillId="0" borderId="14" xfId="2" applyNumberFormat="1" applyFont="1" applyFill="1" applyBorder="1"/>
    <xf numFmtId="0" fontId="17" fillId="0" borderId="8" xfId="2" applyFont="1" applyFill="1" applyBorder="1"/>
    <xf numFmtId="0" fontId="17" fillId="0" borderId="9" xfId="2" applyFont="1" applyFill="1" applyBorder="1"/>
    <xf numFmtId="0" fontId="17" fillId="0" borderId="15" xfId="2" applyFont="1" applyFill="1" applyBorder="1"/>
    <xf numFmtId="165" fontId="17" fillId="0" borderId="8" xfId="2" applyNumberFormat="1" applyFont="1" applyFill="1" applyBorder="1"/>
    <xf numFmtId="165" fontId="17" fillId="0" borderId="9" xfId="2" applyNumberFormat="1" applyFont="1" applyFill="1" applyBorder="1"/>
    <xf numFmtId="165" fontId="17" fillId="0" borderId="15" xfId="2" applyNumberFormat="1" applyFont="1" applyFill="1" applyBorder="1"/>
    <xf numFmtId="0" fontId="14" fillId="0" borderId="10" xfId="2" applyFont="1" applyBorder="1"/>
    <xf numFmtId="0" fontId="14" fillId="0" borderId="11" xfId="2" applyFont="1" applyBorder="1"/>
    <xf numFmtId="0" fontId="14" fillId="0" borderId="1" xfId="2" applyFont="1" applyBorder="1"/>
    <xf numFmtId="0" fontId="8" fillId="9" borderId="0" xfId="1" applyFont="1" applyFill="1" applyAlignment="1">
      <alignment horizontal="center"/>
    </xf>
    <xf numFmtId="0" fontId="14" fillId="9" borderId="0" xfId="2" applyFont="1" applyFill="1"/>
    <xf numFmtId="2" fontId="0" fillId="0" borderId="0" xfId="0" applyNumberFormat="1"/>
    <xf numFmtId="164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7" fontId="0" fillId="0" borderId="0" xfId="0" applyNumberFormat="1"/>
    <xf numFmtId="166" fontId="0" fillId="0" borderId="0" xfId="0" applyNumberFormat="1" applyFill="1"/>
    <xf numFmtId="165" fontId="0" fillId="0" borderId="0" xfId="0" applyNumberFormat="1"/>
    <xf numFmtId="0" fontId="0" fillId="0" borderId="8" xfId="0" applyBorder="1" applyAlignment="1">
      <alignment horizontal="center"/>
    </xf>
    <xf numFmtId="1" fontId="0" fillId="0" borderId="0" xfId="0" applyNumberFormat="1"/>
    <xf numFmtId="1" fontId="0" fillId="0" borderId="1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6" borderId="1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168" fontId="0" fillId="0" borderId="0" xfId="0" applyNumberFormat="1"/>
    <xf numFmtId="164" fontId="0" fillId="0" borderId="0" xfId="0" applyNumberFormat="1" applyFill="1" applyAlignment="1">
      <alignment horizontal="center"/>
    </xf>
    <xf numFmtId="0" fontId="0" fillId="0" borderId="10" xfId="0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0" fillId="0" borderId="0" xfId="0" applyNumberFormat="1" applyFill="1" applyBorder="1"/>
  </cellXfs>
  <cellStyles count="5"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4472C4"/>
      <color rgb="FFED7D31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2000 - 3000</c:v>
                </c:pt>
                <c:pt idx="1">
                  <c:v>3000 - 4000</c:v>
                </c:pt>
                <c:pt idx="2">
                  <c:v>4000 - 5000</c:v>
                </c:pt>
                <c:pt idx="3">
                  <c:v>5000 - 6000</c:v>
                </c:pt>
                <c:pt idx="4">
                  <c:v>6000 - 7000</c:v>
                </c:pt>
                <c:pt idx="5">
                  <c:v>7000 - 8000</c:v>
                </c:pt>
                <c:pt idx="6">
                  <c:v>8000 - 9000</c:v>
                </c:pt>
                <c:pt idx="7">
                  <c:v>9000 - 10000</c:v>
                </c:pt>
                <c:pt idx="8">
                  <c:v>10000 - 11000</c:v>
                </c:pt>
                <c:pt idx="9">
                  <c:v>11000 - 12000</c:v>
                </c:pt>
                <c:pt idx="10">
                  <c:v>12000 - 13000</c:v>
                </c:pt>
                <c:pt idx="11">
                  <c:v>13000 - 14000</c:v>
                </c:pt>
                <c:pt idx="12">
                  <c:v>14000 - 15000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9.3333333333333338E-2</c:v>
                </c:pt>
                <c:pt idx="1">
                  <c:v>9.3333333333333338E-2</c:v>
                </c:pt>
                <c:pt idx="2">
                  <c:v>0.10666666666666667</c:v>
                </c:pt>
                <c:pt idx="3">
                  <c:v>6.6666666666666666E-2</c:v>
                </c:pt>
                <c:pt idx="4">
                  <c:v>0.12</c:v>
                </c:pt>
                <c:pt idx="5">
                  <c:v>9.3333333333333338E-2</c:v>
                </c:pt>
                <c:pt idx="6">
                  <c:v>0.10666666666666667</c:v>
                </c:pt>
                <c:pt idx="7">
                  <c:v>0.14666666666666667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0.04</c:v>
                </c:pt>
                <c:pt idx="11">
                  <c:v>1.3333333333333334E-2</c:v>
                </c:pt>
                <c:pt idx="12">
                  <c:v>2.6666666666666668E-2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0599352"/>
        <c:axId val="242183088"/>
      </c:barChart>
      <c:catAx>
        <c:axId val="24059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183088"/>
        <c:crosses val="autoZero"/>
        <c:auto val="1"/>
        <c:lblAlgn val="ctr"/>
        <c:lblOffset val="100"/>
        <c:noMultiLvlLbl val="0"/>
      </c:catAx>
      <c:valAx>
        <c:axId val="24218308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240599352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'1b.Total Cost'!$B$28</c:f>
          <c:strCache>
            <c:ptCount val="1"/>
            <c:pt idx="0">
              <c:v>R-Square= 0.755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2.39669728783902E-2"/>
                  <c:y val="0.323657407407407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'1b.Total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'1b.Total Cost'!$B$18:$B$26</c:f>
              <c:numCache>
                <c:formatCode>General</c:formatCode>
                <c:ptCount val="9"/>
                <c:pt idx="0">
                  <c:v>1521</c:v>
                </c:pt>
                <c:pt idx="1">
                  <c:v>2092</c:v>
                </c:pt>
                <c:pt idx="2">
                  <c:v>2851</c:v>
                </c:pt>
                <c:pt idx="3">
                  <c:v>1888</c:v>
                </c:pt>
                <c:pt idx="4">
                  <c:v>2984</c:v>
                </c:pt>
                <c:pt idx="5">
                  <c:v>2979</c:v>
                </c:pt>
                <c:pt idx="6">
                  <c:v>3074</c:v>
                </c:pt>
                <c:pt idx="7">
                  <c:v>4005</c:v>
                </c:pt>
                <c:pt idx="8">
                  <c:v>3415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FA-4528-BEC7-1BA9BA85C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465840"/>
        <c:axId val="577466232"/>
      </c:scatterChart>
      <c:valAx>
        <c:axId val="57746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66232"/>
        <c:crosses val="autoZero"/>
        <c:crossBetween val="midCat"/>
      </c:valAx>
      <c:valAx>
        <c:axId val="57746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65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'1b.Total Cost'!$C$28</c:f>
          <c:strCache>
            <c:ptCount val="1"/>
            <c:pt idx="0">
              <c:v>R-Square= 0.486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6.031408573928259E-2"/>
                  <c:y val="6.29735345581802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'1b.Total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'1b.Total Cost'!$C$18:$C$26</c:f>
              <c:numCache>
                <c:formatCode>General</c:formatCode>
                <c:ptCount val="9"/>
                <c:pt idx="0">
                  <c:v>2338</c:v>
                </c:pt>
                <c:pt idx="1">
                  <c:v>2673</c:v>
                </c:pt>
                <c:pt idx="2">
                  <c:v>1654</c:v>
                </c:pt>
                <c:pt idx="3">
                  <c:v>1664</c:v>
                </c:pt>
                <c:pt idx="4">
                  <c:v>1164</c:v>
                </c:pt>
                <c:pt idx="5">
                  <c:v>2059</c:v>
                </c:pt>
                <c:pt idx="6">
                  <c:v>210</c:v>
                </c:pt>
                <c:pt idx="7">
                  <c:v>1685</c:v>
                </c:pt>
                <c:pt idx="8">
                  <c:v>696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2E-465E-B30B-52DA328CA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467016"/>
        <c:axId val="577467408"/>
      </c:scatterChart>
      <c:valAx>
        <c:axId val="577467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67408"/>
        <c:crosses val="autoZero"/>
        <c:crossBetween val="midCat"/>
      </c:valAx>
      <c:valAx>
        <c:axId val="57746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67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'1b.Total Cost'!$D$28</c:f>
          <c:strCache>
            <c:ptCount val="1"/>
            <c:pt idx="0">
              <c:v>R-Square= 0.118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905640857392826"/>
                  <c:y val="0.114507874015748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'1b.Total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'1b.Total Cost'!$D$18:$D$26</c:f>
              <c:numCache>
                <c:formatCode>General</c:formatCode>
                <c:ptCount val="9"/>
                <c:pt idx="0">
                  <c:v>9918</c:v>
                </c:pt>
                <c:pt idx="1">
                  <c:v>426</c:v>
                </c:pt>
                <c:pt idx="2">
                  <c:v>2063</c:v>
                </c:pt>
                <c:pt idx="3">
                  <c:v>1226</c:v>
                </c:pt>
                <c:pt idx="4">
                  <c:v>6476</c:v>
                </c:pt>
                <c:pt idx="5">
                  <c:v>8490</c:v>
                </c:pt>
                <c:pt idx="6">
                  <c:v>1690</c:v>
                </c:pt>
                <c:pt idx="7">
                  <c:v>460</c:v>
                </c:pt>
                <c:pt idx="8">
                  <c:v>1672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FA-416F-B0C6-9D65B47A5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468192"/>
        <c:axId val="577468584"/>
      </c:scatterChart>
      <c:valAx>
        <c:axId val="577468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68584"/>
        <c:crosses val="autoZero"/>
        <c:crossBetween val="midCat"/>
      </c:valAx>
      <c:valAx>
        <c:axId val="57746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68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'1c.LinearDemand'!$C$2</c:f>
          <c:strCache>
            <c:ptCount val="1"/>
            <c:pt idx="0">
              <c:v>P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0679186147840243E-3"/>
                  <c:y val="-0.301249612759644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'1c.LinearDemand'!$A$4:$A$11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'1c.LinearDemand'!$B$4:$B$11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24-4695-919B-7019A8AB6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469368"/>
        <c:axId val="577469760"/>
      </c:scatterChart>
      <c:valAx>
        <c:axId val="577469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69760"/>
        <c:crosses val="autoZero"/>
        <c:crossBetween val="midCat"/>
      </c:valAx>
      <c:valAx>
        <c:axId val="57746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69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'1c.LinearDemand'!$C$2</c:f>
          <c:strCache>
            <c:ptCount val="1"/>
            <c:pt idx="0">
              <c:v>P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-7.0679186147840243E-3"/>
                  <c:y val="-0.301249612759644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'1c.LinearDemand'!$A$4:$A$11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'1c.LinearDemand'!$B$4:$B$11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0F-4ABA-BB96-6B6CD4EF1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470544"/>
        <c:axId val="577470936"/>
      </c:scatterChart>
      <c:valAx>
        <c:axId val="57747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70936"/>
        <c:crosses val="autoZero"/>
        <c:crossBetween val="midCat"/>
      </c:valAx>
      <c:valAx>
        <c:axId val="5774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7470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BookData!$B$1</c:f>
          <c:strCache>
            <c:ptCount val="1"/>
            <c:pt idx="0">
              <c:v>Office 1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BA-423D-A506-AB199EC6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77471720"/>
        <c:axId val="577472112"/>
      </c:barChart>
      <c:catAx>
        <c:axId val="577471720"/>
        <c:scaling>
          <c:orientation val="minMax"/>
        </c:scaling>
        <c:delete val="0"/>
        <c:axPos val="b"/>
        <c:majorTickMark val="out"/>
        <c:minorTickMark val="none"/>
        <c:tickLblPos val="nextTo"/>
        <c:crossAx val="577472112"/>
        <c:crosses val="autoZero"/>
        <c:auto val="1"/>
        <c:lblAlgn val="ctr"/>
        <c:lblOffset val="100"/>
        <c:noMultiLvlLbl val="0"/>
      </c:catAx>
      <c:valAx>
        <c:axId val="57747211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577471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B0-4F9C-A4D8-A042C346B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77826016"/>
        <c:axId val="577826408"/>
      </c:barChart>
      <c:catAx>
        <c:axId val="57782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577826408"/>
        <c:crosses val="autoZero"/>
        <c:auto val="1"/>
        <c:lblAlgn val="ctr"/>
        <c:lblOffset val="100"/>
        <c:noMultiLvlLbl val="0"/>
      </c:catAx>
      <c:valAx>
        <c:axId val="57782640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57782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AF-4DA7-94EB-870607BEF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77827192"/>
        <c:axId val="577827584"/>
      </c:barChart>
      <c:catAx>
        <c:axId val="577827192"/>
        <c:scaling>
          <c:orientation val="minMax"/>
        </c:scaling>
        <c:delete val="0"/>
        <c:axPos val="b"/>
        <c:majorTickMark val="out"/>
        <c:minorTickMark val="none"/>
        <c:tickLblPos val="nextTo"/>
        <c:crossAx val="577827584"/>
        <c:crosses val="autoZero"/>
        <c:auto val="1"/>
        <c:lblAlgn val="ctr"/>
        <c:lblOffset val="100"/>
        <c:noMultiLvlLbl val="0"/>
      </c:catAx>
      <c:valAx>
        <c:axId val="57782758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577827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BookData!$B$3:$B$77</c:f>
              <c:numCache>
                <c:formatCode>0</c:formatCode>
                <c:ptCount val="75"/>
                <c:pt idx="0">
                  <c:v>495</c:v>
                </c:pt>
                <c:pt idx="1">
                  <c:v>204</c:v>
                </c:pt>
                <c:pt idx="2">
                  <c:v>318</c:v>
                </c:pt>
                <c:pt idx="3">
                  <c:v>802</c:v>
                </c:pt>
                <c:pt idx="4">
                  <c:v>446</c:v>
                </c:pt>
                <c:pt idx="5">
                  <c:v>568</c:v>
                </c:pt>
                <c:pt idx="6">
                  <c:v>372</c:v>
                </c:pt>
                <c:pt idx="7">
                  <c:v>281</c:v>
                </c:pt>
                <c:pt idx="8">
                  <c:v>676</c:v>
                </c:pt>
                <c:pt idx="9">
                  <c:v>755</c:v>
                </c:pt>
                <c:pt idx="10">
                  <c:v>503</c:v>
                </c:pt>
                <c:pt idx="11">
                  <c:v>511</c:v>
                </c:pt>
                <c:pt idx="12">
                  <c:v>229</c:v>
                </c:pt>
                <c:pt idx="13">
                  <c:v>439</c:v>
                </c:pt>
                <c:pt idx="14">
                  <c:v>412</c:v>
                </c:pt>
                <c:pt idx="15">
                  <c:v>775</c:v>
                </c:pt>
                <c:pt idx="16">
                  <c:v>330</c:v>
                </c:pt>
                <c:pt idx="17">
                  <c:v>289</c:v>
                </c:pt>
                <c:pt idx="18">
                  <c:v>1045</c:v>
                </c:pt>
                <c:pt idx="19">
                  <c:v>348</c:v>
                </c:pt>
                <c:pt idx="20">
                  <c:v>249</c:v>
                </c:pt>
                <c:pt idx="21">
                  <c:v>218</c:v>
                </c:pt>
                <c:pt idx="22">
                  <c:v>603</c:v>
                </c:pt>
                <c:pt idx="23">
                  <c:v>412</c:v>
                </c:pt>
                <c:pt idx="24">
                  <c:v>608</c:v>
                </c:pt>
                <c:pt idx="25">
                  <c:v>540</c:v>
                </c:pt>
                <c:pt idx="26">
                  <c:v>744</c:v>
                </c:pt>
                <c:pt idx="27">
                  <c:v>465</c:v>
                </c:pt>
                <c:pt idx="28">
                  <c:v>577</c:v>
                </c:pt>
                <c:pt idx="29">
                  <c:v>576</c:v>
                </c:pt>
                <c:pt idx="30">
                  <c:v>681</c:v>
                </c:pt>
                <c:pt idx="31">
                  <c:v>842</c:v>
                </c:pt>
                <c:pt idx="32">
                  <c:v>256</c:v>
                </c:pt>
                <c:pt idx="33">
                  <c:v>851</c:v>
                </c:pt>
                <c:pt idx="34">
                  <c:v>273</c:v>
                </c:pt>
                <c:pt idx="35">
                  <c:v>856</c:v>
                </c:pt>
                <c:pt idx="36">
                  <c:v>532</c:v>
                </c:pt>
                <c:pt idx="37">
                  <c:v>508</c:v>
                </c:pt>
                <c:pt idx="38">
                  <c:v>434</c:v>
                </c:pt>
                <c:pt idx="39">
                  <c:v>597</c:v>
                </c:pt>
                <c:pt idx="40">
                  <c:v>315</c:v>
                </c:pt>
                <c:pt idx="41">
                  <c:v>1045</c:v>
                </c:pt>
                <c:pt idx="42">
                  <c:v>370</c:v>
                </c:pt>
                <c:pt idx="43">
                  <c:v>354</c:v>
                </c:pt>
                <c:pt idx="44">
                  <c:v>500</c:v>
                </c:pt>
                <c:pt idx="45">
                  <c:v>520</c:v>
                </c:pt>
                <c:pt idx="46">
                  <c:v>356</c:v>
                </c:pt>
                <c:pt idx="47">
                  <c:v>572</c:v>
                </c:pt>
                <c:pt idx="48">
                  <c:v>514</c:v>
                </c:pt>
                <c:pt idx="49">
                  <c:v>842</c:v>
                </c:pt>
                <c:pt idx="50">
                  <c:v>176</c:v>
                </c:pt>
                <c:pt idx="51">
                  <c:v>730</c:v>
                </c:pt>
                <c:pt idx="52">
                  <c:v>377</c:v>
                </c:pt>
                <c:pt idx="53">
                  <c:v>866</c:v>
                </c:pt>
                <c:pt idx="54">
                  <c:v>939</c:v>
                </c:pt>
                <c:pt idx="55">
                  <c:v>926</c:v>
                </c:pt>
                <c:pt idx="56">
                  <c:v>229</c:v>
                </c:pt>
                <c:pt idx="57">
                  <c:v>304</c:v>
                </c:pt>
                <c:pt idx="58">
                  <c:v>450</c:v>
                </c:pt>
                <c:pt idx="59">
                  <c:v>843</c:v>
                </c:pt>
                <c:pt idx="60">
                  <c:v>1330</c:v>
                </c:pt>
                <c:pt idx="61">
                  <c:v>455</c:v>
                </c:pt>
                <c:pt idx="62">
                  <c:v>359</c:v>
                </c:pt>
                <c:pt idx="63">
                  <c:v>1133</c:v>
                </c:pt>
                <c:pt idx="64">
                  <c:v>710</c:v>
                </c:pt>
                <c:pt idx="65">
                  <c:v>719</c:v>
                </c:pt>
                <c:pt idx="66">
                  <c:v>346</c:v>
                </c:pt>
                <c:pt idx="67">
                  <c:v>511</c:v>
                </c:pt>
                <c:pt idx="68">
                  <c:v>718</c:v>
                </c:pt>
                <c:pt idx="69">
                  <c:v>381</c:v>
                </c:pt>
                <c:pt idx="70">
                  <c:v>529</c:v>
                </c:pt>
                <c:pt idx="71">
                  <c:v>227</c:v>
                </c:pt>
                <c:pt idx="72">
                  <c:v>612</c:v>
                </c:pt>
                <c:pt idx="73">
                  <c:v>836</c:v>
                </c:pt>
                <c:pt idx="74">
                  <c:v>511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59-437F-930B-8D0ECDDB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828368"/>
        <c:axId val="577828760"/>
      </c:scatterChart>
      <c:valAx>
        <c:axId val="577828368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577828760"/>
        <c:crosses val="autoZero"/>
        <c:crossBetween val="midCat"/>
      </c:valAx>
      <c:valAx>
        <c:axId val="5778287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7828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BookData!$C$3:$C$77</c:f>
              <c:numCache>
                <c:formatCode>0</c:formatCode>
                <c:ptCount val="75"/>
                <c:pt idx="0">
                  <c:v>176</c:v>
                </c:pt>
                <c:pt idx="1">
                  <c:v>204</c:v>
                </c:pt>
                <c:pt idx="2">
                  <c:v>218</c:v>
                </c:pt>
                <c:pt idx="3">
                  <c:v>439</c:v>
                </c:pt>
                <c:pt idx="4">
                  <c:v>229</c:v>
                </c:pt>
                <c:pt idx="5">
                  <c:v>249</c:v>
                </c:pt>
                <c:pt idx="6">
                  <c:v>227</c:v>
                </c:pt>
                <c:pt idx="7">
                  <c:v>256</c:v>
                </c:pt>
                <c:pt idx="8">
                  <c:v>304</c:v>
                </c:pt>
                <c:pt idx="9">
                  <c:v>354</c:v>
                </c:pt>
                <c:pt idx="10">
                  <c:v>289</c:v>
                </c:pt>
                <c:pt idx="11">
                  <c:v>273</c:v>
                </c:pt>
                <c:pt idx="12">
                  <c:v>315</c:v>
                </c:pt>
                <c:pt idx="13">
                  <c:v>346</c:v>
                </c:pt>
                <c:pt idx="14">
                  <c:v>318</c:v>
                </c:pt>
                <c:pt idx="15">
                  <c:v>330</c:v>
                </c:pt>
                <c:pt idx="16">
                  <c:v>359</c:v>
                </c:pt>
                <c:pt idx="17">
                  <c:v>370</c:v>
                </c:pt>
                <c:pt idx="18">
                  <c:v>348</c:v>
                </c:pt>
                <c:pt idx="19">
                  <c:v>281</c:v>
                </c:pt>
                <c:pt idx="20">
                  <c:v>356</c:v>
                </c:pt>
                <c:pt idx="21">
                  <c:v>372</c:v>
                </c:pt>
                <c:pt idx="22">
                  <c:v>377</c:v>
                </c:pt>
                <c:pt idx="23">
                  <c:v>412</c:v>
                </c:pt>
                <c:pt idx="24">
                  <c:v>503</c:v>
                </c:pt>
                <c:pt idx="25">
                  <c:v>381</c:v>
                </c:pt>
                <c:pt idx="26">
                  <c:v>434</c:v>
                </c:pt>
                <c:pt idx="27">
                  <c:v>229</c:v>
                </c:pt>
                <c:pt idx="28">
                  <c:v>446</c:v>
                </c:pt>
                <c:pt idx="29">
                  <c:v>450</c:v>
                </c:pt>
                <c:pt idx="30">
                  <c:v>455</c:v>
                </c:pt>
                <c:pt idx="31">
                  <c:v>465</c:v>
                </c:pt>
                <c:pt idx="32">
                  <c:v>495</c:v>
                </c:pt>
                <c:pt idx="33">
                  <c:v>500</c:v>
                </c:pt>
                <c:pt idx="34">
                  <c:v>412</c:v>
                </c:pt>
                <c:pt idx="35">
                  <c:v>508</c:v>
                </c:pt>
                <c:pt idx="36">
                  <c:v>511</c:v>
                </c:pt>
                <c:pt idx="37">
                  <c:v>612</c:v>
                </c:pt>
                <c:pt idx="38">
                  <c:v>511</c:v>
                </c:pt>
                <c:pt idx="39">
                  <c:v>514</c:v>
                </c:pt>
                <c:pt idx="40">
                  <c:v>520</c:v>
                </c:pt>
                <c:pt idx="41">
                  <c:v>710</c:v>
                </c:pt>
                <c:pt idx="42">
                  <c:v>532</c:v>
                </c:pt>
                <c:pt idx="43">
                  <c:v>540</c:v>
                </c:pt>
                <c:pt idx="44">
                  <c:v>568</c:v>
                </c:pt>
                <c:pt idx="45">
                  <c:v>572</c:v>
                </c:pt>
                <c:pt idx="46">
                  <c:v>576</c:v>
                </c:pt>
                <c:pt idx="47">
                  <c:v>577</c:v>
                </c:pt>
                <c:pt idx="48">
                  <c:v>836</c:v>
                </c:pt>
                <c:pt idx="49">
                  <c:v>603</c:v>
                </c:pt>
                <c:pt idx="50">
                  <c:v>608</c:v>
                </c:pt>
                <c:pt idx="51">
                  <c:v>511</c:v>
                </c:pt>
                <c:pt idx="52">
                  <c:v>676</c:v>
                </c:pt>
                <c:pt idx="53">
                  <c:v>681</c:v>
                </c:pt>
                <c:pt idx="54">
                  <c:v>529</c:v>
                </c:pt>
                <c:pt idx="55">
                  <c:v>718</c:v>
                </c:pt>
                <c:pt idx="56">
                  <c:v>719</c:v>
                </c:pt>
                <c:pt idx="57">
                  <c:v>730</c:v>
                </c:pt>
                <c:pt idx="58">
                  <c:v>866</c:v>
                </c:pt>
                <c:pt idx="59">
                  <c:v>755</c:v>
                </c:pt>
                <c:pt idx="60">
                  <c:v>775</c:v>
                </c:pt>
                <c:pt idx="61">
                  <c:v>802</c:v>
                </c:pt>
                <c:pt idx="62">
                  <c:v>597</c:v>
                </c:pt>
                <c:pt idx="63">
                  <c:v>842</c:v>
                </c:pt>
                <c:pt idx="64">
                  <c:v>851</c:v>
                </c:pt>
                <c:pt idx="65">
                  <c:v>843</c:v>
                </c:pt>
                <c:pt idx="66">
                  <c:v>842</c:v>
                </c:pt>
                <c:pt idx="67">
                  <c:v>856</c:v>
                </c:pt>
                <c:pt idx="68">
                  <c:v>744</c:v>
                </c:pt>
                <c:pt idx="69">
                  <c:v>926</c:v>
                </c:pt>
                <c:pt idx="70">
                  <c:v>939</c:v>
                </c:pt>
                <c:pt idx="71">
                  <c:v>1045</c:v>
                </c:pt>
                <c:pt idx="72">
                  <c:v>1330</c:v>
                </c:pt>
                <c:pt idx="73">
                  <c:v>1133</c:v>
                </c:pt>
                <c:pt idx="74">
                  <c:v>1045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6A-4625-BC05-91AE3EF7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829544"/>
        <c:axId val="577829936"/>
      </c:scatterChart>
      <c:valAx>
        <c:axId val="577829544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577829936"/>
        <c:crosses val="autoZero"/>
        <c:crossBetween val="midCat"/>
      </c:valAx>
      <c:valAx>
        <c:axId val="5778299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7829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2000 - 3000</c:v>
                </c:pt>
                <c:pt idx="1">
                  <c:v>3000 - 4000</c:v>
                </c:pt>
                <c:pt idx="2">
                  <c:v>4000 - 5000</c:v>
                </c:pt>
                <c:pt idx="3">
                  <c:v>5000 - 6000</c:v>
                </c:pt>
                <c:pt idx="4">
                  <c:v>6000 - 7000</c:v>
                </c:pt>
                <c:pt idx="5">
                  <c:v>7000 - 8000</c:v>
                </c:pt>
                <c:pt idx="6">
                  <c:v>8000 - 9000</c:v>
                </c:pt>
                <c:pt idx="7">
                  <c:v>9000 - 10000</c:v>
                </c:pt>
                <c:pt idx="8">
                  <c:v>10000 - 11000</c:v>
                </c:pt>
                <c:pt idx="9">
                  <c:v>11000 - 12000</c:v>
                </c:pt>
                <c:pt idx="10">
                  <c:v>12000 - 13000</c:v>
                </c:pt>
                <c:pt idx="11">
                  <c:v>13000 - 14000</c:v>
                </c:pt>
                <c:pt idx="12">
                  <c:v>14000 - 15000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9.3333333333333338E-2</c:v>
                </c:pt>
                <c:pt idx="1">
                  <c:v>9.3333333333333338E-2</c:v>
                </c:pt>
                <c:pt idx="2">
                  <c:v>0.10666666666666667</c:v>
                </c:pt>
                <c:pt idx="3">
                  <c:v>6.6666666666666666E-2</c:v>
                </c:pt>
                <c:pt idx="4">
                  <c:v>0.12</c:v>
                </c:pt>
                <c:pt idx="5">
                  <c:v>9.3333333333333338E-2</c:v>
                </c:pt>
                <c:pt idx="6">
                  <c:v>0.10666666666666667</c:v>
                </c:pt>
                <c:pt idx="7">
                  <c:v>0.14666666666666667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0.04</c:v>
                </c:pt>
                <c:pt idx="11">
                  <c:v>1.3333333333333334E-2</c:v>
                </c:pt>
                <c:pt idx="12">
                  <c:v>2.6666666666666668E-2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2183872"/>
        <c:axId val="242184264"/>
      </c:barChart>
      <c:catAx>
        <c:axId val="2421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184264"/>
        <c:crosses val="autoZero"/>
        <c:auto val="1"/>
        <c:lblAlgn val="ctr"/>
        <c:lblOffset val="100"/>
        <c:noMultiLvlLbl val="0"/>
      </c:catAx>
      <c:valAx>
        <c:axId val="24218426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242183872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BookData!$D$3:$D$77</c:f>
              <c:numCache>
                <c:formatCode>0</c:formatCode>
                <c:ptCount val="75"/>
                <c:pt idx="0">
                  <c:v>346</c:v>
                </c:pt>
                <c:pt idx="1">
                  <c:v>775</c:v>
                </c:pt>
                <c:pt idx="2">
                  <c:v>572</c:v>
                </c:pt>
                <c:pt idx="3">
                  <c:v>455</c:v>
                </c:pt>
                <c:pt idx="4">
                  <c:v>176</c:v>
                </c:pt>
                <c:pt idx="5">
                  <c:v>412</c:v>
                </c:pt>
                <c:pt idx="6">
                  <c:v>926</c:v>
                </c:pt>
                <c:pt idx="7">
                  <c:v>710</c:v>
                </c:pt>
                <c:pt idx="8">
                  <c:v>514</c:v>
                </c:pt>
                <c:pt idx="9">
                  <c:v>281</c:v>
                </c:pt>
                <c:pt idx="10">
                  <c:v>412</c:v>
                </c:pt>
                <c:pt idx="11">
                  <c:v>939</c:v>
                </c:pt>
                <c:pt idx="12">
                  <c:v>718</c:v>
                </c:pt>
                <c:pt idx="13">
                  <c:v>520</c:v>
                </c:pt>
                <c:pt idx="14">
                  <c:v>289</c:v>
                </c:pt>
                <c:pt idx="15">
                  <c:v>434</c:v>
                </c:pt>
                <c:pt idx="16">
                  <c:v>1045</c:v>
                </c:pt>
                <c:pt idx="17">
                  <c:v>719</c:v>
                </c:pt>
                <c:pt idx="18">
                  <c:v>529</c:v>
                </c:pt>
                <c:pt idx="19">
                  <c:v>304</c:v>
                </c:pt>
                <c:pt idx="20">
                  <c:v>439</c:v>
                </c:pt>
                <c:pt idx="21">
                  <c:v>1045</c:v>
                </c:pt>
                <c:pt idx="22">
                  <c:v>730</c:v>
                </c:pt>
                <c:pt idx="23">
                  <c:v>532</c:v>
                </c:pt>
                <c:pt idx="24">
                  <c:v>315</c:v>
                </c:pt>
                <c:pt idx="25">
                  <c:v>446</c:v>
                </c:pt>
                <c:pt idx="26">
                  <c:v>1133</c:v>
                </c:pt>
                <c:pt idx="27">
                  <c:v>744</c:v>
                </c:pt>
                <c:pt idx="28">
                  <c:v>540</c:v>
                </c:pt>
                <c:pt idx="29">
                  <c:v>318</c:v>
                </c:pt>
                <c:pt idx="30">
                  <c:v>450</c:v>
                </c:pt>
                <c:pt idx="31">
                  <c:v>1330</c:v>
                </c:pt>
                <c:pt idx="32">
                  <c:v>755</c:v>
                </c:pt>
                <c:pt idx="33">
                  <c:v>568</c:v>
                </c:pt>
                <c:pt idx="34">
                  <c:v>330</c:v>
                </c:pt>
                <c:pt idx="35">
                  <c:v>348</c:v>
                </c:pt>
                <c:pt idx="36">
                  <c:v>802</c:v>
                </c:pt>
                <c:pt idx="37">
                  <c:v>576</c:v>
                </c:pt>
                <c:pt idx="38">
                  <c:v>465</c:v>
                </c:pt>
                <c:pt idx="39">
                  <c:v>204</c:v>
                </c:pt>
                <c:pt idx="40">
                  <c:v>354</c:v>
                </c:pt>
                <c:pt idx="41">
                  <c:v>836</c:v>
                </c:pt>
                <c:pt idx="42">
                  <c:v>577</c:v>
                </c:pt>
                <c:pt idx="43">
                  <c:v>495</c:v>
                </c:pt>
                <c:pt idx="44">
                  <c:v>218</c:v>
                </c:pt>
                <c:pt idx="45">
                  <c:v>356</c:v>
                </c:pt>
                <c:pt idx="46">
                  <c:v>842</c:v>
                </c:pt>
                <c:pt idx="47">
                  <c:v>597</c:v>
                </c:pt>
                <c:pt idx="48">
                  <c:v>500</c:v>
                </c:pt>
                <c:pt idx="49">
                  <c:v>227</c:v>
                </c:pt>
                <c:pt idx="50">
                  <c:v>359</c:v>
                </c:pt>
                <c:pt idx="51">
                  <c:v>842</c:v>
                </c:pt>
                <c:pt idx="52">
                  <c:v>603</c:v>
                </c:pt>
                <c:pt idx="53">
                  <c:v>503</c:v>
                </c:pt>
                <c:pt idx="54">
                  <c:v>229</c:v>
                </c:pt>
                <c:pt idx="55">
                  <c:v>370</c:v>
                </c:pt>
                <c:pt idx="56">
                  <c:v>843</c:v>
                </c:pt>
                <c:pt idx="57">
                  <c:v>608</c:v>
                </c:pt>
                <c:pt idx="58">
                  <c:v>508</c:v>
                </c:pt>
                <c:pt idx="59">
                  <c:v>229</c:v>
                </c:pt>
                <c:pt idx="60">
                  <c:v>372</c:v>
                </c:pt>
                <c:pt idx="61">
                  <c:v>851</c:v>
                </c:pt>
                <c:pt idx="62">
                  <c:v>612</c:v>
                </c:pt>
                <c:pt idx="63">
                  <c:v>511</c:v>
                </c:pt>
                <c:pt idx="64">
                  <c:v>249</c:v>
                </c:pt>
                <c:pt idx="65">
                  <c:v>377</c:v>
                </c:pt>
                <c:pt idx="66">
                  <c:v>856</c:v>
                </c:pt>
                <c:pt idx="67">
                  <c:v>676</c:v>
                </c:pt>
                <c:pt idx="68">
                  <c:v>511</c:v>
                </c:pt>
                <c:pt idx="69">
                  <c:v>256</c:v>
                </c:pt>
                <c:pt idx="70">
                  <c:v>381</c:v>
                </c:pt>
                <c:pt idx="71">
                  <c:v>866</c:v>
                </c:pt>
                <c:pt idx="72">
                  <c:v>681</c:v>
                </c:pt>
                <c:pt idx="73">
                  <c:v>511</c:v>
                </c:pt>
                <c:pt idx="74">
                  <c:v>273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A4-4FCA-B067-77B36B99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830720"/>
        <c:axId val="577831112"/>
      </c:scatterChart>
      <c:valAx>
        <c:axId val="577830720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577831112"/>
        <c:crosses val="autoZero"/>
        <c:crossBetween val="midCat"/>
      </c:valAx>
      <c:valAx>
        <c:axId val="5778311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7830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2000 - 3000</c:v>
                </c:pt>
                <c:pt idx="1">
                  <c:v>3000 - 4000</c:v>
                </c:pt>
                <c:pt idx="2">
                  <c:v>4000 - 5000</c:v>
                </c:pt>
                <c:pt idx="3">
                  <c:v>5000 - 6000</c:v>
                </c:pt>
                <c:pt idx="4">
                  <c:v>6000 - 7000</c:v>
                </c:pt>
                <c:pt idx="5">
                  <c:v>7000 - 8000</c:v>
                </c:pt>
                <c:pt idx="6">
                  <c:v>8000 - 9000</c:v>
                </c:pt>
                <c:pt idx="7">
                  <c:v>9000 - 10000</c:v>
                </c:pt>
                <c:pt idx="8">
                  <c:v>10000 - 11000</c:v>
                </c:pt>
                <c:pt idx="9">
                  <c:v>11000 - 12000</c:v>
                </c:pt>
                <c:pt idx="10">
                  <c:v>12000 - 13000</c:v>
                </c:pt>
                <c:pt idx="11">
                  <c:v>13000 - 14000</c:v>
                </c:pt>
                <c:pt idx="12">
                  <c:v>14000 - 15000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9.3333333333333338E-2</c:v>
                </c:pt>
                <c:pt idx="1">
                  <c:v>9.3333333333333338E-2</c:v>
                </c:pt>
                <c:pt idx="2">
                  <c:v>0.10666666666666667</c:v>
                </c:pt>
                <c:pt idx="3">
                  <c:v>6.6666666666666666E-2</c:v>
                </c:pt>
                <c:pt idx="4">
                  <c:v>0.12</c:v>
                </c:pt>
                <c:pt idx="5">
                  <c:v>9.3333333333333338E-2</c:v>
                </c:pt>
                <c:pt idx="6">
                  <c:v>0.10666666666666667</c:v>
                </c:pt>
                <c:pt idx="7">
                  <c:v>0.14666666666666667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0.04</c:v>
                </c:pt>
                <c:pt idx="11">
                  <c:v>1.3333333333333334E-2</c:v>
                </c:pt>
                <c:pt idx="12">
                  <c:v>2.6666666666666668E-2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2185048"/>
        <c:axId val="241698928"/>
      </c:barChart>
      <c:catAx>
        <c:axId val="24218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698928"/>
        <c:crosses val="autoZero"/>
        <c:auto val="1"/>
        <c:lblAlgn val="ctr"/>
        <c:lblOffset val="100"/>
        <c:noMultiLvlLbl val="0"/>
      </c:catAx>
      <c:valAx>
        <c:axId val="24169892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24218504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'0.ArdiData'!$B$3:$B$77</c:f>
              <c:numCache>
                <c:formatCode>General</c:formatCode>
                <c:ptCount val="75"/>
                <c:pt idx="0">
                  <c:v>6743</c:v>
                </c:pt>
                <c:pt idx="1">
                  <c:v>11762</c:v>
                </c:pt>
                <c:pt idx="2">
                  <c:v>5673</c:v>
                </c:pt>
                <c:pt idx="3">
                  <c:v>9336</c:v>
                </c:pt>
                <c:pt idx="4">
                  <c:v>6534</c:v>
                </c:pt>
                <c:pt idx="5">
                  <c:v>3745</c:v>
                </c:pt>
                <c:pt idx="6">
                  <c:v>2054</c:v>
                </c:pt>
                <c:pt idx="7">
                  <c:v>6164</c:v>
                </c:pt>
                <c:pt idx="8">
                  <c:v>7138</c:v>
                </c:pt>
                <c:pt idx="9">
                  <c:v>7961</c:v>
                </c:pt>
                <c:pt idx="10">
                  <c:v>12353</c:v>
                </c:pt>
                <c:pt idx="11">
                  <c:v>8292</c:v>
                </c:pt>
                <c:pt idx="12">
                  <c:v>4337</c:v>
                </c:pt>
                <c:pt idx="13">
                  <c:v>9053</c:v>
                </c:pt>
                <c:pt idx="14">
                  <c:v>4415</c:v>
                </c:pt>
                <c:pt idx="15">
                  <c:v>3647</c:v>
                </c:pt>
                <c:pt idx="16">
                  <c:v>8573</c:v>
                </c:pt>
                <c:pt idx="17">
                  <c:v>3259</c:v>
                </c:pt>
                <c:pt idx="18">
                  <c:v>5752</c:v>
                </c:pt>
                <c:pt idx="19">
                  <c:v>11587</c:v>
                </c:pt>
                <c:pt idx="20">
                  <c:v>6380</c:v>
                </c:pt>
                <c:pt idx="21">
                  <c:v>3853</c:v>
                </c:pt>
                <c:pt idx="22">
                  <c:v>8304</c:v>
                </c:pt>
                <c:pt idx="23">
                  <c:v>6415</c:v>
                </c:pt>
                <c:pt idx="24">
                  <c:v>13010</c:v>
                </c:pt>
                <c:pt idx="25">
                  <c:v>8870</c:v>
                </c:pt>
                <c:pt idx="26">
                  <c:v>12147</c:v>
                </c:pt>
                <c:pt idx="27">
                  <c:v>6098</c:v>
                </c:pt>
                <c:pt idx="28">
                  <c:v>8430</c:v>
                </c:pt>
                <c:pt idx="29">
                  <c:v>4579</c:v>
                </c:pt>
                <c:pt idx="30">
                  <c:v>10910</c:v>
                </c:pt>
                <c:pt idx="31">
                  <c:v>2134</c:v>
                </c:pt>
                <c:pt idx="32">
                  <c:v>6002</c:v>
                </c:pt>
                <c:pt idx="33">
                  <c:v>4858</c:v>
                </c:pt>
                <c:pt idx="34">
                  <c:v>9321</c:v>
                </c:pt>
                <c:pt idx="35">
                  <c:v>14638</c:v>
                </c:pt>
                <c:pt idx="36">
                  <c:v>10495</c:v>
                </c:pt>
                <c:pt idx="37">
                  <c:v>7380</c:v>
                </c:pt>
                <c:pt idx="38">
                  <c:v>9842</c:v>
                </c:pt>
                <c:pt idx="39">
                  <c:v>6703</c:v>
                </c:pt>
                <c:pt idx="40">
                  <c:v>9763</c:v>
                </c:pt>
                <c:pt idx="41">
                  <c:v>4135</c:v>
                </c:pt>
                <c:pt idx="42">
                  <c:v>12619</c:v>
                </c:pt>
                <c:pt idx="43">
                  <c:v>2889</c:v>
                </c:pt>
                <c:pt idx="44">
                  <c:v>2809</c:v>
                </c:pt>
                <c:pt idx="45">
                  <c:v>9974</c:v>
                </c:pt>
                <c:pt idx="46">
                  <c:v>9912</c:v>
                </c:pt>
                <c:pt idx="47">
                  <c:v>4187</c:v>
                </c:pt>
                <c:pt idx="48">
                  <c:v>8241</c:v>
                </c:pt>
                <c:pt idx="49">
                  <c:v>3248</c:v>
                </c:pt>
                <c:pt idx="50">
                  <c:v>7390</c:v>
                </c:pt>
                <c:pt idx="51">
                  <c:v>5450</c:v>
                </c:pt>
                <c:pt idx="52">
                  <c:v>4989</c:v>
                </c:pt>
                <c:pt idx="53">
                  <c:v>10226</c:v>
                </c:pt>
                <c:pt idx="54">
                  <c:v>9777</c:v>
                </c:pt>
                <c:pt idx="55">
                  <c:v>2665</c:v>
                </c:pt>
                <c:pt idx="56">
                  <c:v>7222</c:v>
                </c:pt>
                <c:pt idx="57">
                  <c:v>7733</c:v>
                </c:pt>
                <c:pt idx="58">
                  <c:v>9172</c:v>
                </c:pt>
                <c:pt idx="59">
                  <c:v>2233</c:v>
                </c:pt>
                <c:pt idx="60">
                  <c:v>10191</c:v>
                </c:pt>
                <c:pt idx="61">
                  <c:v>5953</c:v>
                </c:pt>
                <c:pt idx="62">
                  <c:v>2546</c:v>
                </c:pt>
                <c:pt idx="63">
                  <c:v>3971</c:v>
                </c:pt>
                <c:pt idx="64">
                  <c:v>8034</c:v>
                </c:pt>
                <c:pt idx="65">
                  <c:v>9990</c:v>
                </c:pt>
                <c:pt idx="66">
                  <c:v>6993</c:v>
                </c:pt>
                <c:pt idx="67">
                  <c:v>14082</c:v>
                </c:pt>
                <c:pt idx="68">
                  <c:v>10419</c:v>
                </c:pt>
                <c:pt idx="69">
                  <c:v>8465</c:v>
                </c:pt>
                <c:pt idx="70">
                  <c:v>4729</c:v>
                </c:pt>
                <c:pt idx="71">
                  <c:v>7169</c:v>
                </c:pt>
                <c:pt idx="72">
                  <c:v>9730</c:v>
                </c:pt>
                <c:pt idx="73">
                  <c:v>5612</c:v>
                </c:pt>
                <c:pt idx="74">
                  <c:v>3009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21-4F0E-9A48-E4C386973E8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99712"/>
        <c:axId val="241700104"/>
      </c:scatterChart>
      <c:valAx>
        <c:axId val="241699712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241700104"/>
        <c:crosses val="autoZero"/>
        <c:crossBetween val="midCat"/>
      </c:valAx>
      <c:valAx>
        <c:axId val="241700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1699712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'0.ArdiData'!$C$3:$C$77</c:f>
              <c:numCache>
                <c:formatCode>General</c:formatCode>
                <c:ptCount val="75"/>
                <c:pt idx="0">
                  <c:v>2054</c:v>
                </c:pt>
                <c:pt idx="1">
                  <c:v>2134</c:v>
                </c:pt>
                <c:pt idx="2">
                  <c:v>2233</c:v>
                </c:pt>
                <c:pt idx="3">
                  <c:v>2546</c:v>
                </c:pt>
                <c:pt idx="4">
                  <c:v>2665</c:v>
                </c:pt>
                <c:pt idx="5">
                  <c:v>2809</c:v>
                </c:pt>
                <c:pt idx="6">
                  <c:v>3009</c:v>
                </c:pt>
                <c:pt idx="7">
                  <c:v>2889</c:v>
                </c:pt>
                <c:pt idx="8">
                  <c:v>3745</c:v>
                </c:pt>
                <c:pt idx="9">
                  <c:v>3248</c:v>
                </c:pt>
                <c:pt idx="10">
                  <c:v>3259</c:v>
                </c:pt>
                <c:pt idx="11">
                  <c:v>3647</c:v>
                </c:pt>
                <c:pt idx="12">
                  <c:v>3971</c:v>
                </c:pt>
                <c:pt idx="13">
                  <c:v>4187</c:v>
                </c:pt>
                <c:pt idx="14">
                  <c:v>4415</c:v>
                </c:pt>
                <c:pt idx="15">
                  <c:v>3853</c:v>
                </c:pt>
                <c:pt idx="16">
                  <c:v>4337</c:v>
                </c:pt>
                <c:pt idx="17">
                  <c:v>4135</c:v>
                </c:pt>
                <c:pt idx="18">
                  <c:v>4579</c:v>
                </c:pt>
                <c:pt idx="19">
                  <c:v>4729</c:v>
                </c:pt>
                <c:pt idx="20">
                  <c:v>5612</c:v>
                </c:pt>
                <c:pt idx="21">
                  <c:v>4989</c:v>
                </c:pt>
                <c:pt idx="22">
                  <c:v>5450</c:v>
                </c:pt>
                <c:pt idx="23">
                  <c:v>5673</c:v>
                </c:pt>
                <c:pt idx="24">
                  <c:v>4858</c:v>
                </c:pt>
                <c:pt idx="25">
                  <c:v>5953</c:v>
                </c:pt>
                <c:pt idx="26">
                  <c:v>5752</c:v>
                </c:pt>
                <c:pt idx="27">
                  <c:v>6534</c:v>
                </c:pt>
                <c:pt idx="28">
                  <c:v>6703</c:v>
                </c:pt>
                <c:pt idx="29">
                  <c:v>6002</c:v>
                </c:pt>
                <c:pt idx="30">
                  <c:v>6164</c:v>
                </c:pt>
                <c:pt idx="31">
                  <c:v>6098</c:v>
                </c:pt>
                <c:pt idx="32">
                  <c:v>6380</c:v>
                </c:pt>
                <c:pt idx="33">
                  <c:v>6415</c:v>
                </c:pt>
                <c:pt idx="34">
                  <c:v>6743</c:v>
                </c:pt>
                <c:pt idx="35">
                  <c:v>7222</c:v>
                </c:pt>
                <c:pt idx="36">
                  <c:v>6993</c:v>
                </c:pt>
                <c:pt idx="37">
                  <c:v>7138</c:v>
                </c:pt>
                <c:pt idx="38">
                  <c:v>7169</c:v>
                </c:pt>
                <c:pt idx="39">
                  <c:v>7390</c:v>
                </c:pt>
                <c:pt idx="40">
                  <c:v>7380</c:v>
                </c:pt>
                <c:pt idx="41">
                  <c:v>8292</c:v>
                </c:pt>
                <c:pt idx="42">
                  <c:v>8034</c:v>
                </c:pt>
                <c:pt idx="43">
                  <c:v>8241</c:v>
                </c:pt>
                <c:pt idx="44">
                  <c:v>8304</c:v>
                </c:pt>
                <c:pt idx="45">
                  <c:v>8430</c:v>
                </c:pt>
                <c:pt idx="46">
                  <c:v>7733</c:v>
                </c:pt>
                <c:pt idx="47">
                  <c:v>7961</c:v>
                </c:pt>
                <c:pt idx="48">
                  <c:v>8573</c:v>
                </c:pt>
                <c:pt idx="49">
                  <c:v>8465</c:v>
                </c:pt>
                <c:pt idx="50">
                  <c:v>8870</c:v>
                </c:pt>
                <c:pt idx="51">
                  <c:v>9321</c:v>
                </c:pt>
                <c:pt idx="52">
                  <c:v>9172</c:v>
                </c:pt>
                <c:pt idx="53">
                  <c:v>9053</c:v>
                </c:pt>
                <c:pt idx="54">
                  <c:v>9336</c:v>
                </c:pt>
                <c:pt idx="55">
                  <c:v>9730</c:v>
                </c:pt>
                <c:pt idx="56">
                  <c:v>9777</c:v>
                </c:pt>
                <c:pt idx="57">
                  <c:v>9990</c:v>
                </c:pt>
                <c:pt idx="58">
                  <c:v>9763</c:v>
                </c:pt>
                <c:pt idx="59">
                  <c:v>9842</c:v>
                </c:pt>
                <c:pt idx="60">
                  <c:v>9912</c:v>
                </c:pt>
                <c:pt idx="61">
                  <c:v>9974</c:v>
                </c:pt>
                <c:pt idx="62">
                  <c:v>10226</c:v>
                </c:pt>
                <c:pt idx="63">
                  <c:v>10191</c:v>
                </c:pt>
                <c:pt idx="64">
                  <c:v>11587</c:v>
                </c:pt>
                <c:pt idx="65">
                  <c:v>10495</c:v>
                </c:pt>
                <c:pt idx="66">
                  <c:v>10910</c:v>
                </c:pt>
                <c:pt idx="67">
                  <c:v>10419</c:v>
                </c:pt>
                <c:pt idx="68">
                  <c:v>11762</c:v>
                </c:pt>
                <c:pt idx="69">
                  <c:v>12147</c:v>
                </c:pt>
                <c:pt idx="70">
                  <c:v>12619</c:v>
                </c:pt>
                <c:pt idx="71">
                  <c:v>14638</c:v>
                </c:pt>
                <c:pt idx="72">
                  <c:v>12353</c:v>
                </c:pt>
                <c:pt idx="73">
                  <c:v>13010</c:v>
                </c:pt>
                <c:pt idx="74">
                  <c:v>14082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9C-48FB-BF39-FCC8A3AB3FA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1280"/>
        <c:axId val="241701672"/>
      </c:scatterChart>
      <c:valAx>
        <c:axId val="241701280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241701672"/>
        <c:crosses val="autoZero"/>
        <c:crossBetween val="midCat"/>
      </c:valAx>
      <c:valAx>
        <c:axId val="241701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1701280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'0.ArdiData'!$D$3:$D$77</c:f>
              <c:numCache>
                <c:formatCode>General</c:formatCode>
                <c:ptCount val="75"/>
                <c:pt idx="0">
                  <c:v>2054</c:v>
                </c:pt>
                <c:pt idx="1">
                  <c:v>2233</c:v>
                </c:pt>
                <c:pt idx="2">
                  <c:v>2134</c:v>
                </c:pt>
                <c:pt idx="3">
                  <c:v>2546</c:v>
                </c:pt>
                <c:pt idx="4">
                  <c:v>3009</c:v>
                </c:pt>
                <c:pt idx="5">
                  <c:v>2665</c:v>
                </c:pt>
                <c:pt idx="6">
                  <c:v>2809</c:v>
                </c:pt>
                <c:pt idx="7">
                  <c:v>3259</c:v>
                </c:pt>
                <c:pt idx="8">
                  <c:v>3745</c:v>
                </c:pt>
                <c:pt idx="9">
                  <c:v>4135</c:v>
                </c:pt>
                <c:pt idx="10">
                  <c:v>2889</c:v>
                </c:pt>
                <c:pt idx="11">
                  <c:v>3248</c:v>
                </c:pt>
                <c:pt idx="12">
                  <c:v>3647</c:v>
                </c:pt>
                <c:pt idx="13">
                  <c:v>4337</c:v>
                </c:pt>
                <c:pt idx="14">
                  <c:v>4729</c:v>
                </c:pt>
                <c:pt idx="15">
                  <c:v>3853</c:v>
                </c:pt>
                <c:pt idx="16">
                  <c:v>4187</c:v>
                </c:pt>
                <c:pt idx="17">
                  <c:v>4415</c:v>
                </c:pt>
                <c:pt idx="18">
                  <c:v>4989</c:v>
                </c:pt>
                <c:pt idx="19">
                  <c:v>5752</c:v>
                </c:pt>
                <c:pt idx="20">
                  <c:v>3971</c:v>
                </c:pt>
                <c:pt idx="21">
                  <c:v>4579</c:v>
                </c:pt>
                <c:pt idx="22">
                  <c:v>5612</c:v>
                </c:pt>
                <c:pt idx="23">
                  <c:v>5450</c:v>
                </c:pt>
                <c:pt idx="24">
                  <c:v>6534</c:v>
                </c:pt>
                <c:pt idx="25">
                  <c:v>4858</c:v>
                </c:pt>
                <c:pt idx="26">
                  <c:v>5673</c:v>
                </c:pt>
                <c:pt idx="27">
                  <c:v>6380</c:v>
                </c:pt>
                <c:pt idx="28">
                  <c:v>6993</c:v>
                </c:pt>
                <c:pt idx="29">
                  <c:v>7380</c:v>
                </c:pt>
                <c:pt idx="30">
                  <c:v>6002</c:v>
                </c:pt>
                <c:pt idx="31">
                  <c:v>5953</c:v>
                </c:pt>
                <c:pt idx="32">
                  <c:v>7138</c:v>
                </c:pt>
                <c:pt idx="33">
                  <c:v>7222</c:v>
                </c:pt>
                <c:pt idx="34">
                  <c:v>7733</c:v>
                </c:pt>
                <c:pt idx="35">
                  <c:v>6098</c:v>
                </c:pt>
                <c:pt idx="36">
                  <c:v>6164</c:v>
                </c:pt>
                <c:pt idx="37">
                  <c:v>7390</c:v>
                </c:pt>
                <c:pt idx="38">
                  <c:v>7961</c:v>
                </c:pt>
                <c:pt idx="39">
                  <c:v>8430</c:v>
                </c:pt>
                <c:pt idx="40">
                  <c:v>6703</c:v>
                </c:pt>
                <c:pt idx="41">
                  <c:v>8034</c:v>
                </c:pt>
                <c:pt idx="42">
                  <c:v>8465</c:v>
                </c:pt>
                <c:pt idx="43">
                  <c:v>9172</c:v>
                </c:pt>
                <c:pt idx="44">
                  <c:v>9763</c:v>
                </c:pt>
                <c:pt idx="45">
                  <c:v>6415</c:v>
                </c:pt>
                <c:pt idx="46">
                  <c:v>7169</c:v>
                </c:pt>
                <c:pt idx="47">
                  <c:v>9053</c:v>
                </c:pt>
                <c:pt idx="48">
                  <c:v>9777</c:v>
                </c:pt>
                <c:pt idx="49">
                  <c:v>9321</c:v>
                </c:pt>
                <c:pt idx="50">
                  <c:v>6743</c:v>
                </c:pt>
                <c:pt idx="51">
                  <c:v>8292</c:v>
                </c:pt>
                <c:pt idx="52">
                  <c:v>9336</c:v>
                </c:pt>
                <c:pt idx="53">
                  <c:v>9730</c:v>
                </c:pt>
                <c:pt idx="54">
                  <c:v>10191</c:v>
                </c:pt>
                <c:pt idx="55">
                  <c:v>8304</c:v>
                </c:pt>
                <c:pt idx="56">
                  <c:v>8573</c:v>
                </c:pt>
                <c:pt idx="57">
                  <c:v>9912</c:v>
                </c:pt>
                <c:pt idx="58">
                  <c:v>10910</c:v>
                </c:pt>
                <c:pt idx="59">
                  <c:v>11587</c:v>
                </c:pt>
                <c:pt idx="60">
                  <c:v>9990</c:v>
                </c:pt>
                <c:pt idx="61">
                  <c:v>8241</c:v>
                </c:pt>
                <c:pt idx="62">
                  <c:v>8870</c:v>
                </c:pt>
                <c:pt idx="63">
                  <c:v>10495</c:v>
                </c:pt>
                <c:pt idx="64">
                  <c:v>12147</c:v>
                </c:pt>
                <c:pt idx="65">
                  <c:v>9974</c:v>
                </c:pt>
                <c:pt idx="66">
                  <c:v>10226</c:v>
                </c:pt>
                <c:pt idx="67">
                  <c:v>11762</c:v>
                </c:pt>
                <c:pt idx="68">
                  <c:v>12353</c:v>
                </c:pt>
                <c:pt idx="69">
                  <c:v>12619</c:v>
                </c:pt>
                <c:pt idx="70">
                  <c:v>9842</c:v>
                </c:pt>
                <c:pt idx="71">
                  <c:v>10419</c:v>
                </c:pt>
                <c:pt idx="72">
                  <c:v>13010</c:v>
                </c:pt>
                <c:pt idx="73">
                  <c:v>14082</c:v>
                </c:pt>
                <c:pt idx="74">
                  <c:v>14638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71-4362-B8E1-5E34F771C0C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2456"/>
        <c:axId val="241702848"/>
      </c:scatterChart>
      <c:valAx>
        <c:axId val="24170245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241702848"/>
        <c:crosses val="autoZero"/>
        <c:crossBetween val="midCat"/>
      </c:valAx>
      <c:valAx>
        <c:axId val="241702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170245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'1.Regression'!$R$2</c:f>
          <c:strCache>
            <c:ptCount val="1"/>
            <c:pt idx="0">
              <c:v>Regression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'1.Regression'!$C$2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'1.Regression'!$B$3:$B$52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'1.Regression'!$C$3:$C$52</c:f>
              <c:numCache>
                <c:formatCode>General</c:formatCode>
                <c:ptCount val="50"/>
                <c:pt idx="0">
                  <c:v>26</c:v>
                </c:pt>
                <c:pt idx="1">
                  <c:v>22</c:v>
                </c:pt>
                <c:pt idx="2">
                  <c:v>11</c:v>
                </c:pt>
                <c:pt idx="3">
                  <c:v>3</c:v>
                </c:pt>
                <c:pt idx="4">
                  <c:v>28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32</c:v>
                </c:pt>
                <c:pt idx="9">
                  <c:v>41</c:v>
                </c:pt>
                <c:pt idx="10">
                  <c:v>9</c:v>
                </c:pt>
                <c:pt idx="11">
                  <c:v>14</c:v>
                </c:pt>
                <c:pt idx="12">
                  <c:v>35</c:v>
                </c:pt>
                <c:pt idx="13">
                  <c:v>39</c:v>
                </c:pt>
                <c:pt idx="14">
                  <c:v>28</c:v>
                </c:pt>
                <c:pt idx="15">
                  <c:v>19</c:v>
                </c:pt>
                <c:pt idx="16">
                  <c:v>68</c:v>
                </c:pt>
                <c:pt idx="17">
                  <c:v>16</c:v>
                </c:pt>
                <c:pt idx="18">
                  <c:v>27</c:v>
                </c:pt>
                <c:pt idx="19">
                  <c:v>10</c:v>
                </c:pt>
                <c:pt idx="20">
                  <c:v>27</c:v>
                </c:pt>
                <c:pt idx="21">
                  <c:v>38</c:v>
                </c:pt>
                <c:pt idx="22">
                  <c:v>38</c:v>
                </c:pt>
                <c:pt idx="23">
                  <c:v>32</c:v>
                </c:pt>
                <c:pt idx="24">
                  <c:v>36</c:v>
                </c:pt>
                <c:pt idx="25">
                  <c:v>53</c:v>
                </c:pt>
                <c:pt idx="26">
                  <c:v>45</c:v>
                </c:pt>
                <c:pt idx="27">
                  <c:v>23</c:v>
                </c:pt>
                <c:pt idx="28">
                  <c:v>16</c:v>
                </c:pt>
                <c:pt idx="29">
                  <c:v>20</c:v>
                </c:pt>
                <c:pt idx="30">
                  <c:v>29</c:v>
                </c:pt>
                <c:pt idx="31">
                  <c:v>78</c:v>
                </c:pt>
                <c:pt idx="32">
                  <c:v>3</c:v>
                </c:pt>
                <c:pt idx="33">
                  <c:v>31</c:v>
                </c:pt>
                <c:pt idx="34">
                  <c:v>12</c:v>
                </c:pt>
                <c:pt idx="35">
                  <c:v>55</c:v>
                </c:pt>
                <c:pt idx="36">
                  <c:v>20</c:v>
                </c:pt>
                <c:pt idx="37">
                  <c:v>6</c:v>
                </c:pt>
                <c:pt idx="38">
                  <c:v>59</c:v>
                </c:pt>
                <c:pt idx="39">
                  <c:v>51</c:v>
                </c:pt>
                <c:pt idx="40">
                  <c:v>2</c:v>
                </c:pt>
                <c:pt idx="41">
                  <c:v>67</c:v>
                </c:pt>
                <c:pt idx="42">
                  <c:v>65</c:v>
                </c:pt>
                <c:pt idx="43">
                  <c:v>43</c:v>
                </c:pt>
                <c:pt idx="44">
                  <c:v>27</c:v>
                </c:pt>
                <c:pt idx="45">
                  <c:v>31</c:v>
                </c:pt>
                <c:pt idx="46">
                  <c:v>43</c:v>
                </c:pt>
                <c:pt idx="47">
                  <c:v>15</c:v>
                </c:pt>
                <c:pt idx="48">
                  <c:v>37</c:v>
                </c:pt>
                <c:pt idx="49">
                  <c:v>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4D-46A1-AEAF-8263DD15336B}"/>
            </c:ext>
          </c:extLst>
        </c:ser>
        <c:ser>
          <c:idx val="1"/>
          <c:order val="1"/>
          <c:tx>
            <c:strRef>
              <c:f>'1.Regression'!$D$2</c:f>
              <c:strCache>
                <c:ptCount val="1"/>
                <c:pt idx="0">
                  <c:v>Yhat (Reg)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'1.Regression'!$B$3:$B$52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'1.Regression'!$D$3:$D$52</c:f>
              <c:numCache>
                <c:formatCode>0.0</c:formatCode>
                <c:ptCount val="50"/>
                <c:pt idx="0">
                  <c:v>19.818823529411763</c:v>
                </c:pt>
                <c:pt idx="1">
                  <c:v>20.229483793517407</c:v>
                </c:pt>
                <c:pt idx="2">
                  <c:v>20.640144057623047</c:v>
                </c:pt>
                <c:pt idx="3">
                  <c:v>21.050804321728691</c:v>
                </c:pt>
                <c:pt idx="4">
                  <c:v>21.461464585834332</c:v>
                </c:pt>
                <c:pt idx="5">
                  <c:v>21.872124849939976</c:v>
                </c:pt>
                <c:pt idx="6">
                  <c:v>22.282785114045616</c:v>
                </c:pt>
                <c:pt idx="7">
                  <c:v>22.69344537815126</c:v>
                </c:pt>
                <c:pt idx="8">
                  <c:v>23.104105642256901</c:v>
                </c:pt>
                <c:pt idx="9">
                  <c:v>23.514765906362545</c:v>
                </c:pt>
                <c:pt idx="10">
                  <c:v>23.925426170468185</c:v>
                </c:pt>
                <c:pt idx="11">
                  <c:v>24.336086434573829</c:v>
                </c:pt>
                <c:pt idx="12">
                  <c:v>24.74674669867947</c:v>
                </c:pt>
                <c:pt idx="13">
                  <c:v>25.15740696278511</c:v>
                </c:pt>
                <c:pt idx="14">
                  <c:v>25.568067226890754</c:v>
                </c:pt>
                <c:pt idx="15">
                  <c:v>25.978727490996398</c:v>
                </c:pt>
                <c:pt idx="16">
                  <c:v>26.389387755102039</c:v>
                </c:pt>
                <c:pt idx="17">
                  <c:v>26.800048019207679</c:v>
                </c:pt>
                <c:pt idx="18">
                  <c:v>27.210708283313323</c:v>
                </c:pt>
                <c:pt idx="19">
                  <c:v>27.621368547418967</c:v>
                </c:pt>
                <c:pt idx="20">
                  <c:v>28.032028811524608</c:v>
                </c:pt>
                <c:pt idx="21">
                  <c:v>28.442689075630248</c:v>
                </c:pt>
                <c:pt idx="22">
                  <c:v>28.853349339735892</c:v>
                </c:pt>
                <c:pt idx="23">
                  <c:v>29.264009603841533</c:v>
                </c:pt>
                <c:pt idx="24">
                  <c:v>29.674669867947173</c:v>
                </c:pt>
                <c:pt idx="25">
                  <c:v>30.085330132052817</c:v>
                </c:pt>
                <c:pt idx="26">
                  <c:v>30.495990396158462</c:v>
                </c:pt>
                <c:pt idx="27">
                  <c:v>30.906650660264102</c:v>
                </c:pt>
                <c:pt idx="28">
                  <c:v>31.317310924369743</c:v>
                </c:pt>
                <c:pt idx="29">
                  <c:v>31.727971188475387</c:v>
                </c:pt>
                <c:pt idx="30">
                  <c:v>32.138631452581031</c:v>
                </c:pt>
                <c:pt idx="31">
                  <c:v>32.549291716686668</c:v>
                </c:pt>
                <c:pt idx="32">
                  <c:v>32.959951980792312</c:v>
                </c:pt>
                <c:pt idx="33">
                  <c:v>33.370612244897956</c:v>
                </c:pt>
                <c:pt idx="34">
                  <c:v>33.7812725090036</c:v>
                </c:pt>
                <c:pt idx="35">
                  <c:v>34.191932773109244</c:v>
                </c:pt>
                <c:pt idx="36">
                  <c:v>34.602593037214881</c:v>
                </c:pt>
                <c:pt idx="37">
                  <c:v>35.013253301320525</c:v>
                </c:pt>
                <c:pt idx="38">
                  <c:v>35.423913565426162</c:v>
                </c:pt>
                <c:pt idx="39">
                  <c:v>35.834573829531806</c:v>
                </c:pt>
                <c:pt idx="40">
                  <c:v>36.24523409363745</c:v>
                </c:pt>
                <c:pt idx="41">
                  <c:v>36.655894357743094</c:v>
                </c:pt>
                <c:pt idx="42">
                  <c:v>37.066554621848738</c:v>
                </c:pt>
                <c:pt idx="43">
                  <c:v>37.477214885954382</c:v>
                </c:pt>
                <c:pt idx="44">
                  <c:v>37.887875150060019</c:v>
                </c:pt>
                <c:pt idx="45">
                  <c:v>38.298535414165663</c:v>
                </c:pt>
                <c:pt idx="46">
                  <c:v>38.7091956782713</c:v>
                </c:pt>
                <c:pt idx="47">
                  <c:v>39.119855942376944</c:v>
                </c:pt>
                <c:pt idx="48">
                  <c:v>39.530516206482588</c:v>
                </c:pt>
                <c:pt idx="49">
                  <c:v>39.941176470588232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4D-46A1-AEAF-8263DD15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3632"/>
        <c:axId val="241704024"/>
      </c:scatterChart>
      <c:valAx>
        <c:axId val="241703632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04024"/>
        <c:crosses val="autoZero"/>
        <c:crossBetween val="midCat"/>
      </c:valAx>
      <c:valAx>
        <c:axId val="24170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0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'1.Regression'!$C$2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'1.Regression'!$B$3:$B$52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'1.Regression'!$C$3:$C$52</c:f>
              <c:numCache>
                <c:formatCode>General</c:formatCode>
                <c:ptCount val="50"/>
                <c:pt idx="0">
                  <c:v>26</c:v>
                </c:pt>
                <c:pt idx="1">
                  <c:v>22</c:v>
                </c:pt>
                <c:pt idx="2">
                  <c:v>11</c:v>
                </c:pt>
                <c:pt idx="3">
                  <c:v>3</c:v>
                </c:pt>
                <c:pt idx="4">
                  <c:v>28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32</c:v>
                </c:pt>
                <c:pt idx="9">
                  <c:v>41</c:v>
                </c:pt>
                <c:pt idx="10">
                  <c:v>9</c:v>
                </c:pt>
                <c:pt idx="11">
                  <c:v>14</c:v>
                </c:pt>
                <c:pt idx="12">
                  <c:v>35</c:v>
                </c:pt>
                <c:pt idx="13">
                  <c:v>39</c:v>
                </c:pt>
                <c:pt idx="14">
                  <c:v>28</c:v>
                </c:pt>
                <c:pt idx="15">
                  <c:v>19</c:v>
                </c:pt>
                <c:pt idx="16">
                  <c:v>68</c:v>
                </c:pt>
                <c:pt idx="17">
                  <c:v>16</c:v>
                </c:pt>
                <c:pt idx="18">
                  <c:v>27</c:v>
                </c:pt>
                <c:pt idx="19">
                  <c:v>10</c:v>
                </c:pt>
                <c:pt idx="20">
                  <c:v>27</c:v>
                </c:pt>
                <c:pt idx="21">
                  <c:v>38</c:v>
                </c:pt>
                <c:pt idx="22">
                  <c:v>38</c:v>
                </c:pt>
                <c:pt idx="23">
                  <c:v>32</c:v>
                </c:pt>
                <c:pt idx="24">
                  <c:v>36</c:v>
                </c:pt>
                <c:pt idx="25">
                  <c:v>53</c:v>
                </c:pt>
                <c:pt idx="26">
                  <c:v>45</c:v>
                </c:pt>
                <c:pt idx="27">
                  <c:v>23</c:v>
                </c:pt>
                <c:pt idx="28">
                  <c:v>16</c:v>
                </c:pt>
                <c:pt idx="29">
                  <c:v>20</c:v>
                </c:pt>
                <c:pt idx="30">
                  <c:v>29</c:v>
                </c:pt>
                <c:pt idx="31">
                  <c:v>78</c:v>
                </c:pt>
                <c:pt idx="32">
                  <c:v>3</c:v>
                </c:pt>
                <c:pt idx="33">
                  <c:v>31</c:v>
                </c:pt>
                <c:pt idx="34">
                  <c:v>12</c:v>
                </c:pt>
                <c:pt idx="35">
                  <c:v>55</c:v>
                </c:pt>
                <c:pt idx="36">
                  <c:v>20</c:v>
                </c:pt>
                <c:pt idx="37">
                  <c:v>6</c:v>
                </c:pt>
                <c:pt idx="38">
                  <c:v>59</c:v>
                </c:pt>
                <c:pt idx="39">
                  <c:v>51</c:v>
                </c:pt>
                <c:pt idx="40">
                  <c:v>2</c:v>
                </c:pt>
                <c:pt idx="41">
                  <c:v>67</c:v>
                </c:pt>
                <c:pt idx="42">
                  <c:v>65</c:v>
                </c:pt>
                <c:pt idx="43">
                  <c:v>43</c:v>
                </c:pt>
                <c:pt idx="44">
                  <c:v>27</c:v>
                </c:pt>
                <c:pt idx="45">
                  <c:v>31</c:v>
                </c:pt>
                <c:pt idx="46">
                  <c:v>43</c:v>
                </c:pt>
                <c:pt idx="47">
                  <c:v>15</c:v>
                </c:pt>
                <c:pt idx="48">
                  <c:v>37</c:v>
                </c:pt>
                <c:pt idx="49">
                  <c:v>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9A-45A2-BCD4-FDDF8B6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0888"/>
        <c:axId val="241704808"/>
      </c:scatterChart>
      <c:scatterChart>
        <c:scatterStyle val="smoothMarker"/>
        <c:varyColors val="0"/>
        <c:ser>
          <c:idx val="1"/>
          <c:order val="1"/>
          <c:tx>
            <c:strRef>
              <c:f>'1.Regression'!$D$2</c:f>
              <c:strCache>
                <c:ptCount val="1"/>
                <c:pt idx="0">
                  <c:v>Yhat (Reg)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'1.Regression'!$B$3:$B$52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'1.Regression'!$D$3:$D$52</c:f>
              <c:numCache>
                <c:formatCode>0.0</c:formatCode>
                <c:ptCount val="50"/>
                <c:pt idx="0">
                  <c:v>19.818823529411763</c:v>
                </c:pt>
                <c:pt idx="1">
                  <c:v>20.229483793517407</c:v>
                </c:pt>
                <c:pt idx="2">
                  <c:v>20.640144057623047</c:v>
                </c:pt>
                <c:pt idx="3">
                  <c:v>21.050804321728691</c:v>
                </c:pt>
                <c:pt idx="4">
                  <c:v>21.461464585834332</c:v>
                </c:pt>
                <c:pt idx="5">
                  <c:v>21.872124849939976</c:v>
                </c:pt>
                <c:pt idx="6">
                  <c:v>22.282785114045616</c:v>
                </c:pt>
                <c:pt idx="7">
                  <c:v>22.69344537815126</c:v>
                </c:pt>
                <c:pt idx="8">
                  <c:v>23.104105642256901</c:v>
                </c:pt>
                <c:pt idx="9">
                  <c:v>23.514765906362545</c:v>
                </c:pt>
                <c:pt idx="10">
                  <c:v>23.925426170468185</c:v>
                </c:pt>
                <c:pt idx="11">
                  <c:v>24.336086434573829</c:v>
                </c:pt>
                <c:pt idx="12">
                  <c:v>24.74674669867947</c:v>
                </c:pt>
                <c:pt idx="13">
                  <c:v>25.15740696278511</c:v>
                </c:pt>
                <c:pt idx="14">
                  <c:v>25.568067226890754</c:v>
                </c:pt>
                <c:pt idx="15">
                  <c:v>25.978727490996398</c:v>
                </c:pt>
                <c:pt idx="16">
                  <c:v>26.389387755102039</c:v>
                </c:pt>
                <c:pt idx="17">
                  <c:v>26.800048019207679</c:v>
                </c:pt>
                <c:pt idx="18">
                  <c:v>27.210708283313323</c:v>
                </c:pt>
                <c:pt idx="19">
                  <c:v>27.621368547418967</c:v>
                </c:pt>
                <c:pt idx="20">
                  <c:v>28.032028811524608</c:v>
                </c:pt>
                <c:pt idx="21">
                  <c:v>28.442689075630248</c:v>
                </c:pt>
                <c:pt idx="22">
                  <c:v>28.853349339735892</c:v>
                </c:pt>
                <c:pt idx="23">
                  <c:v>29.264009603841533</c:v>
                </c:pt>
                <c:pt idx="24">
                  <c:v>29.674669867947173</c:v>
                </c:pt>
                <c:pt idx="25">
                  <c:v>30.085330132052817</c:v>
                </c:pt>
                <c:pt idx="26">
                  <c:v>30.495990396158462</c:v>
                </c:pt>
                <c:pt idx="27">
                  <c:v>30.906650660264102</c:v>
                </c:pt>
                <c:pt idx="28">
                  <c:v>31.317310924369743</c:v>
                </c:pt>
                <c:pt idx="29">
                  <c:v>31.727971188475387</c:v>
                </c:pt>
                <c:pt idx="30">
                  <c:v>32.138631452581031</c:v>
                </c:pt>
                <c:pt idx="31">
                  <c:v>32.549291716686668</c:v>
                </c:pt>
                <c:pt idx="32">
                  <c:v>32.959951980792312</c:v>
                </c:pt>
                <c:pt idx="33">
                  <c:v>33.370612244897956</c:v>
                </c:pt>
                <c:pt idx="34">
                  <c:v>33.7812725090036</c:v>
                </c:pt>
                <c:pt idx="35">
                  <c:v>34.191932773109244</c:v>
                </c:pt>
                <c:pt idx="36">
                  <c:v>34.602593037214881</c:v>
                </c:pt>
                <c:pt idx="37">
                  <c:v>35.013253301320525</c:v>
                </c:pt>
                <c:pt idx="38">
                  <c:v>35.423913565426162</c:v>
                </c:pt>
                <c:pt idx="39">
                  <c:v>35.834573829531806</c:v>
                </c:pt>
                <c:pt idx="40">
                  <c:v>36.24523409363745</c:v>
                </c:pt>
                <c:pt idx="41">
                  <c:v>36.655894357743094</c:v>
                </c:pt>
                <c:pt idx="42">
                  <c:v>37.066554621848738</c:v>
                </c:pt>
                <c:pt idx="43">
                  <c:v>37.477214885954382</c:v>
                </c:pt>
                <c:pt idx="44">
                  <c:v>37.887875150060019</c:v>
                </c:pt>
                <c:pt idx="45">
                  <c:v>38.298535414165663</c:v>
                </c:pt>
                <c:pt idx="46">
                  <c:v>38.7091956782713</c:v>
                </c:pt>
                <c:pt idx="47">
                  <c:v>39.119855942376944</c:v>
                </c:pt>
                <c:pt idx="48">
                  <c:v>39.530516206482588</c:v>
                </c:pt>
                <c:pt idx="49">
                  <c:v>39.941176470588232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99A-45A2-BCD4-FDDF8B670861}"/>
            </c:ext>
          </c:extLst>
        </c:ser>
        <c:ser>
          <c:idx val="2"/>
          <c:order val="2"/>
          <c:tx>
            <c:v>Ybar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'1.Regression'!$O$22:$O$23</c:f>
              <c:numCache>
                <c:formatCode>General</c:formatCode>
                <c:ptCount val="2"/>
                <c:pt idx="1">
                  <c:v>50</c:v>
                </c:pt>
              </c:numCache>
            </c:numRef>
          </c:xVal>
          <c:yVal>
            <c:numRef>
              <c:f>'1.Regression'!$P$22:$P$23</c:f>
              <c:numCache>
                <c:formatCode>General</c:formatCode>
                <c:ptCount val="2"/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99A-45A2-BCD4-FDDF8B6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0888"/>
        <c:axId val="241704808"/>
      </c:scatterChart>
      <c:valAx>
        <c:axId val="241700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04808"/>
        <c:crosses val="autoZero"/>
        <c:crossBetween val="midCat"/>
      </c:valAx>
      <c:valAx>
        <c:axId val="24170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00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R2 Close to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4499125109361332E-3"/>
                  <c:y val="0.231064814814814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'1b.Total Cost'!$A$4:$A$12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'1b.Total Cost'!$B$4:$B$12</c:f>
              <c:numCache>
                <c:formatCode>0</c:formatCode>
                <c:ptCount val="9"/>
                <c:pt idx="0">
                  <c:v>1468</c:v>
                </c:pt>
                <c:pt idx="1">
                  <c:v>1800</c:v>
                </c:pt>
                <c:pt idx="2">
                  <c:v>2000</c:v>
                </c:pt>
                <c:pt idx="3">
                  <c:v>2300</c:v>
                </c:pt>
                <c:pt idx="4">
                  <c:v>2700</c:v>
                </c:pt>
                <c:pt idx="5">
                  <c:v>2961.1219253302847</c:v>
                </c:pt>
                <c:pt idx="6">
                  <c:v>3173.4592379126093</c:v>
                </c:pt>
                <c:pt idx="7">
                  <c:v>3390.0126596118184</c:v>
                </c:pt>
                <c:pt idx="8">
                  <c:v>3487.4061771454217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2E-4150-8FC3-8BF12B9B8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464664"/>
        <c:axId val="577465056"/>
      </c:scatterChart>
      <c:valAx>
        <c:axId val="577464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465056"/>
        <c:crosses val="autoZero"/>
        <c:crossBetween val="midCat"/>
      </c:valAx>
      <c:valAx>
        <c:axId val="57746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464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27</xdr:row>
      <xdr:rowOff>66676</xdr:rowOff>
    </xdr:from>
    <xdr:to>
      <xdr:col>12</xdr:col>
      <xdr:colOff>238125</xdr:colOff>
      <xdr:row>40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391568</xdr:colOff>
      <xdr:row>27</xdr:row>
      <xdr:rowOff>79723</xdr:rowOff>
    </xdr:from>
    <xdr:to>
      <xdr:col>18</xdr:col>
      <xdr:colOff>143527</xdr:colOff>
      <xdr:row>40</xdr:row>
      <xdr:rowOff>108298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288491</xdr:colOff>
      <xdr:row>27</xdr:row>
      <xdr:rowOff>92771</xdr:rowOff>
    </xdr:from>
    <xdr:to>
      <xdr:col>25</xdr:col>
      <xdr:colOff>182672</xdr:colOff>
      <xdr:row>40</xdr:row>
      <xdr:rowOff>107058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276225</xdr:colOff>
      <xdr:row>41</xdr:row>
      <xdr:rowOff>4762</xdr:rowOff>
    </xdr:from>
    <xdr:to>
      <xdr:col>12</xdr:col>
      <xdr:colOff>221815</xdr:colOff>
      <xdr:row>56</xdr:row>
      <xdr:rowOff>65239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404619</xdr:colOff>
      <xdr:row>41</xdr:row>
      <xdr:rowOff>22574</xdr:rowOff>
    </xdr:from>
    <xdr:to>
      <xdr:col>18</xdr:col>
      <xdr:colOff>143528</xdr:colOff>
      <xdr:row>56</xdr:row>
      <xdr:rowOff>94012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294492</xdr:colOff>
      <xdr:row>41</xdr:row>
      <xdr:rowOff>26096</xdr:rowOff>
    </xdr:from>
    <xdr:to>
      <xdr:col>25</xdr:col>
      <xdr:colOff>208767</xdr:colOff>
      <xdr:row>56</xdr:row>
      <xdr:rowOff>104383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383715</xdr:colOff>
      <xdr:row>18</xdr:row>
      <xdr:rowOff>126675</xdr:rowOff>
    </xdr:from>
    <xdr:to>
      <xdr:col>3</xdr:col>
      <xdr:colOff>384075</xdr:colOff>
      <xdr:row>18</xdr:row>
      <xdr:rowOff>133515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1602915" y="3431850"/>
            <a:ext cx="360" cy="684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91035" y="3419970"/>
              <a:ext cx="241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497087</xdr:colOff>
      <xdr:row>2</xdr:row>
      <xdr:rowOff>72030</xdr:rowOff>
    </xdr:from>
    <xdr:to>
      <xdr:col>27</xdr:col>
      <xdr:colOff>59531</xdr:colOff>
      <xdr:row>20</xdr:row>
      <xdr:rowOff>148828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15876</xdr:colOff>
      <xdr:row>21</xdr:row>
      <xdr:rowOff>188513</xdr:rowOff>
    </xdr:from>
    <xdr:to>
      <xdr:col>20</xdr:col>
      <xdr:colOff>351236</xdr:colOff>
      <xdr:row>36</xdr:row>
      <xdr:rowOff>61909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823515</xdr:colOff>
      <xdr:row>0</xdr:row>
      <xdr:rowOff>119063</xdr:rowOff>
    </xdr:from>
    <xdr:to>
      <xdr:col>16</xdr:col>
      <xdr:colOff>671235</xdr:colOff>
      <xdr:row>3</xdr:row>
      <xdr:rowOff>45171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16406" y="119063"/>
          <a:ext cx="2219048" cy="5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10</xdr:row>
      <xdr:rowOff>171450</xdr:rowOff>
    </xdr:from>
    <xdr:to>
      <xdr:col>13</xdr:col>
      <xdr:colOff>295275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29</xdr:row>
      <xdr:rowOff>28575</xdr:rowOff>
    </xdr:from>
    <xdr:to>
      <xdr:col>7</xdr:col>
      <xdr:colOff>342900</xdr:colOff>
      <xdr:row>43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466725</xdr:colOff>
      <xdr:row>29</xdr:row>
      <xdr:rowOff>28575</xdr:rowOff>
    </xdr:from>
    <xdr:to>
      <xdr:col>15</xdr:col>
      <xdr:colOff>161925</xdr:colOff>
      <xdr:row>43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342900</xdr:colOff>
      <xdr:row>29</xdr:row>
      <xdr:rowOff>19050</xdr:rowOff>
    </xdr:from>
    <xdr:to>
      <xdr:col>23</xdr:col>
      <xdr:colOff>38100</xdr:colOff>
      <xdr:row>43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18773</xdr:colOff>
      <xdr:row>7</xdr:row>
      <xdr:rowOff>17141</xdr:rowOff>
    </xdr:from>
    <xdr:to>
      <xdr:col>10</xdr:col>
      <xdr:colOff>288129</xdr:colOff>
      <xdr:row>21</xdr:row>
      <xdr:rowOff>106088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55379</xdr:colOff>
      <xdr:row>7</xdr:row>
      <xdr:rowOff>22151</xdr:rowOff>
    </xdr:from>
    <xdr:to>
      <xdr:col>18</xdr:col>
      <xdr:colOff>357962</xdr:colOff>
      <xdr:row>21</xdr:row>
      <xdr:rowOff>111098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14</xdr:row>
      <xdr:rowOff>114299</xdr:rowOff>
    </xdr:from>
    <xdr:to>
      <xdr:col>12</xdr:col>
      <xdr:colOff>523875</xdr:colOff>
      <xdr:row>27</xdr:row>
      <xdr:rowOff>61911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47625</xdr:colOff>
      <xdr:row>14</xdr:row>
      <xdr:rowOff>123825</xdr:rowOff>
    </xdr:from>
    <xdr:to>
      <xdr:col>19</xdr:col>
      <xdr:colOff>257175</xdr:colOff>
      <xdr:row>27</xdr:row>
      <xdr:rowOff>71437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371475</xdr:colOff>
      <xdr:row>14</xdr:row>
      <xdr:rowOff>123825</xdr:rowOff>
    </xdr:from>
    <xdr:to>
      <xdr:col>25</xdr:col>
      <xdr:colOff>581025</xdr:colOff>
      <xdr:row>27</xdr:row>
      <xdr:rowOff>71437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27</xdr:row>
      <xdr:rowOff>157162</xdr:rowOff>
    </xdr:from>
    <xdr:to>
      <xdr:col>12</xdr:col>
      <xdr:colOff>552450</xdr:colOff>
      <xdr:row>43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76200</xdr:colOff>
      <xdr:row>28</xdr:row>
      <xdr:rowOff>0</xdr:rowOff>
    </xdr:from>
    <xdr:to>
      <xdr:col>19</xdr:col>
      <xdr:colOff>314325</xdr:colOff>
      <xdr:row>43</xdr:row>
      <xdr:rowOff>71438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438150</xdr:colOff>
      <xdr:row>28</xdr:row>
      <xdr:rowOff>19050</xdr:rowOff>
    </xdr:from>
    <xdr:to>
      <xdr:col>26</xdr:col>
      <xdr:colOff>66675</xdr:colOff>
      <xdr:row>43</xdr:row>
      <xdr:rowOff>90488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968" units="cm"/>
          <inkml:channel name="Y" type="integer" max="2240" units="cm"/>
          <inkml:channel name="T" type="integer" max="2.14748E9" units="dev"/>
        </inkml:traceFormat>
        <inkml:channelProperties>
          <inkml:channelProperty channel="X" name="resolution" value="128" units="1/cm"/>
          <inkml:channelProperty channel="Y" name="resolution" value="128.73564" units="1/cm"/>
          <inkml:channelProperty channel="T" name="resolution" value="1" units="1/dev"/>
        </inkml:channelProperties>
      </inkml:inkSource>
      <inkml:timestamp xml:id="ts0" timeString="2016-09-28T06:44:18.663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-442 1490 0,'0'0'0,"0"0"0,0 0 0,0 0 0,0 0 0,0 0 0,0 9 0,0-9 0,0 0 0,0 0 0,0 9 0,0-9 0,0 0 0,0 0 0,0 0 0,0 0 0,0 0 0,0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topLeftCell="D28" zoomScale="73" zoomScaleNormal="73" workbookViewId="0">
      <selection activeCell="K76" sqref="K76"/>
    </sheetView>
  </sheetViews>
  <sheetFormatPr defaultRowHeight="13.5" x14ac:dyDescent="0.25"/>
  <cols>
    <col min="1" max="1" width="4.5703125" style="110" bestFit="1" customWidth="1"/>
    <col min="2" max="2" width="9.7109375" style="110" bestFit="1" customWidth="1"/>
    <col min="3" max="3" width="6.7109375" style="110" bestFit="1" customWidth="1"/>
    <col min="4" max="4" width="11.7109375" style="110" bestFit="1" customWidth="1"/>
    <col min="5" max="5" width="9.140625" style="118" customWidth="1"/>
    <col min="6" max="6" width="13" style="110" customWidth="1"/>
    <col min="7" max="8" width="5.85546875" style="110" customWidth="1"/>
    <col min="9" max="9" width="9.7109375" style="110" customWidth="1"/>
    <col min="10" max="10" width="6" style="110" bestFit="1" customWidth="1"/>
    <col min="11" max="11" width="4.85546875" style="110" bestFit="1" customWidth="1"/>
    <col min="12" max="12" width="8.7109375" style="110" bestFit="1" customWidth="1"/>
    <col min="13" max="13" width="9.140625" style="110"/>
    <col min="14" max="14" width="12.140625" style="110" bestFit="1" customWidth="1"/>
    <col min="15" max="15" width="11.7109375" style="110" bestFit="1" customWidth="1"/>
    <col min="16" max="16" width="12.42578125" style="110" bestFit="1" customWidth="1"/>
    <col min="17" max="17" width="12.140625" style="110" bestFit="1" customWidth="1"/>
    <col min="18" max="21" width="9.28515625" style="110" bestFit="1" customWidth="1"/>
    <col min="22" max="23" width="9.140625" style="110"/>
    <col min="24" max="24" width="9.28515625" style="110" bestFit="1" customWidth="1"/>
    <col min="25" max="27" width="9.140625" style="110"/>
    <col min="28" max="30" width="9.28515625" style="110" bestFit="1" customWidth="1"/>
    <col min="31" max="31" width="12.28515625" style="110" customWidth="1"/>
    <col min="32" max="36" width="9.28515625" style="110" bestFit="1" customWidth="1"/>
    <col min="37" max="16384" width="9.140625" style="110"/>
  </cols>
  <sheetData>
    <row r="1" spans="1:37" ht="17.25" thickBot="1" x14ac:dyDescent="0.35">
      <c r="A1" s="103" t="s">
        <v>19</v>
      </c>
      <c r="B1" s="104"/>
      <c r="C1" s="105"/>
      <c r="D1" s="104"/>
      <c r="E1" s="106"/>
      <c r="F1" s="107" t="s">
        <v>5</v>
      </c>
      <c r="G1" s="107" t="s">
        <v>6</v>
      </c>
      <c r="H1" s="108" t="s">
        <v>7</v>
      </c>
      <c r="I1" s="109" t="s">
        <v>8</v>
      </c>
      <c r="J1" s="109" t="s">
        <v>9</v>
      </c>
      <c r="K1" s="109" t="s">
        <v>10</v>
      </c>
      <c r="L1" s="109" t="s">
        <v>11</v>
      </c>
      <c r="N1" s="154" t="s">
        <v>66</v>
      </c>
      <c r="O1" s="154" t="s">
        <v>67</v>
      </c>
      <c r="P1" s="156" t="s">
        <v>68</v>
      </c>
      <c r="Q1" s="155" t="s">
        <v>69</v>
      </c>
      <c r="R1" s="111" t="s">
        <v>25</v>
      </c>
      <c r="AB1" s="101"/>
      <c r="AC1" s="112" t="s">
        <v>20</v>
      </c>
      <c r="AD1" s="112"/>
      <c r="AE1" s="112"/>
      <c r="AF1" s="101"/>
      <c r="AG1" s="101"/>
      <c r="AH1" s="113">
        <f ca="1">RANDBETWEEN(100,150)</f>
        <v>138</v>
      </c>
      <c r="AI1" s="113">
        <f ca="1">RANDBETWEEN(5,15)</f>
        <v>9</v>
      </c>
      <c r="AJ1" s="113">
        <v>0.1</v>
      </c>
      <c r="AK1" s="101"/>
    </row>
    <row r="2" spans="1:37" ht="17.25" thickBot="1" x14ac:dyDescent="0.35">
      <c r="A2" s="114" t="s">
        <v>1</v>
      </c>
      <c r="B2" s="115" t="s">
        <v>27</v>
      </c>
      <c r="C2" s="116" t="s">
        <v>21</v>
      </c>
      <c r="D2" s="117" t="s">
        <v>24</v>
      </c>
      <c r="F2" s="119" t="str">
        <f ca="1">G2&amp;" - "&amp;H2</f>
        <v>2000 - 3000</v>
      </c>
      <c r="G2" s="120">
        <f ca="1">R4</f>
        <v>2000</v>
      </c>
      <c r="H2" s="121">
        <f ca="1">G2+$S$5</f>
        <v>3000</v>
      </c>
      <c r="I2" s="122">
        <f ca="1">COUNTIF($C$3:$C$77, "&lt;"&amp;H2)</f>
        <v>7</v>
      </c>
      <c r="J2" s="122">
        <f ca="1">I2</f>
        <v>7</v>
      </c>
      <c r="K2" s="123">
        <f t="shared" ref="K2:K14" ca="1" si="0">J2/$J$15</f>
        <v>9.3333333333333338E-2</v>
      </c>
      <c r="L2" s="124">
        <f t="shared" ref="L2:L14" ca="1" si="1">I2/$J$15</f>
        <v>9.3333333333333338E-2</v>
      </c>
      <c r="N2" s="148" t="s">
        <v>12</v>
      </c>
      <c r="O2" s="145">
        <f ca="1">AVERAGE(B$3:B$77)</f>
        <v>7256.9866666666667</v>
      </c>
      <c r="P2" s="151">
        <f ca="1">AVERAGE(C$3:C$77)</f>
        <v>7256.9866666666667</v>
      </c>
      <c r="Q2" s="151">
        <f ca="1">AVERAGE(D$3:D$77)</f>
        <v>7256.9866666666667</v>
      </c>
      <c r="T2" s="110" t="b">
        <f ca="1">O2=P2</f>
        <v>1</v>
      </c>
      <c r="U2" s="110" t="b">
        <f ca="1">P2=Q2</f>
        <v>1</v>
      </c>
      <c r="X2" s="110">
        <v>20</v>
      </c>
      <c r="AB2" s="101"/>
      <c r="AC2" s="113"/>
      <c r="AD2" s="113"/>
      <c r="AE2" s="113" t="s">
        <v>26</v>
      </c>
      <c r="AF2" s="101" t="s">
        <v>22</v>
      </c>
      <c r="AG2" s="101" t="s">
        <v>23</v>
      </c>
      <c r="AH2" s="101"/>
      <c r="AI2" s="102"/>
      <c r="AJ2" s="101"/>
      <c r="AK2" s="101"/>
    </row>
    <row r="3" spans="1:37" ht="16.5" x14ac:dyDescent="0.3">
      <c r="A3" s="54">
        <v>1</v>
      </c>
      <c r="B3" s="125">
        <f t="shared" ref="B3:B34" ca="1" si="2">INDEX($AG$3:$AG$77,RANK(AB3,$AB$3:$AB$77))</f>
        <v>6743</v>
      </c>
      <c r="C3" s="126">
        <f ca="1">SMALL($AG$3:$AG$77,AC3)</f>
        <v>2054</v>
      </c>
      <c r="D3" s="127">
        <f ca="1">AG3</f>
        <v>2054</v>
      </c>
      <c r="E3" s="128"/>
      <c r="F3" s="129" t="str">
        <f t="shared" ref="F3:F14" ca="1" si="3">G3&amp;" - "&amp;H3</f>
        <v>3000 - 4000</v>
      </c>
      <c r="G3" s="130">
        <f ca="1">H2</f>
        <v>3000</v>
      </c>
      <c r="H3" s="131">
        <f ca="1">G3+$S$5</f>
        <v>4000</v>
      </c>
      <c r="I3" s="132">
        <f t="shared" ref="I3:I14" ca="1" si="4">COUNTIF($C$3:$C$77, "&lt;"&amp;H3)</f>
        <v>14</v>
      </c>
      <c r="J3" s="132">
        <f ca="1">I3-I2</f>
        <v>7</v>
      </c>
      <c r="K3" s="133">
        <f t="shared" ca="1" si="0"/>
        <v>9.3333333333333338E-2</v>
      </c>
      <c r="L3" s="134">
        <f t="shared" ca="1" si="1"/>
        <v>0.18666666666666668</v>
      </c>
      <c r="N3" s="149" t="s">
        <v>13</v>
      </c>
      <c r="O3" s="146">
        <f ca="1">MAX(B$3:B$77)</f>
        <v>14638</v>
      </c>
      <c r="P3" s="152">
        <f ca="1">MAX(C$3:C$77)</f>
        <v>14638</v>
      </c>
      <c r="Q3" s="152">
        <f ca="1">MAX(D$3:D$77)</f>
        <v>14638</v>
      </c>
      <c r="R3" s="110">
        <f ca="1">ROUNDUP(O3/S5,0)</f>
        <v>15</v>
      </c>
      <c r="S3" s="110">
        <f ca="1">R3*S5</f>
        <v>15000</v>
      </c>
      <c r="T3" s="110" t="b">
        <f t="shared" ref="T3:T8" ca="1" si="5">O3=P3</f>
        <v>1</v>
      </c>
      <c r="U3" s="110" t="b">
        <f t="shared" ref="U3:U9" ca="1" si="6">P3=Q3</f>
        <v>1</v>
      </c>
      <c r="AB3" s="101">
        <f t="shared" ref="AB3:AB66" ca="1" si="7">RAND()</f>
        <v>0.37082748678156174</v>
      </c>
      <c r="AC3" s="113">
        <v>1</v>
      </c>
      <c r="AD3" s="113">
        <v>1</v>
      </c>
      <c r="AE3" s="113">
        <f ca="1">INT($AH$1+$AI$1*AD3)</f>
        <v>147</v>
      </c>
      <c r="AF3" s="135">
        <f ca="1">(((IF(MOD(AD3,5)&lt;&gt;0,MOD(AD3,5),5))+12)+_xlfn.NORM.S.INV(RAND()))</f>
        <v>13.970677643603484</v>
      </c>
      <c r="AG3" s="101">
        <f ca="1">ROUND(AE3*AF3,0)</f>
        <v>2054</v>
      </c>
      <c r="AH3" s="101"/>
      <c r="AI3" s="102"/>
      <c r="AJ3" s="101"/>
      <c r="AK3" s="101"/>
    </row>
    <row r="4" spans="1:37" ht="16.5" x14ac:dyDescent="0.3">
      <c r="A4" s="54">
        <v>2</v>
      </c>
      <c r="B4" s="125">
        <f t="shared" ca="1" si="2"/>
        <v>11762</v>
      </c>
      <c r="C4" s="126">
        <f t="shared" ref="C4:C67" ca="1" si="8">SMALL($AG$3:$AG$77,AC4)</f>
        <v>2134</v>
      </c>
      <c r="D4" s="127">
        <f t="shared" ref="D4:D67" ca="1" si="9">AG4</f>
        <v>2233</v>
      </c>
      <c r="E4" s="128"/>
      <c r="F4" s="129" t="str">
        <f t="shared" ca="1" si="3"/>
        <v>4000 - 5000</v>
      </c>
      <c r="G4" s="130">
        <f t="shared" ref="G4:G13" ca="1" si="10">H3</f>
        <v>4000</v>
      </c>
      <c r="H4" s="131">
        <f t="shared" ref="H4:H14" ca="1" si="11">G4+$S$5</f>
        <v>5000</v>
      </c>
      <c r="I4" s="132">
        <f t="shared" ca="1" si="4"/>
        <v>22</v>
      </c>
      <c r="J4" s="132">
        <f t="shared" ref="J4:J14" ca="1" si="12">I4-I3</f>
        <v>8</v>
      </c>
      <c r="K4" s="133">
        <f t="shared" ca="1" si="0"/>
        <v>0.10666666666666667</v>
      </c>
      <c r="L4" s="134">
        <f t="shared" ca="1" si="1"/>
        <v>0.29333333333333333</v>
      </c>
      <c r="N4" s="149" t="s">
        <v>14</v>
      </c>
      <c r="O4" s="146">
        <f ca="1">MIN(B$3:B$77)</f>
        <v>2054</v>
      </c>
      <c r="P4" s="152">
        <f ca="1">MIN(C$3:C$77)</f>
        <v>2054</v>
      </c>
      <c r="Q4" s="152">
        <f ca="1">MIN(D$3:D$77)</f>
        <v>2054</v>
      </c>
      <c r="R4" s="110">
        <f ca="1">S5*INT(O4/S5)</f>
        <v>2000</v>
      </c>
      <c r="T4" s="110" t="b">
        <f ca="1">O4=P4</f>
        <v>1</v>
      </c>
      <c r="U4" s="110" t="b">
        <f t="shared" ca="1" si="6"/>
        <v>1</v>
      </c>
      <c r="AB4" s="101">
        <f t="shared" ca="1" si="7"/>
        <v>9.7042655386142762E-2</v>
      </c>
      <c r="AC4" s="113">
        <v>2</v>
      </c>
      <c r="AD4" s="113">
        <v>2</v>
      </c>
      <c r="AE4" s="113">
        <f t="shared" ref="AE4:AE67" ca="1" si="13">INT($AH$1+$AI$1*AD4)</f>
        <v>156</v>
      </c>
      <c r="AF4" s="135">
        <f t="shared" ref="AF4:AF67" ca="1" si="14">(((IF(MOD(AD4,5)&lt;&gt;0,MOD(AD4,5),5))+12)+_xlfn.NORM.S.INV(RAND()))</f>
        <v>14.315541925945542</v>
      </c>
      <c r="AG4" s="101">
        <f t="shared" ref="AG4:AG67" ca="1" si="15">ROUND(AE4*AF4,0)</f>
        <v>2233</v>
      </c>
      <c r="AH4" s="101"/>
      <c r="AI4" s="102"/>
      <c r="AJ4" s="101"/>
      <c r="AK4" s="101"/>
    </row>
    <row r="5" spans="1:37" ht="16.5" x14ac:dyDescent="0.3">
      <c r="A5" s="54">
        <v>3</v>
      </c>
      <c r="B5" s="125">
        <f t="shared" ca="1" si="2"/>
        <v>5673</v>
      </c>
      <c r="C5" s="126">
        <f t="shared" ca="1" si="8"/>
        <v>2233</v>
      </c>
      <c r="D5" s="127">
        <f t="shared" ca="1" si="9"/>
        <v>2134</v>
      </c>
      <c r="E5" s="128"/>
      <c r="F5" s="129" t="str">
        <f t="shared" ca="1" si="3"/>
        <v>5000 - 6000</v>
      </c>
      <c r="G5" s="130">
        <f t="shared" ca="1" si="10"/>
        <v>5000</v>
      </c>
      <c r="H5" s="131">
        <f t="shared" ca="1" si="11"/>
        <v>6000</v>
      </c>
      <c r="I5" s="132">
        <f t="shared" ca="1" si="4"/>
        <v>27</v>
      </c>
      <c r="J5" s="132">
        <f t="shared" ca="1" si="12"/>
        <v>5</v>
      </c>
      <c r="K5" s="133">
        <f t="shared" ca="1" si="0"/>
        <v>6.6666666666666666E-2</v>
      </c>
      <c r="L5" s="134">
        <f t="shared" ca="1" si="1"/>
        <v>0.36</v>
      </c>
      <c r="N5" s="149" t="s">
        <v>5</v>
      </c>
      <c r="O5" s="146">
        <f ca="1">O3-O4</f>
        <v>12584</v>
      </c>
      <c r="P5" s="152">
        <f ca="1">P3-P4</f>
        <v>12584</v>
      </c>
      <c r="Q5" s="152">
        <f ca="1">Q3-Q4</f>
        <v>12584</v>
      </c>
      <c r="R5" s="110">
        <f ca="1">ROUND(O5/10,0)</f>
        <v>1258</v>
      </c>
      <c r="S5" s="110">
        <f ca="1">ROUND(R5,-LEN(R5)+1)</f>
        <v>1000</v>
      </c>
      <c r="T5" s="110" t="b">
        <f t="shared" ca="1" si="5"/>
        <v>1</v>
      </c>
      <c r="U5" s="110" t="b">
        <f t="shared" ca="1" si="6"/>
        <v>1</v>
      </c>
      <c r="AB5" s="101">
        <f t="shared" ca="1" si="7"/>
        <v>0.62884196244580737</v>
      </c>
      <c r="AC5" s="113">
        <v>3</v>
      </c>
      <c r="AD5" s="113">
        <v>3</v>
      </c>
      <c r="AE5" s="113">
        <f t="shared" ca="1" si="13"/>
        <v>165</v>
      </c>
      <c r="AF5" s="135">
        <f t="shared" ca="1" si="14"/>
        <v>12.933650150217971</v>
      </c>
      <c r="AG5" s="101">
        <f t="shared" ca="1" si="15"/>
        <v>2134</v>
      </c>
      <c r="AH5" s="101"/>
      <c r="AI5" s="102"/>
      <c r="AJ5" s="101"/>
      <c r="AK5" s="101"/>
    </row>
    <row r="6" spans="1:37" ht="16.5" x14ac:dyDescent="0.3">
      <c r="A6" s="54">
        <v>4</v>
      </c>
      <c r="B6" s="125">
        <f t="shared" ca="1" si="2"/>
        <v>9336</v>
      </c>
      <c r="C6" s="126">
        <f t="shared" ca="1" si="8"/>
        <v>2546</v>
      </c>
      <c r="D6" s="127">
        <f t="shared" ca="1" si="9"/>
        <v>2546</v>
      </c>
      <c r="E6" s="128"/>
      <c r="F6" s="129" t="str">
        <f t="shared" ca="1" si="3"/>
        <v>6000 - 7000</v>
      </c>
      <c r="G6" s="130">
        <f t="shared" ca="1" si="10"/>
        <v>6000</v>
      </c>
      <c r="H6" s="131">
        <f t="shared" ca="1" si="11"/>
        <v>7000</v>
      </c>
      <c r="I6" s="132">
        <f t="shared" ca="1" si="4"/>
        <v>36</v>
      </c>
      <c r="J6" s="132">
        <f t="shared" ca="1" si="12"/>
        <v>9</v>
      </c>
      <c r="K6" s="133">
        <f t="shared" ca="1" si="0"/>
        <v>0.12</v>
      </c>
      <c r="L6" s="134">
        <f t="shared" ca="1" si="1"/>
        <v>0.48</v>
      </c>
      <c r="N6" s="149" t="s">
        <v>15</v>
      </c>
      <c r="O6" s="146">
        <f ca="1">_xlfn.STDEV.S(B$3:B$77)</f>
        <v>3109.6295751125108</v>
      </c>
      <c r="P6" s="152">
        <f ca="1">_xlfn.STDEV.S(C$3:C$77)</f>
        <v>3109.6295751125108</v>
      </c>
      <c r="Q6" s="152">
        <f ca="1">_xlfn.STDEV.S(D$3:D$77)</f>
        <v>3109.6295751125108</v>
      </c>
      <c r="T6" s="110" t="b">
        <f t="shared" ca="1" si="5"/>
        <v>1</v>
      </c>
      <c r="U6" s="110" t="b">
        <f t="shared" ca="1" si="6"/>
        <v>1</v>
      </c>
      <c r="AB6" s="101">
        <f t="shared" ca="1" si="7"/>
        <v>0.31852114879215043</v>
      </c>
      <c r="AC6" s="113">
        <v>4</v>
      </c>
      <c r="AD6" s="113">
        <v>4</v>
      </c>
      <c r="AE6" s="113">
        <f t="shared" ca="1" si="13"/>
        <v>174</v>
      </c>
      <c r="AF6" s="135">
        <f t="shared" ca="1" si="14"/>
        <v>14.63350812630215</v>
      </c>
      <c r="AG6" s="101">
        <f t="shared" ca="1" si="15"/>
        <v>2546</v>
      </c>
      <c r="AH6" s="101"/>
      <c r="AI6" s="102"/>
      <c r="AJ6" s="101"/>
      <c r="AK6" s="101"/>
    </row>
    <row r="7" spans="1:37" ht="16.5" x14ac:dyDescent="0.3">
      <c r="A7" s="54">
        <v>5</v>
      </c>
      <c r="B7" s="125">
        <f t="shared" ca="1" si="2"/>
        <v>6534</v>
      </c>
      <c r="C7" s="126">
        <f t="shared" ca="1" si="8"/>
        <v>2665</v>
      </c>
      <c r="D7" s="127">
        <f t="shared" ca="1" si="9"/>
        <v>3009</v>
      </c>
      <c r="E7" s="128"/>
      <c r="F7" s="129" t="str">
        <f t="shared" ca="1" si="3"/>
        <v>7000 - 8000</v>
      </c>
      <c r="G7" s="130">
        <f t="shared" ca="1" si="10"/>
        <v>7000</v>
      </c>
      <c r="H7" s="131">
        <f t="shared" ca="1" si="11"/>
        <v>8000</v>
      </c>
      <c r="I7" s="132">
        <f t="shared" ca="1" si="4"/>
        <v>43</v>
      </c>
      <c r="J7" s="132">
        <f t="shared" ca="1" si="12"/>
        <v>7</v>
      </c>
      <c r="K7" s="133">
        <f t="shared" ca="1" si="0"/>
        <v>9.3333333333333338E-2</v>
      </c>
      <c r="L7" s="134">
        <f t="shared" ca="1" si="1"/>
        <v>0.57333333333333336</v>
      </c>
      <c r="N7" s="149" t="s">
        <v>16</v>
      </c>
      <c r="O7" s="146">
        <f ca="1">O6/O2</f>
        <v>0.42850148662886395</v>
      </c>
      <c r="P7" s="152">
        <f ca="1">P6/P2</f>
        <v>0.42850148662886395</v>
      </c>
      <c r="Q7" s="152">
        <f ca="1">Q6/Q2</f>
        <v>0.42850148662886395</v>
      </c>
      <c r="T7" s="110" t="b">
        <f t="shared" ca="1" si="5"/>
        <v>1</v>
      </c>
      <c r="U7" s="110" t="b">
        <f t="shared" ca="1" si="6"/>
        <v>1</v>
      </c>
      <c r="AB7" s="101">
        <f t="shared" ca="1" si="7"/>
        <v>0.65784485201888698</v>
      </c>
      <c r="AC7" s="113">
        <v>5</v>
      </c>
      <c r="AD7" s="113">
        <v>5</v>
      </c>
      <c r="AE7" s="113">
        <f t="shared" ca="1" si="13"/>
        <v>183</v>
      </c>
      <c r="AF7" s="135">
        <f t="shared" ca="1" si="14"/>
        <v>16.443222626894197</v>
      </c>
      <c r="AG7" s="101">
        <f t="shared" ca="1" si="15"/>
        <v>3009</v>
      </c>
      <c r="AH7" s="101"/>
      <c r="AI7" s="102"/>
      <c r="AJ7" s="101"/>
      <c r="AK7" s="101"/>
    </row>
    <row r="8" spans="1:37" ht="16.5" x14ac:dyDescent="0.3">
      <c r="A8" s="54">
        <v>6</v>
      </c>
      <c r="B8" s="125">
        <f t="shared" ca="1" si="2"/>
        <v>3745</v>
      </c>
      <c r="C8" s="126">
        <f t="shared" ca="1" si="8"/>
        <v>2809</v>
      </c>
      <c r="D8" s="127">
        <f t="shared" ca="1" si="9"/>
        <v>2665</v>
      </c>
      <c r="E8" s="128"/>
      <c r="F8" s="129" t="str">
        <f t="shared" ca="1" si="3"/>
        <v>8000 - 9000</v>
      </c>
      <c r="G8" s="130">
        <f t="shared" ca="1" si="10"/>
        <v>8000</v>
      </c>
      <c r="H8" s="131">
        <f t="shared" ca="1" si="11"/>
        <v>9000</v>
      </c>
      <c r="I8" s="132">
        <f t="shared" ca="1" si="4"/>
        <v>51</v>
      </c>
      <c r="J8" s="132">
        <f t="shared" ca="1" si="12"/>
        <v>8</v>
      </c>
      <c r="K8" s="133">
        <f t="shared" ca="1" si="0"/>
        <v>0.10666666666666667</v>
      </c>
      <c r="L8" s="134">
        <f t="shared" ca="1" si="1"/>
        <v>0.68</v>
      </c>
      <c r="N8" s="149" t="s">
        <v>70</v>
      </c>
      <c r="O8" s="146">
        <f ca="1">O5/O2</f>
        <v>1.7340530688586999</v>
      </c>
      <c r="P8" s="152">
        <f ca="1">P5/P2</f>
        <v>1.7340530688586999</v>
      </c>
      <c r="Q8" s="152">
        <f ca="1">Q5/Q2</f>
        <v>1.7340530688586999</v>
      </c>
      <c r="T8" s="110" t="b">
        <f t="shared" ca="1" si="5"/>
        <v>1</v>
      </c>
      <c r="U8" s="110" t="b">
        <f t="shared" ca="1" si="6"/>
        <v>1</v>
      </c>
      <c r="AB8" s="101">
        <f t="shared" ca="1" si="7"/>
        <v>0.92978797078604514</v>
      </c>
      <c r="AC8" s="113">
        <v>6</v>
      </c>
      <c r="AD8" s="113">
        <v>6</v>
      </c>
      <c r="AE8" s="113">
        <f t="shared" ca="1" si="13"/>
        <v>192</v>
      </c>
      <c r="AF8" s="135">
        <f t="shared" ca="1" si="14"/>
        <v>13.881594372969957</v>
      </c>
      <c r="AG8" s="101">
        <f t="shared" ca="1" si="15"/>
        <v>2665</v>
      </c>
      <c r="AH8" s="101"/>
      <c r="AI8" s="102"/>
      <c r="AJ8" s="101"/>
      <c r="AK8" s="101"/>
    </row>
    <row r="9" spans="1:37" ht="17.25" thickBot="1" x14ac:dyDescent="0.35">
      <c r="A9" s="54">
        <v>7</v>
      </c>
      <c r="B9" s="125">
        <f t="shared" ca="1" si="2"/>
        <v>2054</v>
      </c>
      <c r="C9" s="126">
        <f t="shared" ca="1" si="8"/>
        <v>3009</v>
      </c>
      <c r="D9" s="127">
        <f t="shared" ca="1" si="9"/>
        <v>2809</v>
      </c>
      <c r="E9" s="128"/>
      <c r="F9" s="129" t="str">
        <f t="shared" ca="1" si="3"/>
        <v>9000 - 10000</v>
      </c>
      <c r="G9" s="130">
        <f t="shared" ca="1" si="10"/>
        <v>9000</v>
      </c>
      <c r="H9" s="131">
        <f t="shared" ca="1" si="11"/>
        <v>10000</v>
      </c>
      <c r="I9" s="132">
        <f t="shared" ca="1" si="4"/>
        <v>62</v>
      </c>
      <c r="J9" s="132">
        <f t="shared" ca="1" si="12"/>
        <v>11</v>
      </c>
      <c r="K9" s="133">
        <f t="shared" ca="1" si="0"/>
        <v>0.14666666666666667</v>
      </c>
      <c r="L9" s="134">
        <f t="shared" ca="1" si="1"/>
        <v>0.82666666666666666</v>
      </c>
      <c r="N9" s="150" t="s">
        <v>18</v>
      </c>
      <c r="O9" s="147">
        <f ca="1">SKEW(B$3:B$77)</f>
        <v>0.22172607731161648</v>
      </c>
      <c r="P9" s="153">
        <f ca="1">SKEW(C$3:C$77)</f>
        <v>0.22172607731161603</v>
      </c>
      <c r="Q9" s="153">
        <f ca="1">SKEW(D$3:D$77)</f>
        <v>0.22172607731161612</v>
      </c>
      <c r="T9" s="110" t="b">
        <f ca="1">O9=P9</f>
        <v>1</v>
      </c>
      <c r="U9" s="110" t="b">
        <f t="shared" ca="1" si="6"/>
        <v>1</v>
      </c>
      <c r="AB9" s="101">
        <f t="shared" ca="1" si="7"/>
        <v>0.99386546704221834</v>
      </c>
      <c r="AC9" s="113">
        <v>8</v>
      </c>
      <c r="AD9" s="113">
        <v>7</v>
      </c>
      <c r="AE9" s="113">
        <f t="shared" ca="1" si="13"/>
        <v>201</v>
      </c>
      <c r="AF9" s="135">
        <f t="shared" ca="1" si="14"/>
        <v>13.97724824977556</v>
      </c>
      <c r="AG9" s="101">
        <f t="shared" ca="1" si="15"/>
        <v>2809</v>
      </c>
      <c r="AH9" s="101"/>
      <c r="AI9" s="102"/>
      <c r="AJ9" s="101"/>
      <c r="AK9" s="101"/>
    </row>
    <row r="10" spans="1:37" ht="16.5" x14ac:dyDescent="0.3">
      <c r="A10" s="54">
        <v>8</v>
      </c>
      <c r="B10" s="125">
        <f t="shared" ca="1" si="2"/>
        <v>6164</v>
      </c>
      <c r="C10" s="126">
        <f t="shared" ca="1" si="8"/>
        <v>2889</v>
      </c>
      <c r="D10" s="127">
        <f t="shared" ca="1" si="9"/>
        <v>3259</v>
      </c>
      <c r="E10" s="128"/>
      <c r="F10" s="129" t="str">
        <f t="shared" ca="1" si="3"/>
        <v>10000 - 11000</v>
      </c>
      <c r="G10" s="130">
        <f t="shared" ca="1" si="10"/>
        <v>10000</v>
      </c>
      <c r="H10" s="131">
        <f t="shared" ca="1" si="11"/>
        <v>11000</v>
      </c>
      <c r="I10" s="132">
        <f t="shared" ca="1" si="4"/>
        <v>67</v>
      </c>
      <c r="J10" s="132">
        <f t="shared" ca="1" si="12"/>
        <v>5</v>
      </c>
      <c r="K10" s="133">
        <f t="shared" ca="1" si="0"/>
        <v>6.6666666666666666E-2</v>
      </c>
      <c r="L10" s="134">
        <f t="shared" ca="1" si="1"/>
        <v>0.89333333333333331</v>
      </c>
      <c r="AB10" s="101">
        <f t="shared" ca="1" si="7"/>
        <v>0.53350297953478532</v>
      </c>
      <c r="AC10" s="113">
        <v>7</v>
      </c>
      <c r="AD10" s="113">
        <v>8</v>
      </c>
      <c r="AE10" s="113">
        <f ca="1">INT($AH$1+$AI$1*AD10)</f>
        <v>210</v>
      </c>
      <c r="AF10" s="135">
        <f t="shared" ca="1" si="14"/>
        <v>15.518430511080899</v>
      </c>
      <c r="AG10" s="101">
        <f t="shared" ca="1" si="15"/>
        <v>3259</v>
      </c>
      <c r="AH10" s="101"/>
      <c r="AI10" s="102"/>
      <c r="AJ10" s="101"/>
      <c r="AK10" s="101"/>
    </row>
    <row r="11" spans="1:37" ht="16.5" x14ac:dyDescent="0.3">
      <c r="A11" s="54">
        <v>9</v>
      </c>
      <c r="B11" s="125">
        <f t="shared" ca="1" si="2"/>
        <v>7138</v>
      </c>
      <c r="C11" s="126">
        <f t="shared" ca="1" si="8"/>
        <v>3745</v>
      </c>
      <c r="D11" s="127">
        <f t="shared" ca="1" si="9"/>
        <v>3745</v>
      </c>
      <c r="E11" s="128"/>
      <c r="F11" s="129" t="str">
        <f t="shared" ca="1" si="3"/>
        <v>11000 - 12000</v>
      </c>
      <c r="G11" s="130">
        <f t="shared" ca="1" si="10"/>
        <v>11000</v>
      </c>
      <c r="H11" s="131">
        <f t="shared" ca="1" si="11"/>
        <v>12000</v>
      </c>
      <c r="I11" s="132">
        <f t="shared" ca="1" si="4"/>
        <v>69</v>
      </c>
      <c r="J11" s="132">
        <f t="shared" ca="1" si="12"/>
        <v>2</v>
      </c>
      <c r="K11" s="133">
        <f t="shared" ca="1" si="0"/>
        <v>2.6666666666666668E-2</v>
      </c>
      <c r="L11" s="134">
        <f t="shared" ca="1" si="1"/>
        <v>0.92</v>
      </c>
      <c r="AB11" s="101">
        <f t="shared" ca="1" si="7"/>
        <v>0.56131003680307145</v>
      </c>
      <c r="AC11" s="113">
        <v>12</v>
      </c>
      <c r="AD11" s="113">
        <v>9</v>
      </c>
      <c r="AE11" s="113">
        <f t="shared" ca="1" si="13"/>
        <v>219</v>
      </c>
      <c r="AF11" s="135">
        <f t="shared" ca="1" si="14"/>
        <v>17.100688269474318</v>
      </c>
      <c r="AG11" s="101">
        <f t="shared" ca="1" si="15"/>
        <v>3745</v>
      </c>
      <c r="AH11" s="101"/>
      <c r="AI11" s="102"/>
      <c r="AJ11" s="101"/>
      <c r="AK11" s="101"/>
    </row>
    <row r="12" spans="1:37" ht="16.5" x14ac:dyDescent="0.3">
      <c r="A12" s="54">
        <v>10</v>
      </c>
      <c r="B12" s="125">
        <f t="shared" ca="1" si="2"/>
        <v>7961</v>
      </c>
      <c r="C12" s="126">
        <f t="shared" ca="1" si="8"/>
        <v>3248</v>
      </c>
      <c r="D12" s="127">
        <f t="shared" ca="1" si="9"/>
        <v>4135</v>
      </c>
      <c r="E12" s="128"/>
      <c r="F12" s="129" t="str">
        <f t="shared" ca="1" si="3"/>
        <v>12000 - 13000</v>
      </c>
      <c r="G12" s="130">
        <f t="shared" ca="1" si="10"/>
        <v>12000</v>
      </c>
      <c r="H12" s="131">
        <f t="shared" ca="1" si="11"/>
        <v>13000</v>
      </c>
      <c r="I12" s="132">
        <f t="shared" ca="1" si="4"/>
        <v>72</v>
      </c>
      <c r="J12" s="132">
        <f t="shared" ca="1" si="12"/>
        <v>3</v>
      </c>
      <c r="K12" s="133">
        <f t="shared" ca="1" si="0"/>
        <v>0.04</v>
      </c>
      <c r="L12" s="134">
        <f t="shared" ca="1" si="1"/>
        <v>0.96</v>
      </c>
      <c r="AB12" s="101">
        <f t="shared" ca="1" si="7"/>
        <v>0.5301324974577637</v>
      </c>
      <c r="AC12" s="113">
        <v>9</v>
      </c>
      <c r="AD12" s="113">
        <v>10</v>
      </c>
      <c r="AE12" s="113">
        <f t="shared" ca="1" si="13"/>
        <v>228</v>
      </c>
      <c r="AF12" s="135">
        <f t="shared" ca="1" si="14"/>
        <v>18.138117216696109</v>
      </c>
      <c r="AG12" s="101">
        <f t="shared" ca="1" si="15"/>
        <v>4135</v>
      </c>
      <c r="AH12" s="101"/>
      <c r="AI12" s="102"/>
      <c r="AJ12" s="101"/>
      <c r="AK12" s="101"/>
    </row>
    <row r="13" spans="1:37" ht="16.5" x14ac:dyDescent="0.3">
      <c r="A13" s="54">
        <v>11</v>
      </c>
      <c r="B13" s="125">
        <f t="shared" ca="1" si="2"/>
        <v>12353</v>
      </c>
      <c r="C13" s="126">
        <f t="shared" ca="1" si="8"/>
        <v>3259</v>
      </c>
      <c r="D13" s="127">
        <f t="shared" ca="1" si="9"/>
        <v>2889</v>
      </c>
      <c r="E13" s="128"/>
      <c r="F13" s="129" t="str">
        <f t="shared" ca="1" si="3"/>
        <v>13000 - 14000</v>
      </c>
      <c r="G13" s="130">
        <f t="shared" ca="1" si="10"/>
        <v>13000</v>
      </c>
      <c r="H13" s="131">
        <f t="shared" ca="1" si="11"/>
        <v>14000</v>
      </c>
      <c r="I13" s="132">
        <f t="shared" ca="1" si="4"/>
        <v>73</v>
      </c>
      <c r="J13" s="132">
        <f t="shared" ca="1" si="12"/>
        <v>1</v>
      </c>
      <c r="K13" s="133">
        <f t="shared" ca="1" si="0"/>
        <v>1.3333333333333334E-2</v>
      </c>
      <c r="L13" s="134">
        <f t="shared" ca="1" si="1"/>
        <v>0.97333333333333338</v>
      </c>
      <c r="AB13" s="101">
        <f t="shared" ca="1" si="7"/>
        <v>8.5919926331676888E-2</v>
      </c>
      <c r="AC13" s="113">
        <v>10</v>
      </c>
      <c r="AD13" s="113">
        <v>11</v>
      </c>
      <c r="AE13" s="113">
        <f t="shared" ca="1" si="13"/>
        <v>237</v>
      </c>
      <c r="AF13" s="135">
        <f t="shared" ca="1" si="14"/>
        <v>12.188372545707034</v>
      </c>
      <c r="AG13" s="101">
        <f t="shared" ca="1" si="15"/>
        <v>2889</v>
      </c>
      <c r="AH13" s="101"/>
      <c r="AI13" s="102"/>
      <c r="AJ13" s="101"/>
      <c r="AK13" s="101"/>
    </row>
    <row r="14" spans="1:37" ht="17.25" thickBot="1" x14ac:dyDescent="0.35">
      <c r="A14" s="54">
        <v>12</v>
      </c>
      <c r="B14" s="125">
        <f t="shared" ca="1" si="2"/>
        <v>8292</v>
      </c>
      <c r="C14" s="126">
        <f t="shared" ca="1" si="8"/>
        <v>3647</v>
      </c>
      <c r="D14" s="127">
        <f t="shared" ca="1" si="9"/>
        <v>3248</v>
      </c>
      <c r="E14" s="128"/>
      <c r="F14" s="136" t="str">
        <f t="shared" ca="1" si="3"/>
        <v>14000 - 15000</v>
      </c>
      <c r="G14" s="137">
        <f ca="1">H13</f>
        <v>14000</v>
      </c>
      <c r="H14" s="138">
        <f t="shared" ca="1" si="11"/>
        <v>15000</v>
      </c>
      <c r="I14" s="139">
        <f t="shared" ca="1" si="4"/>
        <v>75</v>
      </c>
      <c r="J14" s="139">
        <f t="shared" ca="1" si="12"/>
        <v>2</v>
      </c>
      <c r="K14" s="140">
        <f t="shared" ca="1" si="0"/>
        <v>2.6666666666666668E-2</v>
      </c>
      <c r="L14" s="141">
        <f t="shared" ca="1" si="1"/>
        <v>1</v>
      </c>
      <c r="AB14" s="101">
        <f t="shared" ca="1" si="7"/>
        <v>0.33054526036728948</v>
      </c>
      <c r="AC14" s="113">
        <v>11</v>
      </c>
      <c r="AD14" s="113">
        <v>12</v>
      </c>
      <c r="AE14" s="113">
        <f t="shared" ca="1" si="13"/>
        <v>246</v>
      </c>
      <c r="AF14" s="135">
        <f t="shared" ca="1" si="14"/>
        <v>13.20525024234713</v>
      </c>
      <c r="AG14" s="101">
        <f t="shared" ca="1" si="15"/>
        <v>3248</v>
      </c>
      <c r="AH14" s="101"/>
      <c r="AI14" s="102"/>
      <c r="AJ14" s="101"/>
      <c r="AK14" s="101"/>
    </row>
    <row r="15" spans="1:37" ht="16.5" x14ac:dyDescent="0.3">
      <c r="A15" s="54">
        <v>13</v>
      </c>
      <c r="B15" s="125">
        <f t="shared" ca="1" si="2"/>
        <v>4337</v>
      </c>
      <c r="C15" s="126">
        <f t="shared" ca="1" si="8"/>
        <v>3971</v>
      </c>
      <c r="D15" s="127">
        <f t="shared" ca="1" si="9"/>
        <v>3647</v>
      </c>
      <c r="E15" s="128"/>
      <c r="F15" s="142"/>
      <c r="G15" s="132"/>
      <c r="H15" s="132"/>
      <c r="I15" s="132"/>
      <c r="J15" s="132">
        <f ca="1">SUM(J2:J14)</f>
        <v>75</v>
      </c>
      <c r="K15" s="133">
        <f ca="1">SUM(K2:K14)</f>
        <v>0.99999999999999989</v>
      </c>
      <c r="L15" s="133"/>
      <c r="AB15" s="101">
        <f t="shared" ca="1" si="7"/>
        <v>0.81561763478055516</v>
      </c>
      <c r="AC15" s="113">
        <v>14</v>
      </c>
      <c r="AD15" s="113">
        <v>13</v>
      </c>
      <c r="AE15" s="113">
        <f t="shared" ca="1" si="13"/>
        <v>255</v>
      </c>
      <c r="AF15" s="135">
        <f t="shared" ca="1" si="14"/>
        <v>14.300601904742615</v>
      </c>
      <c r="AG15" s="101">
        <f t="shared" ca="1" si="15"/>
        <v>3647</v>
      </c>
      <c r="AH15" s="101"/>
      <c r="AI15" s="102"/>
      <c r="AJ15" s="101"/>
      <c r="AK15" s="101"/>
    </row>
    <row r="16" spans="1:37" ht="16.5" x14ac:dyDescent="0.3">
      <c r="A16" s="54">
        <v>14</v>
      </c>
      <c r="B16" s="125">
        <f t="shared" ca="1" si="2"/>
        <v>9053</v>
      </c>
      <c r="C16" s="126">
        <f t="shared" ca="1" si="8"/>
        <v>4187</v>
      </c>
      <c r="D16" s="127">
        <f t="shared" ca="1" si="9"/>
        <v>4337</v>
      </c>
      <c r="E16" s="128"/>
      <c r="F16" s="143"/>
      <c r="G16" s="143"/>
      <c r="H16" s="143"/>
      <c r="I16" s="143"/>
      <c r="L16" s="143"/>
      <c r="AB16" s="101">
        <f t="shared" ca="1" si="7"/>
        <v>0.39269806054364198</v>
      </c>
      <c r="AC16" s="113">
        <v>16</v>
      </c>
      <c r="AD16" s="113">
        <v>14</v>
      </c>
      <c r="AE16" s="113">
        <f t="shared" ca="1" si="13"/>
        <v>264</v>
      </c>
      <c r="AF16" s="135">
        <f t="shared" ca="1" si="14"/>
        <v>16.429341033939039</v>
      </c>
      <c r="AG16" s="101">
        <f t="shared" ca="1" si="15"/>
        <v>4337</v>
      </c>
      <c r="AH16" s="101"/>
      <c r="AI16" s="102"/>
      <c r="AJ16" s="101"/>
      <c r="AK16" s="101"/>
    </row>
    <row r="17" spans="1:37" ht="16.5" x14ac:dyDescent="0.3">
      <c r="A17" s="54">
        <v>15</v>
      </c>
      <c r="B17" s="125">
        <f t="shared" ca="1" si="2"/>
        <v>4415</v>
      </c>
      <c r="C17" s="126">
        <f t="shared" ca="1" si="8"/>
        <v>4415</v>
      </c>
      <c r="D17" s="127">
        <f t="shared" ca="1" si="9"/>
        <v>4729</v>
      </c>
      <c r="E17" s="128"/>
      <c r="J17" s="144"/>
      <c r="K17" s="144"/>
      <c r="AB17" s="101">
        <f t="shared" ca="1" si="7"/>
        <v>0.72518662718204396</v>
      </c>
      <c r="AC17" s="113">
        <v>18</v>
      </c>
      <c r="AD17" s="113">
        <v>15</v>
      </c>
      <c r="AE17" s="113">
        <f t="shared" ca="1" si="13"/>
        <v>273</v>
      </c>
      <c r="AF17" s="135">
        <f t="shared" ca="1" si="14"/>
        <v>17.320875045107297</v>
      </c>
      <c r="AG17" s="101">
        <f t="shared" ca="1" si="15"/>
        <v>4729</v>
      </c>
      <c r="AH17" s="101"/>
      <c r="AI17" s="102"/>
      <c r="AJ17" s="101"/>
      <c r="AK17" s="101"/>
    </row>
    <row r="18" spans="1:37" ht="16.5" x14ac:dyDescent="0.3">
      <c r="A18" s="54">
        <v>16</v>
      </c>
      <c r="B18" s="125">
        <f t="shared" ca="1" si="2"/>
        <v>3647</v>
      </c>
      <c r="C18" s="126">
        <f t="shared" ca="1" si="8"/>
        <v>3853</v>
      </c>
      <c r="D18" s="127">
        <f t="shared" ca="1" si="9"/>
        <v>3853</v>
      </c>
      <c r="E18" s="128"/>
      <c r="AB18" s="101">
        <f t="shared" ca="1" si="7"/>
        <v>0.85210768481906352</v>
      </c>
      <c r="AC18" s="113">
        <v>13</v>
      </c>
      <c r="AD18" s="113">
        <v>16</v>
      </c>
      <c r="AE18" s="113">
        <f t="shared" ca="1" si="13"/>
        <v>282</v>
      </c>
      <c r="AF18" s="135">
        <f t="shared" ca="1" si="14"/>
        <v>13.662179903607555</v>
      </c>
      <c r="AG18" s="101">
        <f t="shared" ca="1" si="15"/>
        <v>3853</v>
      </c>
      <c r="AH18" s="101"/>
      <c r="AI18" s="102"/>
      <c r="AJ18" s="101"/>
      <c r="AK18" s="101"/>
    </row>
    <row r="19" spans="1:37" ht="16.5" x14ac:dyDescent="0.3">
      <c r="A19" s="54">
        <v>17</v>
      </c>
      <c r="B19" s="125">
        <f t="shared" ca="1" si="2"/>
        <v>8573</v>
      </c>
      <c r="C19" s="126">
        <f t="shared" ca="1" si="8"/>
        <v>4337</v>
      </c>
      <c r="D19" s="127">
        <f t="shared" ca="1" si="9"/>
        <v>4187</v>
      </c>
      <c r="E19" s="128"/>
      <c r="AB19" s="101">
        <f t="shared" ca="1" si="7"/>
        <v>0.29193159011089553</v>
      </c>
      <c r="AC19" s="113">
        <v>17</v>
      </c>
      <c r="AD19" s="113">
        <v>17</v>
      </c>
      <c r="AE19" s="113">
        <f t="shared" ca="1" si="13"/>
        <v>291</v>
      </c>
      <c r="AF19" s="135">
        <f t="shared" ca="1" si="14"/>
        <v>14.387295504464522</v>
      </c>
      <c r="AG19" s="101">
        <f t="shared" ca="1" si="15"/>
        <v>4187</v>
      </c>
      <c r="AH19" s="101"/>
      <c r="AI19" s="102"/>
      <c r="AJ19" s="101"/>
      <c r="AK19" s="101"/>
    </row>
    <row r="20" spans="1:37" ht="16.5" x14ac:dyDescent="0.3">
      <c r="A20" s="54">
        <v>18</v>
      </c>
      <c r="B20" s="125">
        <f t="shared" ca="1" si="2"/>
        <v>3259</v>
      </c>
      <c r="C20" s="126">
        <f t="shared" ca="1" si="8"/>
        <v>4135</v>
      </c>
      <c r="D20" s="127">
        <f t="shared" ca="1" si="9"/>
        <v>4415</v>
      </c>
      <c r="E20" s="128"/>
      <c r="AB20" s="101">
        <f t="shared" ca="1" si="7"/>
        <v>0.93115237296105524</v>
      </c>
      <c r="AC20" s="113">
        <v>15</v>
      </c>
      <c r="AD20" s="113">
        <v>18</v>
      </c>
      <c r="AE20" s="113">
        <f t="shared" ca="1" si="13"/>
        <v>300</v>
      </c>
      <c r="AF20" s="135">
        <f t="shared" ca="1" si="14"/>
        <v>14.718318980090924</v>
      </c>
      <c r="AG20" s="101">
        <f t="shared" ca="1" si="15"/>
        <v>4415</v>
      </c>
      <c r="AH20" s="101"/>
      <c r="AI20" s="102"/>
      <c r="AJ20" s="101"/>
      <c r="AK20" s="101"/>
    </row>
    <row r="21" spans="1:37" ht="16.5" x14ac:dyDescent="0.3">
      <c r="A21" s="54">
        <v>19</v>
      </c>
      <c r="B21" s="125">
        <f t="shared" ca="1" si="2"/>
        <v>5752</v>
      </c>
      <c r="C21" s="126">
        <f t="shared" ca="1" si="8"/>
        <v>4579</v>
      </c>
      <c r="D21" s="127">
        <f t="shared" ca="1" si="9"/>
        <v>4989</v>
      </c>
      <c r="E21" s="128"/>
      <c r="AB21" s="101">
        <f t="shared" ca="1" si="7"/>
        <v>0.70211438680148008</v>
      </c>
      <c r="AC21" s="113">
        <v>19</v>
      </c>
      <c r="AD21" s="113">
        <v>19</v>
      </c>
      <c r="AE21" s="113">
        <f t="shared" ca="1" si="13"/>
        <v>309</v>
      </c>
      <c r="AF21" s="135">
        <f t="shared" ca="1" si="14"/>
        <v>16.144858370860138</v>
      </c>
      <c r="AG21" s="101">
        <f t="shared" ca="1" si="15"/>
        <v>4989</v>
      </c>
      <c r="AH21" s="101"/>
      <c r="AI21" s="102"/>
      <c r="AJ21" s="101"/>
      <c r="AK21" s="101"/>
    </row>
    <row r="22" spans="1:37" ht="16.5" x14ac:dyDescent="0.3">
      <c r="A22" s="54">
        <v>20</v>
      </c>
      <c r="B22" s="125">
        <f t="shared" ca="1" si="2"/>
        <v>11587</v>
      </c>
      <c r="C22" s="126">
        <f t="shared" ca="1" si="8"/>
        <v>4729</v>
      </c>
      <c r="D22" s="127">
        <f t="shared" ca="1" si="9"/>
        <v>5752</v>
      </c>
      <c r="E22" s="128"/>
      <c r="AB22" s="101">
        <f t="shared" ca="1" si="7"/>
        <v>0.21659525169581917</v>
      </c>
      <c r="AC22" s="113">
        <v>20</v>
      </c>
      <c r="AD22" s="113">
        <v>20</v>
      </c>
      <c r="AE22" s="113">
        <f t="shared" ca="1" si="13"/>
        <v>318</v>
      </c>
      <c r="AF22" s="135">
        <f t="shared" ca="1" si="14"/>
        <v>18.087633798437967</v>
      </c>
      <c r="AG22" s="101">
        <f t="shared" ca="1" si="15"/>
        <v>5752</v>
      </c>
      <c r="AH22" s="101"/>
      <c r="AI22" s="102"/>
      <c r="AJ22" s="101"/>
      <c r="AK22" s="101"/>
    </row>
    <row r="23" spans="1:37" ht="16.5" x14ac:dyDescent="0.3">
      <c r="A23" s="54">
        <v>21</v>
      </c>
      <c r="B23" s="125">
        <f t="shared" ca="1" si="2"/>
        <v>6380</v>
      </c>
      <c r="C23" s="126">
        <f t="shared" ca="1" si="8"/>
        <v>5612</v>
      </c>
      <c r="D23" s="127">
        <f t="shared" ca="1" si="9"/>
        <v>3971</v>
      </c>
      <c r="E23" s="128"/>
      <c r="AB23" s="101">
        <f t="shared" ca="1" si="7"/>
        <v>0.62541812436793964</v>
      </c>
      <c r="AC23" s="113">
        <v>24</v>
      </c>
      <c r="AD23" s="113">
        <v>21</v>
      </c>
      <c r="AE23" s="113">
        <f t="shared" ca="1" si="13"/>
        <v>327</v>
      </c>
      <c r="AF23" s="135">
        <f t="shared" ca="1" si="14"/>
        <v>12.142621740559527</v>
      </c>
      <c r="AG23" s="101">
        <f t="shared" ca="1" si="15"/>
        <v>3971</v>
      </c>
      <c r="AH23" s="101"/>
      <c r="AI23" s="102"/>
      <c r="AJ23" s="101"/>
      <c r="AK23" s="101"/>
    </row>
    <row r="24" spans="1:37" ht="16.5" x14ac:dyDescent="0.3">
      <c r="A24" s="54">
        <v>22</v>
      </c>
      <c r="B24" s="125">
        <f t="shared" ca="1" si="2"/>
        <v>3853</v>
      </c>
      <c r="C24" s="126">
        <f t="shared" ca="1" si="8"/>
        <v>4989</v>
      </c>
      <c r="D24" s="127">
        <f t="shared" ca="1" si="9"/>
        <v>4579</v>
      </c>
      <c r="E24" s="128"/>
      <c r="AB24" s="101">
        <f t="shared" ca="1" si="7"/>
        <v>0.75621860454504042</v>
      </c>
      <c r="AC24" s="113">
        <v>22</v>
      </c>
      <c r="AD24" s="113">
        <v>22</v>
      </c>
      <c r="AE24" s="113">
        <f t="shared" ca="1" si="13"/>
        <v>336</v>
      </c>
      <c r="AF24" s="135">
        <f t="shared" ca="1" si="14"/>
        <v>13.628541021979757</v>
      </c>
      <c r="AG24" s="101">
        <f t="shared" ca="1" si="15"/>
        <v>4579</v>
      </c>
      <c r="AH24" s="101"/>
      <c r="AI24" s="102"/>
      <c r="AJ24" s="101"/>
      <c r="AK24" s="101"/>
    </row>
    <row r="25" spans="1:37" ht="16.5" x14ac:dyDescent="0.3">
      <c r="A25" s="54">
        <v>23</v>
      </c>
      <c r="B25" s="125">
        <f t="shared" ca="1" si="2"/>
        <v>8304</v>
      </c>
      <c r="C25" s="126">
        <f t="shared" ca="1" si="8"/>
        <v>5450</v>
      </c>
      <c r="D25" s="127">
        <f t="shared" ca="1" si="9"/>
        <v>5612</v>
      </c>
      <c r="E25" s="128"/>
      <c r="AB25" s="101">
        <f t="shared" ca="1" si="7"/>
        <v>0.29802211662232403</v>
      </c>
      <c r="AC25" s="113">
        <v>23</v>
      </c>
      <c r="AD25" s="113">
        <v>23</v>
      </c>
      <c r="AE25" s="113">
        <f t="shared" ca="1" si="13"/>
        <v>345</v>
      </c>
      <c r="AF25" s="135">
        <f t="shared" ca="1" si="14"/>
        <v>16.267694272085958</v>
      </c>
      <c r="AG25" s="101">
        <f t="shared" ca="1" si="15"/>
        <v>5612</v>
      </c>
      <c r="AH25" s="101"/>
      <c r="AI25" s="102"/>
      <c r="AJ25" s="101"/>
      <c r="AK25" s="101"/>
    </row>
    <row r="26" spans="1:37" ht="16.5" x14ac:dyDescent="0.3">
      <c r="A26" s="54">
        <v>24</v>
      </c>
      <c r="B26" s="125">
        <f t="shared" ca="1" si="2"/>
        <v>6415</v>
      </c>
      <c r="C26" s="126">
        <f t="shared" ca="1" si="8"/>
        <v>5673</v>
      </c>
      <c r="D26" s="127">
        <f t="shared" ca="1" si="9"/>
        <v>5450</v>
      </c>
      <c r="E26" s="128"/>
      <c r="AB26" s="101">
        <f t="shared" ca="1" si="7"/>
        <v>0.45569728854904745</v>
      </c>
      <c r="AC26" s="113">
        <v>25</v>
      </c>
      <c r="AD26" s="113">
        <v>24</v>
      </c>
      <c r="AE26" s="113">
        <f t="shared" ca="1" si="13"/>
        <v>354</v>
      </c>
      <c r="AF26" s="135">
        <f t="shared" ca="1" si="14"/>
        <v>15.395456983559173</v>
      </c>
      <c r="AG26" s="101">
        <f t="shared" ca="1" si="15"/>
        <v>5450</v>
      </c>
      <c r="AH26" s="101"/>
      <c r="AI26" s="102"/>
      <c r="AJ26" s="101"/>
      <c r="AK26" s="101"/>
    </row>
    <row r="27" spans="1:37" ht="16.5" x14ac:dyDescent="0.3">
      <c r="A27" s="54">
        <v>25</v>
      </c>
      <c r="B27" s="125">
        <f t="shared" ca="1" si="2"/>
        <v>13010</v>
      </c>
      <c r="C27" s="126">
        <f t="shared" ca="1" si="8"/>
        <v>4858</v>
      </c>
      <c r="D27" s="127">
        <f t="shared" ca="1" si="9"/>
        <v>6534</v>
      </c>
      <c r="E27" s="157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01">
        <f t="shared" ca="1" si="7"/>
        <v>1.6986151498816215E-2</v>
      </c>
      <c r="AC27" s="113">
        <v>21</v>
      </c>
      <c r="AD27" s="113">
        <v>25</v>
      </c>
      <c r="AE27" s="113">
        <f t="shared" ca="1" si="13"/>
        <v>363</v>
      </c>
      <c r="AF27" s="135">
        <f t="shared" ca="1" si="14"/>
        <v>17.999458380687361</v>
      </c>
      <c r="AG27" s="101">
        <f t="shared" ca="1" si="15"/>
        <v>6534</v>
      </c>
      <c r="AH27" s="101"/>
      <c r="AI27" s="102"/>
      <c r="AJ27" s="101"/>
      <c r="AK27" s="101"/>
    </row>
    <row r="28" spans="1:37" ht="16.5" x14ac:dyDescent="0.3">
      <c r="A28" s="54">
        <v>26</v>
      </c>
      <c r="B28" s="125">
        <f t="shared" ca="1" si="2"/>
        <v>8870</v>
      </c>
      <c r="C28" s="126">
        <f t="shared" ca="1" si="8"/>
        <v>5953</v>
      </c>
      <c r="D28" s="127">
        <f t="shared" ca="1" si="9"/>
        <v>4858</v>
      </c>
      <c r="E28" s="157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01">
        <f t="shared" ca="1" si="7"/>
        <v>0.14688711445659608</v>
      </c>
      <c r="AC28" s="113">
        <v>27</v>
      </c>
      <c r="AD28" s="113">
        <v>26</v>
      </c>
      <c r="AE28" s="113">
        <f t="shared" ca="1" si="13"/>
        <v>372</v>
      </c>
      <c r="AF28" s="135">
        <f t="shared" ca="1" si="14"/>
        <v>13.058966575126053</v>
      </c>
      <c r="AG28" s="101">
        <f t="shared" ca="1" si="15"/>
        <v>4858</v>
      </c>
      <c r="AH28" s="101"/>
      <c r="AI28" s="102"/>
      <c r="AJ28" s="101"/>
      <c r="AK28" s="101"/>
    </row>
    <row r="29" spans="1:37" ht="16.5" x14ac:dyDescent="0.3">
      <c r="A29" s="54">
        <v>27</v>
      </c>
      <c r="B29" s="125">
        <f t="shared" ca="1" si="2"/>
        <v>12147</v>
      </c>
      <c r="C29" s="126">
        <f t="shared" ca="1" si="8"/>
        <v>5752</v>
      </c>
      <c r="D29" s="127">
        <f t="shared" ca="1" si="9"/>
        <v>5673</v>
      </c>
      <c r="E29" s="157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01">
        <f t="shared" ca="1" si="7"/>
        <v>0.10939797707405907</v>
      </c>
      <c r="AC29" s="113">
        <v>26</v>
      </c>
      <c r="AD29" s="113">
        <v>27</v>
      </c>
      <c r="AE29" s="113">
        <f t="shared" ca="1" si="13"/>
        <v>381</v>
      </c>
      <c r="AF29" s="135">
        <f t="shared" ca="1" si="14"/>
        <v>14.889189901853584</v>
      </c>
      <c r="AG29" s="101">
        <f t="shared" ca="1" si="15"/>
        <v>5673</v>
      </c>
      <c r="AH29" s="101"/>
      <c r="AI29" s="102"/>
      <c r="AJ29" s="101"/>
      <c r="AK29" s="101"/>
    </row>
    <row r="30" spans="1:37" ht="16.5" x14ac:dyDescent="0.3">
      <c r="A30" s="54">
        <v>28</v>
      </c>
      <c r="B30" s="125">
        <f t="shared" ca="1" si="2"/>
        <v>6098</v>
      </c>
      <c r="C30" s="126">
        <f t="shared" ca="1" si="8"/>
        <v>6534</v>
      </c>
      <c r="D30" s="127">
        <f t="shared" ca="1" si="9"/>
        <v>6380</v>
      </c>
      <c r="E30" s="15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01">
        <f t="shared" ca="1" si="7"/>
        <v>0.5398888764549975</v>
      </c>
      <c r="AC30" s="113">
        <v>33</v>
      </c>
      <c r="AD30" s="113">
        <v>28</v>
      </c>
      <c r="AE30" s="113">
        <f t="shared" ca="1" si="13"/>
        <v>390</v>
      </c>
      <c r="AF30" s="135">
        <f t="shared" ca="1" si="14"/>
        <v>16.359715671130814</v>
      </c>
      <c r="AG30" s="101">
        <f t="shared" ca="1" si="15"/>
        <v>6380</v>
      </c>
      <c r="AH30" s="101"/>
      <c r="AI30" s="102"/>
      <c r="AJ30" s="101"/>
      <c r="AK30" s="101"/>
    </row>
    <row r="31" spans="1:37" ht="16.5" x14ac:dyDescent="0.3">
      <c r="A31" s="54">
        <v>29</v>
      </c>
      <c r="B31" s="125">
        <f t="shared" ca="1" si="2"/>
        <v>8430</v>
      </c>
      <c r="C31" s="126">
        <f t="shared" ca="1" si="8"/>
        <v>6703</v>
      </c>
      <c r="D31" s="127">
        <f t="shared" ca="1" si="9"/>
        <v>6993</v>
      </c>
      <c r="E31" s="15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01">
        <f t="shared" ca="1" si="7"/>
        <v>0.52914140881701732</v>
      </c>
      <c r="AC31" s="113">
        <v>34</v>
      </c>
      <c r="AD31" s="113">
        <v>29</v>
      </c>
      <c r="AE31" s="113">
        <f t="shared" ca="1" si="13"/>
        <v>399</v>
      </c>
      <c r="AF31" s="135">
        <f t="shared" ca="1" si="14"/>
        <v>17.526470734575259</v>
      </c>
      <c r="AG31" s="101">
        <f t="shared" ca="1" si="15"/>
        <v>6993</v>
      </c>
      <c r="AH31" s="101"/>
      <c r="AI31" s="102"/>
      <c r="AJ31" s="101"/>
      <c r="AK31" s="101"/>
    </row>
    <row r="32" spans="1:37" ht="16.5" x14ac:dyDescent="0.3">
      <c r="A32" s="54">
        <v>30</v>
      </c>
      <c r="B32" s="125">
        <f t="shared" ca="1" si="2"/>
        <v>4579</v>
      </c>
      <c r="C32" s="126">
        <f t="shared" ca="1" si="8"/>
        <v>6002</v>
      </c>
      <c r="D32" s="127">
        <f t="shared" ca="1" si="9"/>
        <v>7380</v>
      </c>
      <c r="E32" s="157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01">
        <f t="shared" ca="1" si="7"/>
        <v>0.69184908564105119</v>
      </c>
      <c r="AC32" s="113">
        <v>28</v>
      </c>
      <c r="AD32" s="113">
        <v>30</v>
      </c>
      <c r="AE32" s="113">
        <f t="shared" ca="1" si="13"/>
        <v>408</v>
      </c>
      <c r="AF32" s="135">
        <f t="shared" ca="1" si="14"/>
        <v>18.087414986199629</v>
      </c>
      <c r="AG32" s="101">
        <f t="shared" ca="1" si="15"/>
        <v>7380</v>
      </c>
      <c r="AH32" s="101"/>
      <c r="AI32" s="102"/>
      <c r="AJ32" s="101"/>
      <c r="AK32" s="101"/>
    </row>
    <row r="33" spans="1:37" ht="16.5" x14ac:dyDescent="0.3">
      <c r="A33" s="54">
        <v>31</v>
      </c>
      <c r="B33" s="125">
        <f t="shared" ca="1" si="2"/>
        <v>10910</v>
      </c>
      <c r="C33" s="126">
        <f t="shared" ca="1" si="8"/>
        <v>6164</v>
      </c>
      <c r="D33" s="127">
        <f t="shared" ca="1" si="9"/>
        <v>6002</v>
      </c>
      <c r="E33" s="157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01">
        <f t="shared" ca="1" si="7"/>
        <v>0.23362210603421907</v>
      </c>
      <c r="AC33" s="113">
        <v>30</v>
      </c>
      <c r="AD33" s="113">
        <v>31</v>
      </c>
      <c r="AE33" s="113">
        <f t="shared" ca="1" si="13"/>
        <v>417</v>
      </c>
      <c r="AF33" s="135">
        <f t="shared" ca="1" si="14"/>
        <v>14.393695858042141</v>
      </c>
      <c r="AG33" s="101">
        <f t="shared" ca="1" si="15"/>
        <v>6002</v>
      </c>
      <c r="AH33" s="101"/>
      <c r="AI33" s="102"/>
      <c r="AJ33" s="101"/>
      <c r="AK33" s="101"/>
    </row>
    <row r="34" spans="1:37" ht="16.5" x14ac:dyDescent="0.3">
      <c r="A34" s="54">
        <v>32</v>
      </c>
      <c r="B34" s="125">
        <f t="shared" ca="1" si="2"/>
        <v>2134</v>
      </c>
      <c r="C34" s="126">
        <f t="shared" ca="1" si="8"/>
        <v>6098</v>
      </c>
      <c r="D34" s="127">
        <f t="shared" ca="1" si="9"/>
        <v>5953</v>
      </c>
      <c r="E34" s="157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01">
        <f t="shared" ca="1" si="7"/>
        <v>0.9682328941159587</v>
      </c>
      <c r="AC34" s="113">
        <v>29</v>
      </c>
      <c r="AD34" s="113">
        <v>32</v>
      </c>
      <c r="AE34" s="113">
        <f t="shared" ca="1" si="13"/>
        <v>426</v>
      </c>
      <c r="AF34" s="135">
        <f t="shared" ca="1" si="14"/>
        <v>13.974070680716917</v>
      </c>
      <c r="AG34" s="101">
        <f t="shared" ca="1" si="15"/>
        <v>5953</v>
      </c>
      <c r="AH34" s="101"/>
      <c r="AI34" s="102"/>
      <c r="AJ34" s="101"/>
      <c r="AK34" s="101"/>
    </row>
    <row r="35" spans="1:37" ht="16.5" x14ac:dyDescent="0.3">
      <c r="A35" s="54">
        <v>33</v>
      </c>
      <c r="B35" s="125">
        <f t="shared" ref="B35:B67" ca="1" si="16">INDEX($AG$3:$AG$77,RANK(AB35,$AB$3:$AB$77))</f>
        <v>6002</v>
      </c>
      <c r="C35" s="126">
        <f t="shared" ca="1" si="8"/>
        <v>6380</v>
      </c>
      <c r="D35" s="127">
        <f t="shared" ca="1" si="9"/>
        <v>7138</v>
      </c>
      <c r="E35" s="157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01">
        <f t="shared" ca="1" si="7"/>
        <v>0.597066963339283</v>
      </c>
      <c r="AC35" s="113">
        <v>31</v>
      </c>
      <c r="AD35" s="113">
        <v>33</v>
      </c>
      <c r="AE35" s="113">
        <f t="shared" ca="1" si="13"/>
        <v>435</v>
      </c>
      <c r="AF35" s="135">
        <f t="shared" ca="1" si="14"/>
        <v>16.408861762190853</v>
      </c>
      <c r="AG35" s="101">
        <f t="shared" ca="1" si="15"/>
        <v>7138</v>
      </c>
      <c r="AH35" s="101"/>
      <c r="AI35" s="102"/>
      <c r="AJ35" s="101"/>
      <c r="AK35" s="101"/>
    </row>
    <row r="36" spans="1:37" ht="16.5" x14ac:dyDescent="0.3">
      <c r="A36" s="54">
        <v>34</v>
      </c>
      <c r="B36" s="125">
        <f t="shared" ca="1" si="16"/>
        <v>4858</v>
      </c>
      <c r="C36" s="126">
        <f t="shared" ca="1" si="8"/>
        <v>6415</v>
      </c>
      <c r="D36" s="127">
        <f t="shared" ca="1" si="9"/>
        <v>7222</v>
      </c>
      <c r="E36" s="157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01">
        <f t="shared" ca="1" si="7"/>
        <v>0.62992273627698736</v>
      </c>
      <c r="AC36" s="113">
        <v>32</v>
      </c>
      <c r="AD36" s="113">
        <v>34</v>
      </c>
      <c r="AE36" s="113">
        <f t="shared" ca="1" si="13"/>
        <v>444</v>
      </c>
      <c r="AF36" s="135">
        <f t="shared" ca="1" si="14"/>
        <v>16.265987709104358</v>
      </c>
      <c r="AG36" s="101">
        <f t="shared" ca="1" si="15"/>
        <v>7222</v>
      </c>
      <c r="AH36" s="101"/>
      <c r="AI36" s="102"/>
      <c r="AJ36" s="101"/>
      <c r="AK36" s="101"/>
    </row>
    <row r="37" spans="1:37" ht="16.5" x14ac:dyDescent="0.3">
      <c r="A37" s="54">
        <v>35</v>
      </c>
      <c r="B37" s="125">
        <f t="shared" ca="1" si="16"/>
        <v>9321</v>
      </c>
      <c r="C37" s="126">
        <f t="shared" ca="1" si="8"/>
        <v>6743</v>
      </c>
      <c r="D37" s="127">
        <f t="shared" ca="1" si="9"/>
        <v>7733</v>
      </c>
      <c r="E37" s="157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01">
        <f t="shared" ca="1" si="7"/>
        <v>0.38402213651202166</v>
      </c>
      <c r="AC37" s="113">
        <v>35</v>
      </c>
      <c r="AD37" s="113">
        <v>35</v>
      </c>
      <c r="AE37" s="113">
        <f t="shared" ca="1" si="13"/>
        <v>453</v>
      </c>
      <c r="AF37" s="135">
        <f t="shared" ca="1" si="14"/>
        <v>17.070382488957339</v>
      </c>
      <c r="AG37" s="101">
        <f t="shared" ca="1" si="15"/>
        <v>7733</v>
      </c>
      <c r="AH37" s="101"/>
      <c r="AI37" s="102"/>
      <c r="AJ37" s="101"/>
      <c r="AK37" s="101"/>
    </row>
    <row r="38" spans="1:37" ht="16.5" x14ac:dyDescent="0.3">
      <c r="A38" s="54">
        <v>36</v>
      </c>
      <c r="B38" s="125">
        <f t="shared" ca="1" si="16"/>
        <v>14638</v>
      </c>
      <c r="C38" s="126">
        <f t="shared" ca="1" si="8"/>
        <v>7222</v>
      </c>
      <c r="D38" s="127">
        <f t="shared" ca="1" si="9"/>
        <v>6098</v>
      </c>
      <c r="E38" s="157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01">
        <f t="shared" ca="1" si="7"/>
        <v>1.0987528353688547E-2</v>
      </c>
      <c r="AC38" s="113">
        <v>39</v>
      </c>
      <c r="AD38" s="113">
        <v>36</v>
      </c>
      <c r="AE38" s="113">
        <f t="shared" ca="1" si="13"/>
        <v>462</v>
      </c>
      <c r="AF38" s="135">
        <f t="shared" ca="1" si="14"/>
        <v>13.199322743214953</v>
      </c>
      <c r="AG38" s="101">
        <f t="shared" ca="1" si="15"/>
        <v>6098</v>
      </c>
      <c r="AH38" s="101"/>
      <c r="AI38" s="102"/>
      <c r="AJ38" s="101"/>
      <c r="AK38" s="101"/>
    </row>
    <row r="39" spans="1:37" ht="16.5" x14ac:dyDescent="0.3">
      <c r="A39" s="54">
        <v>37</v>
      </c>
      <c r="B39" s="125">
        <f t="shared" ca="1" si="16"/>
        <v>10495</v>
      </c>
      <c r="C39" s="126">
        <f t="shared" ca="1" si="8"/>
        <v>6993</v>
      </c>
      <c r="D39" s="127">
        <f t="shared" ca="1" si="9"/>
        <v>6164</v>
      </c>
      <c r="E39" s="157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01">
        <f t="shared" ca="1" si="7"/>
        <v>0.1281815113196737</v>
      </c>
      <c r="AC39" s="113">
        <v>36</v>
      </c>
      <c r="AD39" s="113">
        <v>37</v>
      </c>
      <c r="AE39" s="113">
        <f t="shared" ca="1" si="13"/>
        <v>471</v>
      </c>
      <c r="AF39" s="135">
        <f t="shared" ca="1" si="14"/>
        <v>13.086152530287251</v>
      </c>
      <c r="AG39" s="101">
        <f t="shared" ca="1" si="15"/>
        <v>6164</v>
      </c>
      <c r="AH39" s="101"/>
      <c r="AI39" s="102"/>
      <c r="AJ39" s="101"/>
      <c r="AK39" s="101"/>
    </row>
    <row r="40" spans="1:37" ht="16.5" x14ac:dyDescent="0.3">
      <c r="A40" s="54">
        <v>38</v>
      </c>
      <c r="B40" s="125">
        <f t="shared" ca="1" si="16"/>
        <v>7380</v>
      </c>
      <c r="C40" s="126">
        <f t="shared" ca="1" si="8"/>
        <v>7138</v>
      </c>
      <c r="D40" s="127">
        <f t="shared" ca="1" si="9"/>
        <v>7390</v>
      </c>
      <c r="E40" s="157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01">
        <f t="shared" ca="1" si="7"/>
        <v>0.60718859587427598</v>
      </c>
      <c r="AC40" s="113">
        <v>37</v>
      </c>
      <c r="AD40" s="113">
        <v>38</v>
      </c>
      <c r="AE40" s="113">
        <f t="shared" ca="1" si="13"/>
        <v>480</v>
      </c>
      <c r="AF40" s="135">
        <f t="shared" ca="1" si="14"/>
        <v>15.396611968773842</v>
      </c>
      <c r="AG40" s="101">
        <f t="shared" ca="1" si="15"/>
        <v>7390</v>
      </c>
      <c r="AH40" s="101"/>
      <c r="AI40" s="102"/>
      <c r="AJ40" s="101"/>
      <c r="AK40" s="101"/>
    </row>
    <row r="41" spans="1:37" ht="16.5" x14ac:dyDescent="0.3">
      <c r="A41" s="54">
        <v>39</v>
      </c>
      <c r="B41" s="125">
        <f t="shared" ca="1" si="16"/>
        <v>9842</v>
      </c>
      <c r="C41" s="126">
        <f t="shared" ca="1" si="8"/>
        <v>7169</v>
      </c>
      <c r="D41" s="127">
        <f t="shared" ca="1" si="9"/>
        <v>7961</v>
      </c>
      <c r="E41" s="157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01">
        <f t="shared" ca="1" si="7"/>
        <v>2.3261226282516589E-2</v>
      </c>
      <c r="AC41" s="113">
        <v>38</v>
      </c>
      <c r="AD41" s="113">
        <v>39</v>
      </c>
      <c r="AE41" s="113">
        <f t="shared" ca="1" si="13"/>
        <v>489</v>
      </c>
      <c r="AF41" s="135">
        <f t="shared" ca="1" si="14"/>
        <v>16.280220456507728</v>
      </c>
      <c r="AG41" s="101">
        <f t="shared" ca="1" si="15"/>
        <v>7961</v>
      </c>
      <c r="AH41" s="101"/>
      <c r="AI41" s="102"/>
      <c r="AJ41" s="101"/>
      <c r="AK41" s="101"/>
    </row>
    <row r="42" spans="1:37" ht="16.5" x14ac:dyDescent="0.3">
      <c r="A42" s="54">
        <v>40</v>
      </c>
      <c r="B42" s="125">
        <f t="shared" ca="1" si="16"/>
        <v>6703</v>
      </c>
      <c r="C42" s="126">
        <f t="shared" ca="1" si="8"/>
        <v>7390</v>
      </c>
      <c r="D42" s="127">
        <f t="shared" ca="1" si="9"/>
        <v>8430</v>
      </c>
      <c r="E42" s="157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01">
        <f t="shared" ca="1" si="7"/>
        <v>0.52645709102642391</v>
      </c>
      <c r="AC42" s="113">
        <v>41</v>
      </c>
      <c r="AD42" s="113">
        <v>40</v>
      </c>
      <c r="AE42" s="113">
        <f t="shared" ca="1" si="13"/>
        <v>498</v>
      </c>
      <c r="AF42" s="135">
        <f t="shared" ca="1" si="14"/>
        <v>16.927327702663</v>
      </c>
      <c r="AG42" s="101">
        <f t="shared" ca="1" si="15"/>
        <v>8430</v>
      </c>
      <c r="AH42" s="101"/>
      <c r="AI42" s="102"/>
      <c r="AJ42" s="101"/>
      <c r="AK42" s="101"/>
    </row>
    <row r="43" spans="1:37" ht="16.5" x14ac:dyDescent="0.3">
      <c r="A43" s="54">
        <v>41</v>
      </c>
      <c r="B43" s="125">
        <f t="shared" ca="1" si="16"/>
        <v>9763</v>
      </c>
      <c r="C43" s="126">
        <f t="shared" ca="1" si="8"/>
        <v>7380</v>
      </c>
      <c r="D43" s="127">
        <f t="shared" ca="1" si="9"/>
        <v>6703</v>
      </c>
      <c r="E43" s="157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01">
        <f t="shared" ca="1" si="7"/>
        <v>0.46304051284181535</v>
      </c>
      <c r="AC43" s="113">
        <v>40</v>
      </c>
      <c r="AD43" s="113">
        <v>41</v>
      </c>
      <c r="AE43" s="113">
        <f t="shared" ca="1" si="13"/>
        <v>507</v>
      </c>
      <c r="AF43" s="135">
        <f t="shared" ca="1" si="14"/>
        <v>13.22061608625447</v>
      </c>
      <c r="AG43" s="101">
        <f t="shared" ca="1" si="15"/>
        <v>6703</v>
      </c>
      <c r="AH43" s="101"/>
      <c r="AI43" s="102"/>
      <c r="AJ43" s="101"/>
      <c r="AK43" s="101"/>
    </row>
    <row r="44" spans="1:37" ht="16.5" x14ac:dyDescent="0.3">
      <c r="A44" s="54">
        <v>42</v>
      </c>
      <c r="B44" s="125">
        <f t="shared" ca="1" si="16"/>
        <v>4135</v>
      </c>
      <c r="C44" s="126">
        <f t="shared" ca="1" si="8"/>
        <v>8292</v>
      </c>
      <c r="D44" s="127">
        <f t="shared" ca="1" si="9"/>
        <v>8034</v>
      </c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01">
        <f t="shared" ca="1" si="7"/>
        <v>0.92621886879478965</v>
      </c>
      <c r="AC44" s="113">
        <v>46</v>
      </c>
      <c r="AD44" s="113">
        <v>42</v>
      </c>
      <c r="AE44" s="113">
        <f t="shared" ca="1" si="13"/>
        <v>516</v>
      </c>
      <c r="AF44" s="135">
        <f t="shared" ca="1" si="14"/>
        <v>15.570675565141704</v>
      </c>
      <c r="AG44" s="101">
        <f t="shared" ca="1" si="15"/>
        <v>8034</v>
      </c>
      <c r="AH44" s="101"/>
      <c r="AI44" s="102"/>
      <c r="AJ44" s="101"/>
      <c r="AK44" s="101"/>
    </row>
    <row r="45" spans="1:37" ht="16.5" x14ac:dyDescent="0.3">
      <c r="A45" s="54">
        <v>43</v>
      </c>
      <c r="B45" s="125">
        <f t="shared" ca="1" si="16"/>
        <v>12619</v>
      </c>
      <c r="C45" s="126">
        <f t="shared" ca="1" si="8"/>
        <v>8034</v>
      </c>
      <c r="D45" s="127">
        <f t="shared" ca="1" si="9"/>
        <v>8465</v>
      </c>
      <c r="E45" s="157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01">
        <f t="shared" ca="1" si="7"/>
        <v>3.100056592882805E-2</v>
      </c>
      <c r="AC45" s="113">
        <v>44</v>
      </c>
      <c r="AD45" s="113">
        <v>43</v>
      </c>
      <c r="AE45" s="113">
        <f t="shared" ca="1" si="13"/>
        <v>525</v>
      </c>
      <c r="AF45" s="135">
        <f t="shared" ca="1" si="14"/>
        <v>16.123764700136572</v>
      </c>
      <c r="AG45" s="101">
        <f t="shared" ca="1" si="15"/>
        <v>8465</v>
      </c>
      <c r="AH45" s="101"/>
      <c r="AI45" s="102"/>
      <c r="AJ45" s="101"/>
      <c r="AK45" s="101"/>
    </row>
    <row r="46" spans="1:37" ht="16.5" x14ac:dyDescent="0.3">
      <c r="A46" s="54">
        <v>44</v>
      </c>
      <c r="B46" s="125">
        <f t="shared" ca="1" si="16"/>
        <v>2889</v>
      </c>
      <c r="C46" s="126">
        <f t="shared" ca="1" si="8"/>
        <v>8241</v>
      </c>
      <c r="D46" s="127">
        <f t="shared" ca="1" si="9"/>
        <v>9172</v>
      </c>
      <c r="E46" s="157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01">
        <f t="shared" ca="1" si="7"/>
        <v>0.90512549370666495</v>
      </c>
      <c r="AC46" s="110">
        <v>45</v>
      </c>
      <c r="AD46" s="113">
        <v>44</v>
      </c>
      <c r="AE46" s="113">
        <f t="shared" ca="1" si="13"/>
        <v>534</v>
      </c>
      <c r="AF46" s="135">
        <f t="shared" ca="1" si="14"/>
        <v>17.17645557519463</v>
      </c>
      <c r="AG46" s="101">
        <f t="shared" ca="1" si="15"/>
        <v>9172</v>
      </c>
      <c r="AH46" s="101"/>
      <c r="AI46" s="102"/>
      <c r="AJ46" s="101"/>
      <c r="AK46" s="101"/>
    </row>
    <row r="47" spans="1:37" ht="16.5" x14ac:dyDescent="0.3">
      <c r="A47" s="54">
        <v>45</v>
      </c>
      <c r="B47" s="125">
        <f t="shared" ca="1" si="16"/>
        <v>2809</v>
      </c>
      <c r="C47" s="126">
        <f t="shared" ca="1" si="8"/>
        <v>8304</v>
      </c>
      <c r="D47" s="127">
        <f t="shared" ca="1" si="9"/>
        <v>9763</v>
      </c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01">
        <f t="shared" ca="1" si="7"/>
        <v>0.94541538962544125</v>
      </c>
      <c r="AC47" s="113">
        <v>47</v>
      </c>
      <c r="AD47" s="113">
        <v>45</v>
      </c>
      <c r="AE47" s="113">
        <f t="shared" ca="1" si="13"/>
        <v>543</v>
      </c>
      <c r="AF47" s="135">
        <f t="shared" ca="1" si="14"/>
        <v>17.979016768439436</v>
      </c>
      <c r="AG47" s="101">
        <f t="shared" ca="1" si="15"/>
        <v>9763</v>
      </c>
      <c r="AH47" s="101"/>
      <c r="AI47" s="102"/>
      <c r="AJ47" s="101"/>
      <c r="AK47" s="101"/>
    </row>
    <row r="48" spans="1:37" ht="16.5" x14ac:dyDescent="0.3">
      <c r="A48" s="54">
        <v>46</v>
      </c>
      <c r="B48" s="125">
        <f t="shared" ca="1" si="16"/>
        <v>9974</v>
      </c>
      <c r="C48" s="126">
        <f t="shared" ca="1" si="8"/>
        <v>8430</v>
      </c>
      <c r="D48" s="127">
        <f t="shared" ca="1" si="9"/>
        <v>6415</v>
      </c>
      <c r="E48" s="157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01">
        <f t="shared" ca="1" si="7"/>
        <v>0.10024937700206338</v>
      </c>
      <c r="AC48" s="113">
        <v>48</v>
      </c>
      <c r="AD48" s="113">
        <v>46</v>
      </c>
      <c r="AE48" s="113">
        <f t="shared" ca="1" si="13"/>
        <v>552</v>
      </c>
      <c r="AF48" s="135">
        <f t="shared" ca="1" si="14"/>
        <v>11.621488898871114</v>
      </c>
      <c r="AG48" s="101">
        <f t="shared" ca="1" si="15"/>
        <v>6415</v>
      </c>
      <c r="AH48" s="101"/>
      <c r="AI48" s="102"/>
      <c r="AJ48" s="101"/>
      <c r="AK48" s="101"/>
    </row>
    <row r="49" spans="1:37" ht="16.5" x14ac:dyDescent="0.3">
      <c r="A49" s="54">
        <v>47</v>
      </c>
      <c r="B49" s="125">
        <f t="shared" ca="1" si="16"/>
        <v>9912</v>
      </c>
      <c r="C49" s="126">
        <f t="shared" ca="1" si="8"/>
        <v>7733</v>
      </c>
      <c r="D49" s="127">
        <f t="shared" ca="1" si="9"/>
        <v>7169</v>
      </c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01">
        <f t="shared" ca="1" si="7"/>
        <v>0.26232105242254256</v>
      </c>
      <c r="AC49" s="113">
        <v>42</v>
      </c>
      <c r="AD49" s="113">
        <v>47</v>
      </c>
      <c r="AE49" s="113">
        <f t="shared" ca="1" si="13"/>
        <v>561</v>
      </c>
      <c r="AF49" s="135">
        <f t="shared" ca="1" si="14"/>
        <v>12.77932452831956</v>
      </c>
      <c r="AG49" s="101">
        <f t="shared" ca="1" si="15"/>
        <v>7169</v>
      </c>
      <c r="AH49" s="101"/>
      <c r="AI49" s="102"/>
      <c r="AJ49" s="101"/>
      <c r="AK49" s="101"/>
    </row>
    <row r="50" spans="1:37" ht="16.5" x14ac:dyDescent="0.3">
      <c r="A50" s="54">
        <v>48</v>
      </c>
      <c r="B50" s="125">
        <f t="shared" ca="1" si="16"/>
        <v>4187</v>
      </c>
      <c r="C50" s="126">
        <f t="shared" ca="1" si="8"/>
        <v>7961</v>
      </c>
      <c r="D50" s="127">
        <f t="shared" ca="1" si="9"/>
        <v>9053</v>
      </c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01">
        <f t="shared" ca="1" si="7"/>
        <v>0.73664573474096406</v>
      </c>
      <c r="AC50" s="113">
        <v>43</v>
      </c>
      <c r="AD50" s="113">
        <v>48</v>
      </c>
      <c r="AE50" s="113">
        <f t="shared" ca="1" si="13"/>
        <v>570</v>
      </c>
      <c r="AF50" s="135">
        <f t="shared" ca="1" si="14"/>
        <v>15.883162713694308</v>
      </c>
      <c r="AG50" s="101">
        <f t="shared" ca="1" si="15"/>
        <v>9053</v>
      </c>
      <c r="AH50" s="101"/>
      <c r="AI50" s="102"/>
      <c r="AJ50" s="101"/>
      <c r="AK50" s="101"/>
    </row>
    <row r="51" spans="1:37" ht="16.5" x14ac:dyDescent="0.3">
      <c r="A51" s="54">
        <v>49</v>
      </c>
      <c r="B51" s="125">
        <f t="shared" ca="1" si="16"/>
        <v>8241</v>
      </c>
      <c r="C51" s="126">
        <f t="shared" ca="1" si="8"/>
        <v>8573</v>
      </c>
      <c r="D51" s="127">
        <f t="shared" ca="1" si="9"/>
        <v>9777</v>
      </c>
      <c r="E51" s="157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01">
        <f t="shared" ca="1" si="7"/>
        <v>0.19073106822869801</v>
      </c>
      <c r="AC51" s="113">
        <v>50</v>
      </c>
      <c r="AD51" s="113">
        <v>49</v>
      </c>
      <c r="AE51" s="113">
        <f t="shared" ca="1" si="13"/>
        <v>579</v>
      </c>
      <c r="AF51" s="135">
        <f t="shared" ca="1" si="14"/>
        <v>16.885638693710604</v>
      </c>
      <c r="AG51" s="101">
        <f t="shared" ca="1" si="15"/>
        <v>9777</v>
      </c>
      <c r="AH51" s="101"/>
      <c r="AI51" s="102"/>
      <c r="AJ51" s="101"/>
      <c r="AK51" s="101"/>
    </row>
    <row r="52" spans="1:37" ht="16.5" x14ac:dyDescent="0.3">
      <c r="A52" s="54">
        <v>50</v>
      </c>
      <c r="B52" s="125">
        <f t="shared" ca="1" si="16"/>
        <v>3248</v>
      </c>
      <c r="C52" s="126">
        <f t="shared" ca="1" si="8"/>
        <v>8465</v>
      </c>
      <c r="D52" s="127">
        <f t="shared" ca="1" si="9"/>
        <v>9321</v>
      </c>
      <c r="E52" s="157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01">
        <f t="shared" ca="1" si="7"/>
        <v>0.86872684417455115</v>
      </c>
      <c r="AC52" s="113">
        <v>49</v>
      </c>
      <c r="AD52" s="113">
        <v>50</v>
      </c>
      <c r="AE52" s="113">
        <f t="shared" ca="1" si="13"/>
        <v>588</v>
      </c>
      <c r="AF52" s="135">
        <f t="shared" ca="1" si="14"/>
        <v>15.851517277195402</v>
      </c>
      <c r="AG52" s="101">
        <f t="shared" ca="1" si="15"/>
        <v>9321</v>
      </c>
      <c r="AH52" s="101"/>
      <c r="AI52" s="102"/>
      <c r="AJ52" s="101"/>
      <c r="AK52" s="101"/>
    </row>
    <row r="53" spans="1:37" ht="16.5" x14ac:dyDescent="0.3">
      <c r="A53" s="54">
        <v>51</v>
      </c>
      <c r="B53" s="125">
        <f t="shared" ca="1" si="16"/>
        <v>7390</v>
      </c>
      <c r="C53" s="126">
        <f t="shared" ca="1" si="8"/>
        <v>8870</v>
      </c>
      <c r="D53" s="127">
        <f t="shared" ca="1" si="9"/>
        <v>6743</v>
      </c>
      <c r="E53" s="157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01">
        <f t="shared" ca="1" si="7"/>
        <v>0.53244929652757533</v>
      </c>
      <c r="AC53" s="113">
        <v>51</v>
      </c>
      <c r="AD53" s="113">
        <v>51</v>
      </c>
      <c r="AE53" s="113">
        <f t="shared" ca="1" si="13"/>
        <v>597</v>
      </c>
      <c r="AF53" s="135">
        <f t="shared" ca="1" si="14"/>
        <v>11.295427881681011</v>
      </c>
      <c r="AG53" s="101">
        <f t="shared" ca="1" si="15"/>
        <v>6743</v>
      </c>
      <c r="AH53" s="101"/>
      <c r="AI53" s="102"/>
      <c r="AJ53" s="101"/>
      <c r="AK53" s="101"/>
    </row>
    <row r="54" spans="1:37" ht="16.5" x14ac:dyDescent="0.3">
      <c r="A54" s="54">
        <v>52</v>
      </c>
      <c r="B54" s="125">
        <f t="shared" ca="1" si="16"/>
        <v>5450</v>
      </c>
      <c r="C54" s="126">
        <f t="shared" ca="1" si="8"/>
        <v>9321</v>
      </c>
      <c r="D54" s="127">
        <f t="shared" ca="1" si="9"/>
        <v>8292</v>
      </c>
      <c r="E54" s="157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01">
        <f t="shared" ca="1" si="7"/>
        <v>0.66768866545676409</v>
      </c>
      <c r="AC54" s="113">
        <v>54</v>
      </c>
      <c r="AD54" s="113">
        <v>52</v>
      </c>
      <c r="AE54" s="113">
        <f t="shared" ca="1" si="13"/>
        <v>606</v>
      </c>
      <c r="AF54" s="135">
        <f t="shared" ca="1" si="14"/>
        <v>13.683124692754848</v>
      </c>
      <c r="AG54" s="101">
        <f t="shared" ca="1" si="15"/>
        <v>8292</v>
      </c>
      <c r="AH54" s="101"/>
      <c r="AI54" s="102"/>
      <c r="AJ54" s="101"/>
      <c r="AK54" s="101"/>
    </row>
    <row r="55" spans="1:37" ht="16.5" x14ac:dyDescent="0.3">
      <c r="A55" s="54">
        <v>53</v>
      </c>
      <c r="B55" s="125">
        <f t="shared" ca="1" si="16"/>
        <v>4989</v>
      </c>
      <c r="C55" s="126">
        <f t="shared" ca="1" si="8"/>
        <v>9172</v>
      </c>
      <c r="D55" s="127">
        <f t="shared" ca="1" si="9"/>
        <v>9336</v>
      </c>
      <c r="E55" s="157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01">
        <f t="shared" ca="1" si="7"/>
        <v>0.71374517652329317</v>
      </c>
      <c r="AC55" s="113">
        <v>53</v>
      </c>
      <c r="AD55" s="113">
        <v>53</v>
      </c>
      <c r="AE55" s="113">
        <f t="shared" ca="1" si="13"/>
        <v>615</v>
      </c>
      <c r="AF55" s="135">
        <f t="shared" ca="1" si="14"/>
        <v>15.180572209735686</v>
      </c>
      <c r="AG55" s="101">
        <f t="shared" ca="1" si="15"/>
        <v>9336</v>
      </c>
      <c r="AH55" s="101"/>
      <c r="AI55" s="101"/>
      <c r="AJ55" s="101"/>
      <c r="AK55" s="101"/>
    </row>
    <row r="56" spans="1:37" ht="16.5" x14ac:dyDescent="0.3">
      <c r="A56" s="54">
        <v>54</v>
      </c>
      <c r="B56" s="125">
        <f t="shared" ca="1" si="16"/>
        <v>10226</v>
      </c>
      <c r="C56" s="126">
        <f t="shared" ca="1" si="8"/>
        <v>9053</v>
      </c>
      <c r="D56" s="127">
        <f t="shared" ca="1" si="9"/>
        <v>9730</v>
      </c>
      <c r="E56" s="157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01">
        <f t="shared" ca="1" si="7"/>
        <v>9.7671391893597082E-2</v>
      </c>
      <c r="AC56" s="113">
        <v>52</v>
      </c>
      <c r="AD56" s="113">
        <v>54</v>
      </c>
      <c r="AE56" s="113">
        <f t="shared" ca="1" si="13"/>
        <v>624</v>
      </c>
      <c r="AF56" s="135">
        <f t="shared" ca="1" si="14"/>
        <v>15.592991820101179</v>
      </c>
      <c r="AG56" s="101">
        <f t="shared" ca="1" si="15"/>
        <v>9730</v>
      </c>
      <c r="AH56" s="101"/>
      <c r="AI56" s="101"/>
      <c r="AJ56" s="101"/>
      <c r="AK56" s="101"/>
    </row>
    <row r="57" spans="1:37" ht="16.5" x14ac:dyDescent="0.3">
      <c r="A57" s="54">
        <v>55</v>
      </c>
      <c r="B57" s="125">
        <f t="shared" ca="1" si="16"/>
        <v>9777</v>
      </c>
      <c r="C57" s="126">
        <f t="shared" ca="1" si="8"/>
        <v>9336</v>
      </c>
      <c r="D57" s="127">
        <f t="shared" ca="1" si="9"/>
        <v>10191</v>
      </c>
      <c r="E57" s="157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01">
        <f t="shared" ca="1" si="7"/>
        <v>0.39176062382614907</v>
      </c>
      <c r="AC57" s="113">
        <v>55</v>
      </c>
      <c r="AD57" s="113">
        <v>55</v>
      </c>
      <c r="AE57" s="113">
        <f t="shared" ca="1" si="13"/>
        <v>633</v>
      </c>
      <c r="AF57" s="135">
        <f t="shared" ca="1" si="14"/>
        <v>16.098941022179684</v>
      </c>
      <c r="AG57" s="101">
        <f t="shared" ca="1" si="15"/>
        <v>10191</v>
      </c>
      <c r="AH57" s="101"/>
      <c r="AI57" s="101"/>
      <c r="AJ57" s="101"/>
      <c r="AK57" s="101"/>
    </row>
    <row r="58" spans="1:37" ht="16.5" x14ac:dyDescent="0.3">
      <c r="A58" s="54">
        <v>56</v>
      </c>
      <c r="B58" s="125">
        <f t="shared" ca="1" si="16"/>
        <v>2665</v>
      </c>
      <c r="C58" s="126">
        <f t="shared" ca="1" si="8"/>
        <v>9730</v>
      </c>
      <c r="D58" s="127">
        <f t="shared" ca="1" si="9"/>
        <v>8304</v>
      </c>
      <c r="E58" s="128"/>
      <c r="AB58" s="101">
        <f t="shared" ca="1" si="7"/>
        <v>0.94565522255826351</v>
      </c>
      <c r="AC58" s="113">
        <v>56</v>
      </c>
      <c r="AD58" s="113">
        <v>56</v>
      </c>
      <c r="AE58" s="113">
        <f t="shared" ca="1" si="13"/>
        <v>642</v>
      </c>
      <c r="AF58" s="135">
        <f t="shared" ca="1" si="14"/>
        <v>12.935227229101313</v>
      </c>
      <c r="AG58" s="101">
        <f t="shared" ca="1" si="15"/>
        <v>8304</v>
      </c>
      <c r="AH58" s="101"/>
      <c r="AI58" s="101"/>
      <c r="AJ58" s="101"/>
      <c r="AK58" s="101"/>
    </row>
    <row r="59" spans="1:37" ht="16.5" x14ac:dyDescent="0.3">
      <c r="A59" s="54">
        <v>57</v>
      </c>
      <c r="B59" s="125">
        <f t="shared" ca="1" si="16"/>
        <v>7222</v>
      </c>
      <c r="C59" s="126">
        <f t="shared" ca="1" si="8"/>
        <v>9777</v>
      </c>
      <c r="D59" s="127">
        <f t="shared" ca="1" si="9"/>
        <v>8573</v>
      </c>
      <c r="E59" s="128"/>
      <c r="AB59" s="101">
        <f t="shared" ca="1" si="7"/>
        <v>0.55328600483328916</v>
      </c>
      <c r="AC59" s="113">
        <v>58</v>
      </c>
      <c r="AD59" s="113">
        <v>57</v>
      </c>
      <c r="AE59" s="113">
        <f t="shared" ca="1" si="13"/>
        <v>651</v>
      </c>
      <c r="AF59" s="135">
        <f t="shared" ca="1" si="14"/>
        <v>13.169420287888615</v>
      </c>
      <c r="AG59" s="101">
        <f t="shared" ca="1" si="15"/>
        <v>8573</v>
      </c>
      <c r="AH59" s="101"/>
      <c r="AI59" s="101"/>
      <c r="AJ59" s="101"/>
      <c r="AK59" s="101"/>
    </row>
    <row r="60" spans="1:37" ht="16.5" x14ac:dyDescent="0.3">
      <c r="A60" s="54">
        <v>58</v>
      </c>
      <c r="B60" s="125">
        <f t="shared" ca="1" si="16"/>
        <v>7733</v>
      </c>
      <c r="C60" s="126">
        <f t="shared" ca="1" si="8"/>
        <v>9990</v>
      </c>
      <c r="D60" s="127">
        <f t="shared" ca="1" si="9"/>
        <v>9912</v>
      </c>
      <c r="E60" s="128"/>
      <c r="AB60" s="101">
        <f t="shared" ca="1" si="7"/>
        <v>0.54660101308331355</v>
      </c>
      <c r="AC60" s="113">
        <v>62</v>
      </c>
      <c r="AD60" s="113">
        <v>58</v>
      </c>
      <c r="AE60" s="113">
        <f t="shared" ca="1" si="13"/>
        <v>660</v>
      </c>
      <c r="AF60" s="135">
        <f t="shared" ca="1" si="14"/>
        <v>15.01812702456971</v>
      </c>
      <c r="AG60" s="101">
        <f t="shared" ca="1" si="15"/>
        <v>9912</v>
      </c>
      <c r="AH60" s="101"/>
      <c r="AI60" s="101"/>
      <c r="AJ60" s="101"/>
      <c r="AK60" s="101"/>
    </row>
    <row r="61" spans="1:37" ht="16.5" x14ac:dyDescent="0.3">
      <c r="A61" s="54">
        <v>59</v>
      </c>
      <c r="B61" s="125">
        <f t="shared" ca="1" si="16"/>
        <v>9172</v>
      </c>
      <c r="C61" s="126">
        <f t="shared" ca="1" si="8"/>
        <v>9763</v>
      </c>
      <c r="D61" s="127">
        <f t="shared" ca="1" si="9"/>
        <v>10910</v>
      </c>
      <c r="E61" s="128"/>
      <c r="AB61" s="101">
        <f t="shared" ca="1" si="7"/>
        <v>0.48306437700251559</v>
      </c>
      <c r="AC61" s="113">
        <v>57</v>
      </c>
      <c r="AD61" s="113">
        <v>59</v>
      </c>
      <c r="AE61" s="113">
        <f t="shared" ca="1" si="13"/>
        <v>669</v>
      </c>
      <c r="AF61" s="135">
        <f t="shared" ca="1" si="14"/>
        <v>16.307423382677278</v>
      </c>
      <c r="AG61" s="101">
        <f t="shared" ca="1" si="15"/>
        <v>10910</v>
      </c>
      <c r="AH61" s="101"/>
      <c r="AI61" s="101"/>
      <c r="AJ61" s="101"/>
      <c r="AK61" s="101"/>
    </row>
    <row r="62" spans="1:37" ht="16.5" x14ac:dyDescent="0.3">
      <c r="A62" s="54">
        <v>60</v>
      </c>
      <c r="B62" s="125">
        <f t="shared" ca="1" si="16"/>
        <v>2233</v>
      </c>
      <c r="C62" s="126">
        <f t="shared" ca="1" si="8"/>
        <v>9842</v>
      </c>
      <c r="D62" s="127">
        <f t="shared" ca="1" si="9"/>
        <v>11587</v>
      </c>
      <c r="E62" s="128"/>
      <c r="AB62" s="101">
        <f t="shared" ca="1" si="7"/>
        <v>0.97602647902832007</v>
      </c>
      <c r="AC62" s="113">
        <v>59</v>
      </c>
      <c r="AD62" s="113">
        <v>60</v>
      </c>
      <c r="AE62" s="113">
        <f t="shared" ca="1" si="13"/>
        <v>678</v>
      </c>
      <c r="AF62" s="135">
        <f t="shared" ca="1" si="14"/>
        <v>17.090081099940296</v>
      </c>
      <c r="AG62" s="101">
        <f t="shared" ca="1" si="15"/>
        <v>11587</v>
      </c>
      <c r="AH62" s="101"/>
      <c r="AI62" s="101"/>
      <c r="AJ62" s="101"/>
      <c r="AK62" s="101"/>
    </row>
    <row r="63" spans="1:37" ht="16.5" x14ac:dyDescent="0.3">
      <c r="A63" s="54">
        <v>61</v>
      </c>
      <c r="B63" s="125">
        <f t="shared" ca="1" si="16"/>
        <v>10191</v>
      </c>
      <c r="C63" s="126">
        <f t="shared" ca="1" si="8"/>
        <v>9912</v>
      </c>
      <c r="D63" s="127">
        <f t="shared" ca="1" si="9"/>
        <v>9990</v>
      </c>
      <c r="E63" s="128"/>
      <c r="AB63" s="101">
        <f t="shared" ca="1" si="7"/>
        <v>0.31322447547462695</v>
      </c>
      <c r="AC63" s="113">
        <v>60</v>
      </c>
      <c r="AD63" s="113">
        <v>61</v>
      </c>
      <c r="AE63" s="113">
        <f t="shared" ca="1" si="13"/>
        <v>687</v>
      </c>
      <c r="AF63" s="135">
        <f t="shared" ca="1" si="14"/>
        <v>14.541096278787624</v>
      </c>
      <c r="AG63" s="101">
        <f t="shared" ca="1" si="15"/>
        <v>9990</v>
      </c>
      <c r="AH63" s="101"/>
      <c r="AI63" s="101"/>
      <c r="AJ63" s="101"/>
      <c r="AK63" s="101"/>
    </row>
    <row r="64" spans="1:37" ht="16.5" x14ac:dyDescent="0.3">
      <c r="A64" s="54">
        <v>62</v>
      </c>
      <c r="B64" s="125">
        <f t="shared" ca="1" si="16"/>
        <v>5953</v>
      </c>
      <c r="C64" s="126">
        <f t="shared" ca="1" si="8"/>
        <v>9974</v>
      </c>
      <c r="D64" s="127">
        <f t="shared" ca="1" si="9"/>
        <v>8241</v>
      </c>
      <c r="E64" s="128"/>
      <c r="AB64" s="101">
        <f t="shared" ca="1" si="7"/>
        <v>0.57623084295425198</v>
      </c>
      <c r="AC64" s="113">
        <v>61</v>
      </c>
      <c r="AD64" s="113">
        <v>62</v>
      </c>
      <c r="AE64" s="113">
        <f t="shared" ca="1" si="13"/>
        <v>696</v>
      </c>
      <c r="AF64" s="135">
        <f t="shared" ca="1" si="14"/>
        <v>11.839897239441321</v>
      </c>
      <c r="AG64" s="101">
        <f t="shared" ca="1" si="15"/>
        <v>8241</v>
      </c>
      <c r="AH64" s="101"/>
      <c r="AI64" s="101"/>
      <c r="AJ64" s="101"/>
      <c r="AK64" s="101"/>
    </row>
    <row r="65" spans="1:38" ht="16.5" x14ac:dyDescent="0.3">
      <c r="A65" s="54">
        <v>63</v>
      </c>
      <c r="B65" s="125">
        <f t="shared" ca="1" si="16"/>
        <v>2546</v>
      </c>
      <c r="C65" s="126">
        <f t="shared" ca="1" si="8"/>
        <v>10226</v>
      </c>
      <c r="D65" s="127">
        <f t="shared" ca="1" si="9"/>
        <v>8870</v>
      </c>
      <c r="E65" s="128"/>
      <c r="AB65" s="101">
        <f t="shared" ca="1" si="7"/>
        <v>0.95623799490104344</v>
      </c>
      <c r="AC65" s="113">
        <v>64</v>
      </c>
      <c r="AD65" s="113">
        <v>63</v>
      </c>
      <c r="AE65" s="113">
        <f t="shared" ca="1" si="13"/>
        <v>705</v>
      </c>
      <c r="AF65" s="135">
        <f t="shared" ca="1" si="14"/>
        <v>12.581591711535491</v>
      </c>
      <c r="AG65" s="101">
        <f t="shared" ca="1" si="15"/>
        <v>8870</v>
      </c>
      <c r="AH65" s="101"/>
      <c r="AI65" s="101"/>
      <c r="AJ65" s="101"/>
      <c r="AK65" s="101"/>
    </row>
    <row r="66" spans="1:38" ht="16.5" x14ac:dyDescent="0.3">
      <c r="A66" s="54">
        <v>64</v>
      </c>
      <c r="B66" s="125">
        <f t="shared" ca="1" si="16"/>
        <v>3971</v>
      </c>
      <c r="C66" s="126">
        <f t="shared" ca="1" si="8"/>
        <v>10191</v>
      </c>
      <c r="D66" s="127">
        <f t="shared" ca="1" si="9"/>
        <v>10495</v>
      </c>
      <c r="E66" s="128"/>
      <c r="AB66" s="101">
        <f t="shared" ca="1" si="7"/>
        <v>0.69692644939451953</v>
      </c>
      <c r="AC66" s="113">
        <v>63</v>
      </c>
      <c r="AD66" s="113">
        <v>64</v>
      </c>
      <c r="AE66" s="113">
        <f t="shared" ca="1" si="13"/>
        <v>714</v>
      </c>
      <c r="AF66" s="135">
        <f t="shared" ca="1" si="14"/>
        <v>14.699150929454701</v>
      </c>
      <c r="AG66" s="101">
        <f t="shared" ca="1" si="15"/>
        <v>10495</v>
      </c>
      <c r="AH66" s="101"/>
      <c r="AI66" s="101"/>
      <c r="AJ66" s="101"/>
      <c r="AK66" s="101"/>
    </row>
    <row r="67" spans="1:38" ht="16.5" x14ac:dyDescent="0.3">
      <c r="A67" s="54">
        <v>65</v>
      </c>
      <c r="B67" s="125">
        <f t="shared" ca="1" si="16"/>
        <v>8034</v>
      </c>
      <c r="C67" s="126">
        <f t="shared" ca="1" si="8"/>
        <v>11587</v>
      </c>
      <c r="D67" s="127">
        <f t="shared" ca="1" si="9"/>
        <v>12147</v>
      </c>
      <c r="E67" s="128"/>
      <c r="AB67" s="101">
        <f t="shared" ref="AB67:AB77" ca="1" si="17">RAND()</f>
        <v>0.50683570704517644</v>
      </c>
      <c r="AC67" s="113">
        <v>68</v>
      </c>
      <c r="AD67" s="113">
        <v>65</v>
      </c>
      <c r="AE67" s="113">
        <f t="shared" ca="1" si="13"/>
        <v>723</v>
      </c>
      <c r="AF67" s="135">
        <f t="shared" ca="1" si="14"/>
        <v>16.800524585158321</v>
      </c>
      <c r="AG67" s="101">
        <f t="shared" ca="1" si="15"/>
        <v>12147</v>
      </c>
      <c r="AH67" s="101"/>
      <c r="AI67" s="101"/>
      <c r="AJ67" s="101"/>
      <c r="AK67" s="101"/>
    </row>
    <row r="68" spans="1:38" ht="16.5" x14ac:dyDescent="0.3">
      <c r="A68" s="54">
        <v>66</v>
      </c>
      <c r="B68" s="125">
        <f t="shared" ref="B68:B77" ca="1" si="18">INDEX($AG$3:$AG$77,RANK(AB68,$AB$3:$AB$77))</f>
        <v>9990</v>
      </c>
      <c r="C68" s="126">
        <f t="shared" ref="C68:C77" ca="1" si="19">SMALL($AG$3:$AG$77,AC68)</f>
        <v>10495</v>
      </c>
      <c r="D68" s="127">
        <f t="shared" ref="D68:D77" ca="1" si="20">AG68</f>
        <v>9974</v>
      </c>
      <c r="E68" s="128"/>
      <c r="AB68" s="101">
        <f t="shared" ca="1" si="17"/>
        <v>0.19281395762157905</v>
      </c>
      <c r="AC68" s="113">
        <v>66</v>
      </c>
      <c r="AD68" s="113">
        <v>66</v>
      </c>
      <c r="AE68" s="113">
        <f t="shared" ref="AE68:AE77" ca="1" si="21">INT($AH$1+$AI$1*AD68)</f>
        <v>732</v>
      </c>
      <c r="AF68" s="135">
        <f t="shared" ref="AF68:AF77" ca="1" si="22">(((IF(MOD(AD68,5)&lt;&gt;0,MOD(AD68,5),5))+12)+_xlfn.NORM.S.INV(RAND()))</f>
        <v>13.626077562015352</v>
      </c>
      <c r="AG68" s="101">
        <f t="shared" ref="AG68:AG76" ca="1" si="23">ROUND(AE68*AF68,0)</f>
        <v>9974</v>
      </c>
      <c r="AH68" s="101"/>
      <c r="AI68" s="101"/>
      <c r="AJ68" s="101"/>
      <c r="AK68" s="101"/>
    </row>
    <row r="69" spans="1:38" ht="16.5" x14ac:dyDescent="0.3">
      <c r="A69" s="54">
        <v>67</v>
      </c>
      <c r="B69" s="125">
        <f t="shared" ca="1" si="18"/>
        <v>6993</v>
      </c>
      <c r="C69" s="126">
        <f t="shared" ca="1" si="19"/>
        <v>10910</v>
      </c>
      <c r="D69" s="127">
        <f t="shared" ca="1" si="20"/>
        <v>10226</v>
      </c>
      <c r="E69" s="128"/>
      <c r="AB69" s="101">
        <f t="shared" ca="1" si="17"/>
        <v>0.62322390864686261</v>
      </c>
      <c r="AC69" s="113">
        <v>67</v>
      </c>
      <c r="AD69" s="113">
        <v>67</v>
      </c>
      <c r="AE69" s="113">
        <f t="shared" ca="1" si="21"/>
        <v>741</v>
      </c>
      <c r="AF69" s="135">
        <f t="shared" ca="1" si="22"/>
        <v>13.800484028685338</v>
      </c>
      <c r="AG69" s="101">
        <f t="shared" ca="1" si="23"/>
        <v>10226</v>
      </c>
      <c r="AH69" s="101"/>
      <c r="AI69" s="101"/>
      <c r="AJ69" s="101"/>
      <c r="AK69" s="101"/>
    </row>
    <row r="70" spans="1:38" ht="16.5" x14ac:dyDescent="0.3">
      <c r="A70" s="54">
        <v>68</v>
      </c>
      <c r="B70" s="125">
        <f t="shared" ca="1" si="18"/>
        <v>14082</v>
      </c>
      <c r="C70" s="126">
        <f t="shared" ca="1" si="19"/>
        <v>10419</v>
      </c>
      <c r="D70" s="127">
        <f t="shared" ca="1" si="20"/>
        <v>11762</v>
      </c>
      <c r="E70" s="128"/>
      <c r="AB70" s="101">
        <f t="shared" ca="1" si="17"/>
        <v>1.5148323049156809E-2</v>
      </c>
      <c r="AC70" s="113">
        <v>65</v>
      </c>
      <c r="AD70" s="113">
        <v>68</v>
      </c>
      <c r="AE70" s="113">
        <f t="shared" ca="1" si="21"/>
        <v>750</v>
      </c>
      <c r="AF70" s="135">
        <f t="shared" ca="1" si="22"/>
        <v>15.682654682606957</v>
      </c>
      <c r="AG70" s="101">
        <f t="shared" ca="1" si="23"/>
        <v>11762</v>
      </c>
      <c r="AH70" s="101"/>
      <c r="AI70" s="101"/>
      <c r="AJ70" s="101"/>
      <c r="AK70" s="101"/>
    </row>
    <row r="71" spans="1:38" ht="16.5" x14ac:dyDescent="0.3">
      <c r="A71" s="54">
        <v>69</v>
      </c>
      <c r="B71" s="125">
        <f t="shared" ca="1" si="18"/>
        <v>10419</v>
      </c>
      <c r="C71" s="126">
        <f t="shared" ca="1" si="19"/>
        <v>11762</v>
      </c>
      <c r="D71" s="127">
        <f t="shared" ca="1" si="20"/>
        <v>12353</v>
      </c>
      <c r="E71" s="128"/>
      <c r="AB71" s="101">
        <f t="shared" ca="1" si="17"/>
        <v>1.7516405003587088E-2</v>
      </c>
      <c r="AC71" s="113">
        <v>69</v>
      </c>
      <c r="AD71" s="113">
        <v>69</v>
      </c>
      <c r="AE71" s="113">
        <f t="shared" ca="1" si="21"/>
        <v>759</v>
      </c>
      <c r="AF71" s="135">
        <f t="shared" ca="1" si="22"/>
        <v>16.275161922915618</v>
      </c>
      <c r="AG71" s="101">
        <f t="shared" ca="1" si="23"/>
        <v>12353</v>
      </c>
      <c r="AH71" s="101"/>
      <c r="AI71" s="101"/>
      <c r="AJ71" s="101"/>
      <c r="AK71" s="101"/>
    </row>
    <row r="72" spans="1:38" ht="16.5" x14ac:dyDescent="0.3">
      <c r="A72" s="54">
        <v>70</v>
      </c>
      <c r="B72" s="125">
        <f t="shared" ca="1" si="18"/>
        <v>8465</v>
      </c>
      <c r="C72" s="126">
        <f t="shared" ca="1" si="19"/>
        <v>12147</v>
      </c>
      <c r="D72" s="127">
        <f t="shared" ca="1" si="20"/>
        <v>12619</v>
      </c>
      <c r="E72" s="128"/>
      <c r="AB72" s="101">
        <f t="shared" ca="1" si="17"/>
        <v>0.49095279751612353</v>
      </c>
      <c r="AC72" s="113">
        <v>70</v>
      </c>
      <c r="AD72" s="113">
        <v>70</v>
      </c>
      <c r="AE72" s="113">
        <f t="shared" ca="1" si="21"/>
        <v>768</v>
      </c>
      <c r="AF72" s="135">
        <f t="shared" ca="1" si="22"/>
        <v>16.431460048379829</v>
      </c>
      <c r="AG72" s="101">
        <f t="shared" ca="1" si="23"/>
        <v>12619</v>
      </c>
      <c r="AH72" s="101"/>
      <c r="AI72" s="101"/>
      <c r="AJ72" s="101"/>
      <c r="AK72" s="101"/>
    </row>
    <row r="73" spans="1:38" ht="16.5" x14ac:dyDescent="0.3">
      <c r="A73" s="54">
        <v>71</v>
      </c>
      <c r="B73" s="125">
        <f t="shared" ca="1" si="18"/>
        <v>4729</v>
      </c>
      <c r="C73" s="126">
        <f t="shared" ca="1" si="19"/>
        <v>12619</v>
      </c>
      <c r="D73" s="127">
        <f t="shared" ca="1" si="20"/>
        <v>9842</v>
      </c>
      <c r="E73" s="128"/>
      <c r="AB73" s="101">
        <f t="shared" ca="1" si="17"/>
        <v>0.8147542234531826</v>
      </c>
      <c r="AC73" s="113">
        <v>72</v>
      </c>
      <c r="AD73" s="113">
        <v>71</v>
      </c>
      <c r="AE73" s="113">
        <f t="shared" ca="1" si="21"/>
        <v>777</v>
      </c>
      <c r="AF73" s="135">
        <f t="shared" ca="1" si="22"/>
        <v>12.666675628123283</v>
      </c>
      <c r="AG73" s="101">
        <f t="shared" ca="1" si="23"/>
        <v>9842</v>
      </c>
      <c r="AH73" s="101"/>
      <c r="AI73" s="101"/>
      <c r="AJ73" s="101"/>
      <c r="AK73" s="101"/>
    </row>
    <row r="74" spans="1:38" ht="16.5" x14ac:dyDescent="0.3">
      <c r="A74" s="54">
        <v>72</v>
      </c>
      <c r="B74" s="125">
        <f t="shared" ca="1" si="18"/>
        <v>7169</v>
      </c>
      <c r="C74" s="126">
        <f t="shared" ca="1" si="19"/>
        <v>14638</v>
      </c>
      <c r="D74" s="127">
        <f t="shared" ca="1" si="20"/>
        <v>10419</v>
      </c>
      <c r="E74" s="128"/>
      <c r="AB74" s="101">
        <f t="shared" ca="1" si="17"/>
        <v>0.39546542165701493</v>
      </c>
      <c r="AC74" s="113">
        <v>75</v>
      </c>
      <c r="AD74" s="113">
        <v>72</v>
      </c>
      <c r="AE74" s="113">
        <f t="shared" ca="1" si="21"/>
        <v>786</v>
      </c>
      <c r="AF74" s="135">
        <f t="shared" ca="1" si="22"/>
        <v>13.25608493097563</v>
      </c>
      <c r="AG74" s="101">
        <f t="shared" ca="1" si="23"/>
        <v>10419</v>
      </c>
      <c r="AH74" s="101"/>
      <c r="AI74" s="101"/>
      <c r="AJ74" s="101"/>
      <c r="AK74" s="101"/>
    </row>
    <row r="75" spans="1:38" ht="16.5" x14ac:dyDescent="0.3">
      <c r="A75" s="54">
        <v>73</v>
      </c>
      <c r="B75" s="125">
        <f t="shared" ca="1" si="18"/>
        <v>9730</v>
      </c>
      <c r="C75" s="126">
        <f t="shared" ca="1" si="19"/>
        <v>12353</v>
      </c>
      <c r="D75" s="127">
        <f t="shared" ca="1" si="20"/>
        <v>13010</v>
      </c>
      <c r="E75" s="128"/>
      <c r="AB75" s="101">
        <f t="shared" ca="1" si="17"/>
        <v>0.31367649822965482</v>
      </c>
      <c r="AC75" s="113">
        <v>71</v>
      </c>
      <c r="AD75" s="113">
        <v>73</v>
      </c>
      <c r="AE75" s="113">
        <f t="shared" ca="1" si="21"/>
        <v>795</v>
      </c>
      <c r="AF75" s="135">
        <f t="shared" ca="1" si="22"/>
        <v>16.364203584657805</v>
      </c>
      <c r="AG75" s="101">
        <f t="shared" ca="1" si="23"/>
        <v>13010</v>
      </c>
      <c r="AH75" s="101"/>
      <c r="AI75" s="101"/>
      <c r="AJ75" s="101"/>
      <c r="AK75" s="101"/>
    </row>
    <row r="76" spans="1:38" ht="16.5" x14ac:dyDescent="0.3">
      <c r="A76" s="54">
        <v>74</v>
      </c>
      <c r="B76" s="125">
        <f t="shared" ca="1" si="18"/>
        <v>5612</v>
      </c>
      <c r="C76" s="126">
        <f t="shared" ca="1" si="19"/>
        <v>13010</v>
      </c>
      <c r="D76" s="127">
        <f t="shared" ca="1" si="20"/>
        <v>14082</v>
      </c>
      <c r="E76" s="128"/>
      <c r="AB76" s="101">
        <f t="shared" ca="1" si="17"/>
        <v>0.69085600625946253</v>
      </c>
      <c r="AC76" s="113">
        <v>73</v>
      </c>
      <c r="AD76" s="113">
        <v>74</v>
      </c>
      <c r="AE76" s="113">
        <f t="shared" ca="1" si="21"/>
        <v>804</v>
      </c>
      <c r="AF76" s="135">
        <f t="shared" ca="1" si="22"/>
        <v>17.515237862858363</v>
      </c>
      <c r="AG76" s="101">
        <f t="shared" ca="1" si="23"/>
        <v>14082</v>
      </c>
      <c r="AH76" s="101"/>
      <c r="AI76" s="101"/>
      <c r="AJ76" s="101"/>
      <c r="AK76" s="101"/>
    </row>
    <row r="77" spans="1:38" ht="16.5" x14ac:dyDescent="0.3">
      <c r="A77" s="54">
        <v>75</v>
      </c>
      <c r="B77" s="125">
        <f t="shared" ca="1" si="18"/>
        <v>3009</v>
      </c>
      <c r="C77" s="126">
        <f t="shared" ca="1" si="19"/>
        <v>14082</v>
      </c>
      <c r="D77" s="127">
        <f t="shared" ca="1" si="20"/>
        <v>14638</v>
      </c>
      <c r="E77" s="128"/>
      <c r="AB77" s="101">
        <f t="shared" ca="1" si="17"/>
        <v>0.95541108512584905</v>
      </c>
      <c r="AC77" s="113">
        <v>74</v>
      </c>
      <c r="AD77" s="113">
        <v>75</v>
      </c>
      <c r="AE77" s="113">
        <f t="shared" ca="1" si="21"/>
        <v>813</v>
      </c>
      <c r="AF77" s="135">
        <f t="shared" ca="1" si="22"/>
        <v>18.005187566882487</v>
      </c>
      <c r="AG77" s="101">
        <f ca="1">ROUND(AE77*AF77,0)</f>
        <v>14638</v>
      </c>
      <c r="AH77" s="101"/>
      <c r="AI77" s="101"/>
      <c r="AJ77" s="101"/>
      <c r="AK77" s="101"/>
    </row>
    <row r="78" spans="1:38" ht="16.5" x14ac:dyDescent="0.3">
      <c r="A78" s="91"/>
      <c r="B78" s="91"/>
      <c r="C78" s="91"/>
      <c r="D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</row>
    <row r="79" spans="1:38" ht="16.5" x14ac:dyDescent="0.3">
      <c r="A79" s="91"/>
      <c r="B79" s="91"/>
      <c r="C79" s="91"/>
      <c r="D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</row>
    <row r="80" spans="1:38" ht="16.5" x14ac:dyDescent="0.3">
      <c r="A80" s="91"/>
      <c r="B80" s="91"/>
      <c r="C80" s="91"/>
      <c r="D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</row>
    <row r="81" spans="1:38" ht="16.5" x14ac:dyDescent="0.3">
      <c r="A81" s="91"/>
      <c r="B81" s="91"/>
      <c r="C81" s="91"/>
      <c r="D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</row>
    <row r="82" spans="1:38" ht="16.5" x14ac:dyDescent="0.3"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</row>
    <row r="83" spans="1:38" ht="16.5" x14ac:dyDescent="0.3"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</row>
    <row r="84" spans="1:38" ht="16.5" x14ac:dyDescent="0.3"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</row>
    <row r="85" spans="1:38" ht="16.5" x14ac:dyDescent="0.3"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</row>
    <row r="86" spans="1:38" ht="16.5" x14ac:dyDescent="0.3"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</row>
    <row r="87" spans="1:38" ht="16.5" x14ac:dyDescent="0.3"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</row>
    <row r="88" spans="1:38" ht="16.5" x14ac:dyDescent="0.3"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</row>
    <row r="89" spans="1:38" ht="16.5" x14ac:dyDescent="0.3"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tabSelected="1" zoomScale="96" zoomScaleNormal="96" workbookViewId="0">
      <selection activeCell="M23" sqref="M23"/>
    </sheetView>
  </sheetViews>
  <sheetFormatPr defaultRowHeight="15" x14ac:dyDescent="0.25"/>
  <cols>
    <col min="2" max="3" width="4.85546875" customWidth="1"/>
    <col min="4" max="4" width="10" bestFit="1" customWidth="1"/>
    <col min="5" max="6" width="7.85546875" bestFit="1" customWidth="1"/>
    <col min="7" max="7" width="19" style="89" bestFit="1" customWidth="1"/>
    <col min="8" max="8" width="12.42578125" style="63" customWidth="1"/>
    <col min="9" max="9" width="9.140625" style="63" bestFit="1" customWidth="1"/>
    <col min="10" max="10" width="9.140625" style="63" customWidth="1"/>
    <col min="11" max="11" width="27.140625" bestFit="1" customWidth="1"/>
    <col min="12" max="12" width="19.5703125" bestFit="1" customWidth="1"/>
    <col min="13" max="13" width="11.7109375" bestFit="1" customWidth="1"/>
    <col min="14" max="14" width="14.5703125" bestFit="1" customWidth="1"/>
    <col min="15" max="15" width="12" bestFit="1" customWidth="1"/>
    <col min="16" max="16" width="8.85546875" bestFit="1" customWidth="1"/>
    <col min="17" max="17" width="13.42578125" bestFit="1" customWidth="1"/>
    <col min="18" max="18" width="11" bestFit="1" customWidth="1"/>
  </cols>
  <sheetData>
    <row r="1" spans="1:18" ht="18" thickBot="1" x14ac:dyDescent="0.3">
      <c r="C1" s="89" t="s">
        <v>62</v>
      </c>
      <c r="D1" s="1">
        <f>AVERAGE(C3:C52)</f>
        <v>29.88</v>
      </c>
      <c r="E1" s="90" t="s">
        <v>77</v>
      </c>
      <c r="F1" s="63">
        <f>AVERAGE(B3:B52)</f>
        <v>25.5</v>
      </c>
      <c r="G1" s="90" t="s">
        <v>89</v>
      </c>
      <c r="H1" s="190">
        <f>SQRT(SUM(G3:G52))</f>
        <v>102.04165815979276</v>
      </c>
      <c r="K1" s="89" t="s">
        <v>65</v>
      </c>
    </row>
    <row r="2" spans="1:18" ht="18" thickBot="1" x14ac:dyDescent="0.3">
      <c r="A2" s="62" t="s">
        <v>58</v>
      </c>
      <c r="B2" s="75" t="s">
        <v>28</v>
      </c>
      <c r="C2" s="77" t="s">
        <v>0</v>
      </c>
      <c r="D2" s="77" t="s">
        <v>29</v>
      </c>
      <c r="E2" s="76" t="s">
        <v>30</v>
      </c>
      <c r="F2" s="188" t="s">
        <v>61</v>
      </c>
      <c r="G2" s="90" t="s">
        <v>87</v>
      </c>
      <c r="K2">
        <f>1-K14/K15</f>
        <v>0.10432856498826781</v>
      </c>
      <c r="L2" t="s">
        <v>31</v>
      </c>
      <c r="R2" t="s">
        <v>46</v>
      </c>
    </row>
    <row r="3" spans="1:18" ht="15.75" thickBot="1" x14ac:dyDescent="0.3">
      <c r="A3" s="78">
        <f ca="1">'0.ArdiData'!C3</f>
        <v>2054</v>
      </c>
      <c r="B3" s="79">
        <v>1</v>
      </c>
      <c r="C3" s="92">
        <v>26</v>
      </c>
      <c r="D3" s="94">
        <f>$M$20+$M$21*B3</f>
        <v>19.818823529411763</v>
      </c>
      <c r="E3" s="80">
        <f>(C3-D3)^2</f>
        <v>38.206942560553664</v>
      </c>
      <c r="F3" s="95">
        <f t="shared" ref="F3:F34" si="0">(C3-$D$1)^2</f>
        <v>15.054399999999992</v>
      </c>
      <c r="G3" s="1">
        <f>(B3-$F$1)^2</f>
        <v>600.25</v>
      </c>
      <c r="H3" s="85"/>
      <c r="I3"/>
      <c r="J3"/>
    </row>
    <row r="4" spans="1:18" x14ac:dyDescent="0.25">
      <c r="A4" s="78">
        <f ca="1">'0.ArdiData'!C4</f>
        <v>2134</v>
      </c>
      <c r="B4" s="79">
        <v>2</v>
      </c>
      <c r="C4" s="92">
        <v>22</v>
      </c>
      <c r="D4" s="94">
        <f>$M$20+$M$21*B4</f>
        <v>20.229483793517407</v>
      </c>
      <c r="E4" s="80">
        <f t="shared" ref="E4:E34" si="1">(C4-D4)^2</f>
        <v>3.1347276374175133</v>
      </c>
      <c r="F4" s="95">
        <f t="shared" si="0"/>
        <v>62.094399999999986</v>
      </c>
      <c r="G4" s="1">
        <f t="shared" ref="G3:G34" si="2">(B4-$F$1)^2</f>
        <v>552.25</v>
      </c>
      <c r="H4" s="85"/>
      <c r="I4" s="87"/>
      <c r="J4" s="87"/>
      <c r="L4" s="65" t="s">
        <v>32</v>
      </c>
      <c r="M4" s="65"/>
      <c r="N4" s="160"/>
      <c r="O4" s="161"/>
    </row>
    <row r="5" spans="1:18" x14ac:dyDescent="0.25">
      <c r="A5" s="78">
        <f ca="1">'0.ArdiData'!C5</f>
        <v>2233</v>
      </c>
      <c r="B5" s="79">
        <v>3</v>
      </c>
      <c r="C5" s="92">
        <v>11</v>
      </c>
      <c r="D5" s="94">
        <f t="shared" ref="D5:D52" si="3">$M$20+$M$21*B5</f>
        <v>20.640144057623047</v>
      </c>
      <c r="E5" s="80">
        <f>(C5-D5)^2</f>
        <v>92.932377451724946</v>
      </c>
      <c r="F5" s="95">
        <f t="shared" si="0"/>
        <v>356.45439999999996</v>
      </c>
      <c r="G5" s="1">
        <f t="shared" si="2"/>
        <v>506.25</v>
      </c>
      <c r="H5" s="85"/>
      <c r="I5" s="87"/>
      <c r="J5" s="87"/>
      <c r="K5" s="66" t="s">
        <v>33</v>
      </c>
      <c r="L5" s="67" t="s">
        <v>34</v>
      </c>
      <c r="M5" s="68">
        <v>0.32299932660652342</v>
      </c>
      <c r="N5" s="162">
        <f>CORREL(B3:B52,C3:C52)</f>
        <v>0.32299932660652309</v>
      </c>
      <c r="O5" s="161"/>
    </row>
    <row r="6" spans="1:18" x14ac:dyDescent="0.25">
      <c r="A6" s="78">
        <f ca="1">'0.ArdiData'!C6</f>
        <v>2546</v>
      </c>
      <c r="B6" s="79">
        <v>4</v>
      </c>
      <c r="C6" s="92">
        <v>3</v>
      </c>
      <c r="D6" s="94">
        <f t="shared" si="3"/>
        <v>21.050804321728691</v>
      </c>
      <c r="E6" s="80">
        <f>(C6-D6)^2</f>
        <v>325.83153666133921</v>
      </c>
      <c r="F6" s="95">
        <f t="shared" si="0"/>
        <v>722.53439999999989</v>
      </c>
      <c r="G6" s="1">
        <f t="shared" si="2"/>
        <v>462.25</v>
      </c>
      <c r="H6" s="85"/>
      <c r="I6" s="87"/>
      <c r="J6" s="87"/>
      <c r="K6" s="66" t="s">
        <v>35</v>
      </c>
      <c r="L6" s="67" t="s">
        <v>36</v>
      </c>
      <c r="M6" s="68">
        <v>0.10432856498826758</v>
      </c>
      <c r="N6" s="162">
        <f>N5^2</f>
        <v>0.10432856498826737</v>
      </c>
      <c r="O6" s="161">
        <f>1-K14/K15</f>
        <v>0.10432856498826781</v>
      </c>
    </row>
    <row r="7" spans="1:18" x14ac:dyDescent="0.25">
      <c r="A7" s="78">
        <f ca="1">'0.ArdiData'!C7</f>
        <v>2665</v>
      </c>
      <c r="B7" s="79">
        <v>5</v>
      </c>
      <c r="C7" s="92">
        <v>28</v>
      </c>
      <c r="D7" s="94">
        <f t="shared" si="3"/>
        <v>21.461464585834332</v>
      </c>
      <c r="E7" s="80">
        <f>(C7-D7)^2</f>
        <v>42.752445362298609</v>
      </c>
      <c r="F7" s="95">
        <f t="shared" si="0"/>
        <v>3.5343999999999962</v>
      </c>
      <c r="G7" s="1">
        <f t="shared" si="2"/>
        <v>420.25</v>
      </c>
      <c r="H7" s="85"/>
      <c r="I7" s="87"/>
      <c r="J7" s="87"/>
      <c r="L7" s="69" t="s">
        <v>37</v>
      </c>
      <c r="M7" s="70">
        <v>8.566874342552315E-2</v>
      </c>
      <c r="N7" s="160"/>
      <c r="O7" s="163"/>
    </row>
    <row r="8" spans="1:18" x14ac:dyDescent="0.25">
      <c r="A8" s="78">
        <f ca="1">'0.ArdiData'!C8</f>
        <v>2809</v>
      </c>
      <c r="B8" s="79">
        <v>6</v>
      </c>
      <c r="C8" s="92">
        <v>13</v>
      </c>
      <c r="D8" s="94">
        <f t="shared" si="3"/>
        <v>21.872124849939976</v>
      </c>
      <c r="E8" s="80">
        <f t="shared" si="1"/>
        <v>78.714599352922434</v>
      </c>
      <c r="F8" s="95">
        <f t="shared" si="0"/>
        <v>284.93439999999998</v>
      </c>
      <c r="G8" s="1">
        <f t="shared" si="2"/>
        <v>380.25</v>
      </c>
      <c r="H8" s="85"/>
      <c r="I8" s="87"/>
      <c r="J8" s="87"/>
      <c r="L8" s="67" t="s">
        <v>38</v>
      </c>
      <c r="M8" s="68">
        <v>17.721983000572738</v>
      </c>
      <c r="N8" s="160">
        <f>SQRT(SUM(E3:E52)/(COUNT(E3:E52)-2))</f>
        <v>17.721983000572738</v>
      </c>
      <c r="O8" s="160">
        <f>STEYX(C3:C52,B3:B52)</f>
        <v>17.721983000572738</v>
      </c>
    </row>
    <row r="9" spans="1:18" ht="15.75" thickBot="1" x14ac:dyDescent="0.3">
      <c r="A9" s="78">
        <f ca="1">'0.ArdiData'!C9</f>
        <v>3009</v>
      </c>
      <c r="B9" s="79">
        <v>7</v>
      </c>
      <c r="C9" s="92">
        <v>8</v>
      </c>
      <c r="D9" s="94">
        <f t="shared" si="3"/>
        <v>22.282785114045616</v>
      </c>
      <c r="E9" s="80">
        <f t="shared" si="1"/>
        <v>203.99795061400303</v>
      </c>
      <c r="F9" s="95">
        <f t="shared" si="0"/>
        <v>478.73439999999994</v>
      </c>
      <c r="G9" s="1">
        <f t="shared" si="2"/>
        <v>342.25</v>
      </c>
      <c r="H9" s="85"/>
      <c r="I9" s="87"/>
      <c r="J9" s="87"/>
      <c r="L9" s="71" t="s">
        <v>39</v>
      </c>
      <c r="M9" s="71">
        <v>50</v>
      </c>
      <c r="N9" s="160">
        <f>COUNT(C3:C52)</f>
        <v>50</v>
      </c>
      <c r="O9" s="161"/>
      <c r="Q9" s="160" t="s">
        <v>44</v>
      </c>
      <c r="R9" s="161">
        <f>K16/K17</f>
        <v>5.591080527616981</v>
      </c>
    </row>
    <row r="10" spans="1:18" x14ac:dyDescent="0.25">
      <c r="A10" s="78">
        <f ca="1">'0.ArdiData'!C10</f>
        <v>2889</v>
      </c>
      <c r="B10" s="79">
        <v>8</v>
      </c>
      <c r="C10" s="92">
        <v>7</v>
      </c>
      <c r="D10" s="94">
        <f t="shared" si="3"/>
        <v>22.69344537815126</v>
      </c>
      <c r="E10" s="80">
        <f t="shared" si="1"/>
        <v>246.28422783701714</v>
      </c>
      <c r="F10" s="95">
        <f t="shared" si="0"/>
        <v>523.49439999999993</v>
      </c>
      <c r="G10" s="1">
        <f t="shared" si="2"/>
        <v>306.25</v>
      </c>
      <c r="H10" s="85"/>
      <c r="I10" s="87"/>
      <c r="J10" s="87"/>
      <c r="Q10" s="162" t="s">
        <v>73</v>
      </c>
      <c r="R10" s="164">
        <f>_xlfn.F.DIST(R9,M13,M14,1)</f>
        <v>0.97785584963652039</v>
      </c>
    </row>
    <row r="11" spans="1:18" ht="15.75" thickBot="1" x14ac:dyDescent="0.3">
      <c r="A11" s="78">
        <f ca="1">'0.ArdiData'!C11</f>
        <v>3745</v>
      </c>
      <c r="B11" s="79">
        <v>9</v>
      </c>
      <c r="C11" s="92">
        <v>32</v>
      </c>
      <c r="D11" s="94">
        <f t="shared" si="3"/>
        <v>23.104105642256901</v>
      </c>
      <c r="E11" s="80">
        <f t="shared" si="1"/>
        <v>79.136936424125508</v>
      </c>
      <c r="F11" s="95">
        <f t="shared" si="0"/>
        <v>4.4944000000000042</v>
      </c>
      <c r="G11" s="1">
        <f t="shared" si="2"/>
        <v>272.25</v>
      </c>
      <c r="H11" s="85"/>
      <c r="I11" s="87"/>
      <c r="J11" s="87"/>
      <c r="L11" t="s">
        <v>40</v>
      </c>
      <c r="Q11" s="162" t="s">
        <v>74</v>
      </c>
      <c r="R11" s="164">
        <f>1-R10</f>
        <v>2.2144150363479609E-2</v>
      </c>
    </row>
    <row r="12" spans="1:18" x14ac:dyDescent="0.25">
      <c r="A12" s="78">
        <f ca="1">'0.ArdiData'!C12</f>
        <v>3248</v>
      </c>
      <c r="B12" s="79">
        <v>10</v>
      </c>
      <c r="C12" s="92">
        <v>41</v>
      </c>
      <c r="D12" s="94">
        <f t="shared" si="3"/>
        <v>23.514765906362545</v>
      </c>
      <c r="E12" s="80">
        <f t="shared" si="1"/>
        <v>305.73341130930163</v>
      </c>
      <c r="F12" s="95">
        <f t="shared" si="0"/>
        <v>123.65440000000002</v>
      </c>
      <c r="G12" s="1">
        <f t="shared" si="2"/>
        <v>240.25</v>
      </c>
      <c r="H12" s="85"/>
      <c r="I12" s="87"/>
      <c r="J12" s="87"/>
      <c r="L12" s="72"/>
      <c r="M12" s="72" t="s">
        <v>41</v>
      </c>
      <c r="N12" s="72" t="s">
        <v>42</v>
      </c>
      <c r="O12" s="72" t="s">
        <v>43</v>
      </c>
      <c r="P12" s="72" t="s">
        <v>44</v>
      </c>
      <c r="Q12" s="72" t="s">
        <v>45</v>
      </c>
    </row>
    <row r="13" spans="1:18" x14ac:dyDescent="0.25">
      <c r="A13" s="78">
        <f ca="1">'0.ArdiData'!C13</f>
        <v>3259</v>
      </c>
      <c r="B13" s="79">
        <v>11</v>
      </c>
      <c r="C13" s="92">
        <v>9</v>
      </c>
      <c r="D13" s="94">
        <f t="shared" si="3"/>
        <v>23.925426170468185</v>
      </c>
      <c r="E13" s="80">
        <f t="shared" si="1"/>
        <v>222.76834637009659</v>
      </c>
      <c r="F13" s="95">
        <f t="shared" si="0"/>
        <v>435.97439999999995</v>
      </c>
      <c r="G13" s="1">
        <f t="shared" si="2"/>
        <v>210.25</v>
      </c>
      <c r="H13" s="85"/>
      <c r="I13" s="160" t="s">
        <v>65</v>
      </c>
      <c r="J13" s="160"/>
      <c r="K13" s="161">
        <f>K15-K14</f>
        <v>1755.9832893157327</v>
      </c>
      <c r="L13" s="69" t="s">
        <v>46</v>
      </c>
      <c r="M13" s="90">
        <v>1</v>
      </c>
      <c r="N13" s="97">
        <v>1755.9832893157291</v>
      </c>
      <c r="O13" s="97">
        <v>1755.9832893157291</v>
      </c>
      <c r="P13" s="97">
        <v>5.5910805276169686</v>
      </c>
      <c r="Q13" s="97">
        <v>2.2144150363479678E-2</v>
      </c>
    </row>
    <row r="14" spans="1:18" x14ac:dyDescent="0.25">
      <c r="A14" s="78">
        <f ca="1">'0.ArdiData'!C14</f>
        <v>3647</v>
      </c>
      <c r="B14" s="79">
        <v>12</v>
      </c>
      <c r="C14" s="92">
        <v>14</v>
      </c>
      <c r="D14" s="94">
        <f t="shared" si="3"/>
        <v>24.336086434573829</v>
      </c>
      <c r="E14" s="80">
        <f t="shared" si="1"/>
        <v>106.83468278298113</v>
      </c>
      <c r="F14" s="95">
        <f t="shared" si="0"/>
        <v>252.17439999999996</v>
      </c>
      <c r="G14" s="1">
        <f t="shared" si="2"/>
        <v>182.25</v>
      </c>
      <c r="H14" s="85"/>
      <c r="I14" s="162" t="s">
        <v>63</v>
      </c>
      <c r="J14" s="162"/>
      <c r="K14" s="161">
        <f>SUM(E3:E52)</f>
        <v>15075.296710684273</v>
      </c>
      <c r="L14" s="69" t="s">
        <v>47</v>
      </c>
      <c r="M14" s="90">
        <v>48</v>
      </c>
      <c r="N14" s="97">
        <v>15075.296710684277</v>
      </c>
      <c r="O14" s="97">
        <v>314.06868147258911</v>
      </c>
      <c r="P14" s="97"/>
      <c r="Q14" s="97"/>
    </row>
    <row r="15" spans="1:18" ht="15.75" thickBot="1" x14ac:dyDescent="0.3">
      <c r="A15" s="78">
        <f ca="1">'0.ArdiData'!C15</f>
        <v>3971</v>
      </c>
      <c r="B15" s="79">
        <v>13</v>
      </c>
      <c r="C15" s="92">
        <v>35</v>
      </c>
      <c r="D15" s="94">
        <f t="shared" si="3"/>
        <v>24.74674669867947</v>
      </c>
      <c r="E15" s="80">
        <f t="shared" si="1"/>
        <v>105.12920326104035</v>
      </c>
      <c r="F15" s="95">
        <f t="shared" si="0"/>
        <v>26.214400000000012</v>
      </c>
      <c r="G15" s="1">
        <f t="shared" si="2"/>
        <v>156.25</v>
      </c>
      <c r="H15" s="85"/>
      <c r="I15" s="162" t="s">
        <v>64</v>
      </c>
      <c r="J15" s="162"/>
      <c r="K15" s="161">
        <f>SUM(F3:F52)</f>
        <v>16831.280000000006</v>
      </c>
      <c r="L15" s="73" t="s">
        <v>48</v>
      </c>
      <c r="M15" s="98">
        <v>49</v>
      </c>
      <c r="N15" s="99">
        <v>16831.280000000006</v>
      </c>
      <c r="O15" s="99"/>
      <c r="P15" s="99"/>
      <c r="Q15" s="99"/>
    </row>
    <row r="16" spans="1:18" ht="15.75" thickBot="1" x14ac:dyDescent="0.3">
      <c r="A16" s="78">
        <f ca="1">'0.ArdiData'!C16</f>
        <v>4187</v>
      </c>
      <c r="B16" s="79">
        <v>14</v>
      </c>
      <c r="C16" s="92">
        <v>39</v>
      </c>
      <c r="D16" s="94">
        <f>$M$20+$M$21*B16</f>
        <v>25.15740696278511</v>
      </c>
      <c r="E16" s="80">
        <f t="shared" si="1"/>
        <v>191.61738199395015</v>
      </c>
      <c r="F16" s="95">
        <f t="shared" si="0"/>
        <v>83.17440000000002</v>
      </c>
      <c r="G16" s="1">
        <f t="shared" si="2"/>
        <v>132.25</v>
      </c>
      <c r="H16" s="85"/>
      <c r="I16" s="160" t="s">
        <v>71</v>
      </c>
      <c r="J16" s="160"/>
      <c r="K16" s="189">
        <f>K13/M13</f>
        <v>1755.9832893157327</v>
      </c>
    </row>
    <row r="17" spans="1:18" x14ac:dyDescent="0.25">
      <c r="A17" s="78">
        <f ca="1">'0.ArdiData'!C17</f>
        <v>4415</v>
      </c>
      <c r="B17" s="79">
        <v>15</v>
      </c>
      <c r="C17" s="92">
        <v>28</v>
      </c>
      <c r="D17" s="94">
        <f t="shared" si="3"/>
        <v>25.568067226890754</v>
      </c>
      <c r="E17" s="80">
        <f>(C17-D17)^2</f>
        <v>5.9142970129228258</v>
      </c>
      <c r="F17" s="95">
        <f t="shared" si="0"/>
        <v>3.5343999999999962</v>
      </c>
      <c r="G17" s="1">
        <f t="shared" si="2"/>
        <v>110.25</v>
      </c>
      <c r="H17" s="85"/>
      <c r="I17" s="160" t="s">
        <v>72</v>
      </c>
      <c r="J17" s="160"/>
      <c r="K17" s="189">
        <f>K14/(N9-2)</f>
        <v>314.06868147258905</v>
      </c>
      <c r="L17" s="72"/>
      <c r="M17" s="72" t="s">
        <v>49</v>
      </c>
      <c r="N17" s="72" t="s">
        <v>38</v>
      </c>
      <c r="O17" s="72" t="s">
        <v>50</v>
      </c>
      <c r="P17" s="72" t="s">
        <v>51</v>
      </c>
      <c r="Q17" s="72" t="s">
        <v>52</v>
      </c>
      <c r="R17" s="72" t="s">
        <v>53</v>
      </c>
    </row>
    <row r="18" spans="1:18" x14ac:dyDescent="0.25">
      <c r="A18" s="78">
        <f ca="1">'0.ArdiData'!C18</f>
        <v>3853</v>
      </c>
      <c r="B18" s="79">
        <v>16</v>
      </c>
      <c r="C18" s="92">
        <v>19</v>
      </c>
      <c r="D18" s="94">
        <f t="shared" si="3"/>
        <v>25.978727490996398</v>
      </c>
      <c r="E18" s="80">
        <f t="shared" si="1"/>
        <v>48.702637393588887</v>
      </c>
      <c r="F18" s="95">
        <f t="shared" si="0"/>
        <v>118.37439999999998</v>
      </c>
      <c r="G18" s="1">
        <f t="shared" si="2"/>
        <v>90.25</v>
      </c>
      <c r="H18" s="85"/>
      <c r="I18" s="87"/>
      <c r="J18" s="87"/>
      <c r="K18" s="66"/>
      <c r="L18" s="67" t="s">
        <v>75</v>
      </c>
      <c r="M18" s="70">
        <v>19.408163265306122</v>
      </c>
      <c r="N18" s="97">
        <v>5.0886778547249945</v>
      </c>
      <c r="O18" s="97">
        <v>3.8139893739363053</v>
      </c>
      <c r="P18" s="97">
        <v>3.9045739200275012E-4</v>
      </c>
      <c r="Q18" s="97">
        <v>9.1766907002433395</v>
      </c>
      <c r="R18" s="97">
        <v>29.639635830368903</v>
      </c>
    </row>
    <row r="19" spans="1:18" ht="15.75" thickBot="1" x14ac:dyDescent="0.3">
      <c r="A19" s="78">
        <f ca="1">'0.ArdiData'!C19</f>
        <v>4337</v>
      </c>
      <c r="B19" s="79">
        <v>17</v>
      </c>
      <c r="C19" s="92">
        <v>68</v>
      </c>
      <c r="D19" s="94">
        <f t="shared" si="3"/>
        <v>26.389387755102039</v>
      </c>
      <c r="E19" s="80">
        <f t="shared" si="1"/>
        <v>1731.4430513952525</v>
      </c>
      <c r="F19" s="95">
        <f t="shared" si="0"/>
        <v>1453.1344000000004</v>
      </c>
      <c r="G19" s="1">
        <f t="shared" si="2"/>
        <v>72.25</v>
      </c>
      <c r="H19" s="85"/>
      <c r="I19" s="87"/>
      <c r="J19" s="87"/>
      <c r="K19" s="63">
        <f>M8/H1</f>
        <v>0.17367400060101817</v>
      </c>
      <c r="L19" s="71" t="s">
        <v>76</v>
      </c>
      <c r="M19" s="74">
        <v>0.41066026410564221</v>
      </c>
      <c r="N19" s="99">
        <v>0.17367400060101817</v>
      </c>
      <c r="O19" s="99">
        <v>2.3645465797097249</v>
      </c>
      <c r="P19" s="100">
        <v>2.2144150363479765E-2</v>
      </c>
      <c r="Q19" s="100">
        <v>6.146528200158341E-2</v>
      </c>
      <c r="R19" s="100">
        <v>0.75985524620970102</v>
      </c>
    </row>
    <row r="20" spans="1:18" x14ac:dyDescent="0.25">
      <c r="A20" s="78">
        <f ca="1">'0.ArdiData'!C20</f>
        <v>4135</v>
      </c>
      <c r="B20" s="79">
        <v>18</v>
      </c>
      <c r="C20" s="92">
        <v>16</v>
      </c>
      <c r="D20" s="94">
        <f t="shared" si="3"/>
        <v>26.800048019207679</v>
      </c>
      <c r="E20" s="80">
        <f t="shared" si="1"/>
        <v>116.64103721719172</v>
      </c>
      <c r="F20" s="95">
        <f t="shared" si="0"/>
        <v>192.65439999999998</v>
      </c>
      <c r="G20" s="1">
        <f t="shared" si="2"/>
        <v>56.25</v>
      </c>
      <c r="H20" s="85"/>
      <c r="I20" s="87"/>
      <c r="J20" s="87"/>
      <c r="L20" s="160" t="s">
        <v>55</v>
      </c>
      <c r="M20" s="161">
        <f>INTERCEPT(C3:C52,B3:B52)</f>
        <v>19.408163265306122</v>
      </c>
      <c r="N20" s="97"/>
    </row>
    <row r="21" spans="1:18" x14ac:dyDescent="0.25">
      <c r="A21" s="78">
        <f ca="1">'0.ArdiData'!C21</f>
        <v>4579</v>
      </c>
      <c r="B21" s="79">
        <v>19</v>
      </c>
      <c r="C21" s="92">
        <v>27</v>
      </c>
      <c r="D21" s="94">
        <f t="shared" si="3"/>
        <v>27.210708283313323</v>
      </c>
      <c r="E21" s="80">
        <f t="shared" si="1"/>
        <v>4.4397980656847746E-2</v>
      </c>
      <c r="F21" s="95">
        <f t="shared" si="0"/>
        <v>8.2943999999999942</v>
      </c>
      <c r="G21" s="1">
        <f t="shared" si="2"/>
        <v>42.25</v>
      </c>
      <c r="H21" s="85"/>
      <c r="I21" s="87"/>
      <c r="J21" s="87"/>
      <c r="L21" s="162" t="s">
        <v>57</v>
      </c>
      <c r="M21" s="161">
        <f>SLOPE(C3:C52,B3:B52)</f>
        <v>0.41066026410564216</v>
      </c>
    </row>
    <row r="22" spans="1:18" x14ac:dyDescent="0.25">
      <c r="A22" s="78">
        <f ca="1">'0.ArdiData'!C22</f>
        <v>4729</v>
      </c>
      <c r="B22" s="79">
        <v>20</v>
      </c>
      <c r="C22" s="92">
        <v>10</v>
      </c>
      <c r="D22" s="94">
        <f t="shared" si="3"/>
        <v>27.621368547418967</v>
      </c>
      <c r="E22" s="80">
        <f t="shared" si="1"/>
        <v>310.51262948396646</v>
      </c>
      <c r="F22" s="95">
        <f t="shared" si="0"/>
        <v>395.21439999999996</v>
      </c>
      <c r="G22" s="1">
        <f t="shared" si="2"/>
        <v>30.25</v>
      </c>
      <c r="H22" s="85"/>
      <c r="L22" t="s">
        <v>88</v>
      </c>
      <c r="M22">
        <f>M21/K19</f>
        <v>2.3645465797097245</v>
      </c>
      <c r="N22" s="85"/>
    </row>
    <row r="23" spans="1:18" x14ac:dyDescent="0.25">
      <c r="A23" s="78">
        <f ca="1">'0.ArdiData'!C23</f>
        <v>5612</v>
      </c>
      <c r="B23" s="79">
        <v>21</v>
      </c>
      <c r="C23" s="92">
        <v>27</v>
      </c>
      <c r="D23" s="94">
        <f t="shared" si="3"/>
        <v>28.032028811524608</v>
      </c>
      <c r="E23" s="80">
        <f t="shared" si="1"/>
        <v>1.0650834678168946</v>
      </c>
      <c r="F23" s="95">
        <f t="shared" si="0"/>
        <v>8.2943999999999942</v>
      </c>
      <c r="G23" s="1">
        <f t="shared" si="2"/>
        <v>20.25</v>
      </c>
      <c r="H23" s="85"/>
      <c r="O23">
        <v>50</v>
      </c>
      <c r="P23">
        <f>P22</f>
        <v>0</v>
      </c>
    </row>
    <row r="24" spans="1:18" x14ac:dyDescent="0.25">
      <c r="A24" s="78">
        <f ca="1">'0.ArdiData'!C24</f>
        <v>4989</v>
      </c>
      <c r="B24" s="79">
        <v>22</v>
      </c>
      <c r="C24" s="92">
        <v>38</v>
      </c>
      <c r="D24" s="94">
        <f t="shared" si="3"/>
        <v>28.442689075630248</v>
      </c>
      <c r="E24" s="80">
        <f t="shared" si="1"/>
        <v>91.342192105077402</v>
      </c>
      <c r="F24" s="95">
        <f t="shared" si="0"/>
        <v>65.934400000000011</v>
      </c>
      <c r="G24" s="1">
        <f t="shared" si="2"/>
        <v>12.25</v>
      </c>
      <c r="H24" s="85"/>
      <c r="L24" s="159"/>
    </row>
    <row r="25" spans="1:18" x14ac:dyDescent="0.25">
      <c r="A25" s="78">
        <f ca="1">'0.ArdiData'!C25</f>
        <v>5450</v>
      </c>
      <c r="B25" s="79">
        <v>23</v>
      </c>
      <c r="C25" s="92">
        <v>38</v>
      </c>
      <c r="D25" s="94">
        <f t="shared" si="3"/>
        <v>28.853349339735892</v>
      </c>
      <c r="E25" s="80">
        <f t="shared" si="1"/>
        <v>83.661218300909837</v>
      </c>
      <c r="F25" s="95">
        <f t="shared" si="0"/>
        <v>65.934400000000011</v>
      </c>
      <c r="G25" s="1">
        <f t="shared" si="2"/>
        <v>6.25</v>
      </c>
      <c r="H25" s="85"/>
      <c r="I25" s="87"/>
      <c r="J25" s="87"/>
      <c r="L25" s="167"/>
    </row>
    <row r="26" spans="1:18" x14ac:dyDescent="0.25">
      <c r="A26" s="78">
        <f ca="1">'0.ArdiData'!C26</f>
        <v>5673</v>
      </c>
      <c r="B26" s="79">
        <v>24</v>
      </c>
      <c r="C26" s="92">
        <v>32</v>
      </c>
      <c r="D26" s="94">
        <f t="shared" si="3"/>
        <v>29.264009603841533</v>
      </c>
      <c r="E26" s="80">
        <f t="shared" si="1"/>
        <v>7.4856434478713654</v>
      </c>
      <c r="F26" s="95">
        <f t="shared" si="0"/>
        <v>4.4944000000000042</v>
      </c>
      <c r="G26" s="1">
        <f t="shared" si="2"/>
        <v>2.25</v>
      </c>
      <c r="H26" s="85"/>
      <c r="I26" s="87"/>
      <c r="J26" s="87"/>
      <c r="L26" s="165"/>
    </row>
    <row r="27" spans="1:18" x14ac:dyDescent="0.25">
      <c r="A27" s="78">
        <f ca="1">'0.ArdiData'!C27</f>
        <v>4858</v>
      </c>
      <c r="B27" s="79">
        <v>25</v>
      </c>
      <c r="C27" s="92">
        <v>36</v>
      </c>
      <c r="D27" s="94">
        <f t="shared" si="3"/>
        <v>29.674669867947173</v>
      </c>
      <c r="E27" s="80">
        <f t="shared" si="1"/>
        <v>40.009801279455431</v>
      </c>
      <c r="F27" s="95">
        <f t="shared" si="0"/>
        <v>37.454400000000014</v>
      </c>
      <c r="G27" s="1">
        <f t="shared" si="2"/>
        <v>0.25</v>
      </c>
      <c r="H27" s="85"/>
      <c r="I27" s="87"/>
      <c r="J27" s="87"/>
    </row>
    <row r="28" spans="1:18" x14ac:dyDescent="0.25">
      <c r="A28" s="78">
        <f ca="1">'0.ArdiData'!C28</f>
        <v>5953</v>
      </c>
      <c r="B28" s="79">
        <v>26</v>
      </c>
      <c r="C28" s="92">
        <v>53</v>
      </c>
      <c r="D28" s="94">
        <f t="shared" si="3"/>
        <v>30.085330132052817</v>
      </c>
      <c r="E28" s="80">
        <f t="shared" si="1"/>
        <v>525.08209515700651</v>
      </c>
      <c r="F28" s="95">
        <f t="shared" si="0"/>
        <v>534.53440000000001</v>
      </c>
      <c r="G28" s="1">
        <f t="shared" si="2"/>
        <v>0.25</v>
      </c>
      <c r="H28" s="85"/>
      <c r="I28" s="87"/>
      <c r="J28" s="87"/>
    </row>
    <row r="29" spans="1:18" x14ac:dyDescent="0.25">
      <c r="A29" s="78">
        <f ca="1">'0.ArdiData'!C29</f>
        <v>5752</v>
      </c>
      <c r="B29" s="79">
        <v>27</v>
      </c>
      <c r="C29" s="92">
        <v>45</v>
      </c>
      <c r="D29" s="94">
        <f t="shared" si="3"/>
        <v>30.495990396158462</v>
      </c>
      <c r="E29" s="80">
        <f t="shared" si="1"/>
        <v>210.36629458832758</v>
      </c>
      <c r="F29" s="95">
        <f t="shared" si="0"/>
        <v>228.61440000000002</v>
      </c>
      <c r="G29" s="1">
        <f t="shared" si="2"/>
        <v>2.25</v>
      </c>
      <c r="H29" s="85"/>
      <c r="I29" s="87"/>
      <c r="J29" s="87"/>
    </row>
    <row r="30" spans="1:18" x14ac:dyDescent="0.25">
      <c r="A30" s="78">
        <f ca="1">'0.ArdiData'!C30</f>
        <v>6534</v>
      </c>
      <c r="B30" s="79">
        <v>28</v>
      </c>
      <c r="C30" s="92">
        <v>23</v>
      </c>
      <c r="D30" s="94">
        <f t="shared" si="3"/>
        <v>30.906650660264102</v>
      </c>
      <c r="E30" s="80">
        <f t="shared" si="1"/>
        <v>62.515124663454763</v>
      </c>
      <c r="F30" s="95">
        <f t="shared" si="0"/>
        <v>47.334399999999988</v>
      </c>
      <c r="G30" s="1">
        <f t="shared" si="2"/>
        <v>6.25</v>
      </c>
      <c r="H30" s="85"/>
      <c r="I30" s="87"/>
      <c r="J30" s="87"/>
    </row>
    <row r="31" spans="1:18" x14ac:dyDescent="0.25">
      <c r="A31" s="78">
        <f ca="1">'0.ArdiData'!C31</f>
        <v>6703</v>
      </c>
      <c r="B31" s="79">
        <v>29</v>
      </c>
      <c r="C31" s="92">
        <v>16</v>
      </c>
      <c r="D31" s="94">
        <f t="shared" si="3"/>
        <v>31.317310924369743</v>
      </c>
      <c r="E31" s="80">
        <f t="shared" si="1"/>
        <v>234.62001395381665</v>
      </c>
      <c r="F31" s="95">
        <f t="shared" si="0"/>
        <v>192.65439999999998</v>
      </c>
      <c r="G31" s="1">
        <f t="shared" si="2"/>
        <v>12.25</v>
      </c>
      <c r="H31" s="85"/>
      <c r="I31" s="87"/>
      <c r="J31" s="87"/>
    </row>
    <row r="32" spans="1:18" x14ac:dyDescent="0.25">
      <c r="A32" s="78">
        <f ca="1">'0.ArdiData'!C32</f>
        <v>6002</v>
      </c>
      <c r="B32" s="79">
        <v>30</v>
      </c>
      <c r="C32" s="92">
        <v>20</v>
      </c>
      <c r="D32" s="94">
        <f t="shared" si="3"/>
        <v>31.727971188475387</v>
      </c>
      <c r="E32" s="80">
        <f t="shared" si="1"/>
        <v>137.54530819770878</v>
      </c>
      <c r="F32" s="95">
        <f t="shared" si="0"/>
        <v>97.614399999999975</v>
      </c>
      <c r="G32" s="1">
        <f t="shared" si="2"/>
        <v>20.25</v>
      </c>
      <c r="H32" s="85"/>
      <c r="I32" s="87"/>
      <c r="J32" s="87"/>
    </row>
    <row r="33" spans="1:10" x14ac:dyDescent="0.25">
      <c r="A33" s="78">
        <f ca="1">'0.ArdiData'!C33</f>
        <v>6164</v>
      </c>
      <c r="B33" s="79">
        <v>31</v>
      </c>
      <c r="C33" s="92">
        <v>29</v>
      </c>
      <c r="D33" s="94">
        <f t="shared" si="3"/>
        <v>32.138631452581031</v>
      </c>
      <c r="E33" s="80">
        <f t="shared" si="1"/>
        <v>9.8510073951309103</v>
      </c>
      <c r="F33" s="95">
        <f t="shared" si="0"/>
        <v>0.7743999999999982</v>
      </c>
      <c r="G33" s="1">
        <f t="shared" si="2"/>
        <v>30.25</v>
      </c>
      <c r="H33" s="85"/>
      <c r="I33" s="87"/>
      <c r="J33" s="87"/>
    </row>
    <row r="34" spans="1:10" x14ac:dyDescent="0.25">
      <c r="A34" s="78">
        <f ca="1">'0.ArdiData'!C34</f>
        <v>6098</v>
      </c>
      <c r="B34" s="79">
        <v>32</v>
      </c>
      <c r="C34" s="92">
        <v>78</v>
      </c>
      <c r="D34" s="94">
        <f t="shared" si="3"/>
        <v>32.549291716686668</v>
      </c>
      <c r="E34" s="80">
        <f t="shared" si="1"/>
        <v>2065.7668834548472</v>
      </c>
      <c r="F34" s="95">
        <f t="shared" si="0"/>
        <v>2315.5344000000005</v>
      </c>
      <c r="G34" s="1">
        <f t="shared" si="2"/>
        <v>42.25</v>
      </c>
      <c r="H34" s="85"/>
      <c r="I34" s="87"/>
      <c r="J34" s="87"/>
    </row>
    <row r="35" spans="1:10" x14ac:dyDescent="0.25">
      <c r="A35" s="78">
        <f ca="1">'0.ArdiData'!C35</f>
        <v>6380</v>
      </c>
      <c r="B35" s="79">
        <v>33</v>
      </c>
      <c r="C35" s="92">
        <v>3</v>
      </c>
      <c r="D35" s="94">
        <f t="shared" si="3"/>
        <v>32.959951980792312</v>
      </c>
      <c r="E35" s="80">
        <f t="shared" ref="E35:E52" si="4">(C35-D35)^2</f>
        <v>897.59872269138111</v>
      </c>
      <c r="F35" s="95">
        <f t="shared" ref="F35:F52" si="5">(C35-$D$1)^2</f>
        <v>722.53439999999989</v>
      </c>
      <c r="G35" s="1">
        <f t="shared" ref="G35:G52" si="6">(B35-$F$1)^2</f>
        <v>56.25</v>
      </c>
      <c r="H35" s="85"/>
      <c r="I35" s="87"/>
      <c r="J35" s="87"/>
    </row>
    <row r="36" spans="1:10" x14ac:dyDescent="0.25">
      <c r="A36" s="78">
        <f ca="1">'0.ArdiData'!C36</f>
        <v>6415</v>
      </c>
      <c r="B36" s="79">
        <v>34</v>
      </c>
      <c r="C36" s="92">
        <v>31</v>
      </c>
      <c r="D36" s="94">
        <f t="shared" si="3"/>
        <v>33.370612244897956</v>
      </c>
      <c r="E36" s="80">
        <f t="shared" si="4"/>
        <v>5.619802415660125</v>
      </c>
      <c r="F36" s="95">
        <f t="shared" si="5"/>
        <v>1.2544000000000022</v>
      </c>
      <c r="G36" s="1">
        <f t="shared" si="6"/>
        <v>72.25</v>
      </c>
      <c r="H36" s="85"/>
      <c r="I36" s="87"/>
      <c r="J36" s="87"/>
    </row>
    <row r="37" spans="1:10" x14ac:dyDescent="0.25">
      <c r="A37" s="78">
        <f ca="1">'0.ArdiData'!C37</f>
        <v>6743</v>
      </c>
      <c r="B37" s="79">
        <v>35</v>
      </c>
      <c r="C37" s="92">
        <v>12</v>
      </c>
      <c r="D37" s="94">
        <f t="shared" si="3"/>
        <v>33.7812725090036</v>
      </c>
      <c r="E37" s="80">
        <f t="shared" si="4"/>
        <v>474.42383211147597</v>
      </c>
      <c r="F37" s="95">
        <f t="shared" si="5"/>
        <v>319.69439999999997</v>
      </c>
      <c r="G37" s="1">
        <f t="shared" si="6"/>
        <v>90.25</v>
      </c>
      <c r="H37" s="85"/>
      <c r="I37" s="87"/>
      <c r="J37" s="87"/>
    </row>
    <row r="38" spans="1:10" x14ac:dyDescent="0.25">
      <c r="A38" s="78">
        <f ca="1">'0.ArdiData'!C38</f>
        <v>7222</v>
      </c>
      <c r="B38" s="79">
        <v>36</v>
      </c>
      <c r="C38" s="92">
        <v>55</v>
      </c>
      <c r="D38" s="94">
        <f t="shared" si="3"/>
        <v>34.191932773109244</v>
      </c>
      <c r="E38" s="80">
        <f t="shared" si="4"/>
        <v>432.97566171880516</v>
      </c>
      <c r="F38" s="95">
        <f t="shared" si="5"/>
        <v>631.01440000000002</v>
      </c>
      <c r="G38" s="1">
        <f t="shared" si="6"/>
        <v>110.25</v>
      </c>
      <c r="H38" s="85"/>
      <c r="I38" s="87"/>
      <c r="J38" s="87"/>
    </row>
    <row r="39" spans="1:10" x14ac:dyDescent="0.25">
      <c r="A39" s="78">
        <f ca="1">'0.ArdiData'!C39</f>
        <v>6993</v>
      </c>
      <c r="B39" s="79">
        <v>37</v>
      </c>
      <c r="C39" s="92">
        <v>20</v>
      </c>
      <c r="D39" s="94">
        <f t="shared" si="3"/>
        <v>34.602593037214881</v>
      </c>
      <c r="E39" s="80">
        <f t="shared" si="4"/>
        <v>213.2357234105165</v>
      </c>
      <c r="F39" s="95">
        <f t="shared" si="5"/>
        <v>97.614399999999975</v>
      </c>
      <c r="G39" s="1">
        <f t="shared" si="6"/>
        <v>132.25</v>
      </c>
      <c r="H39" s="85"/>
      <c r="I39" s="87"/>
      <c r="J39" s="87"/>
    </row>
    <row r="40" spans="1:10" x14ac:dyDescent="0.25">
      <c r="A40" s="78">
        <f ca="1">'0.ArdiData'!C40</f>
        <v>7138</v>
      </c>
      <c r="B40" s="79">
        <v>38</v>
      </c>
      <c r="C40" s="92">
        <v>6</v>
      </c>
      <c r="D40" s="94">
        <f t="shared" si="3"/>
        <v>35.013253301320525</v>
      </c>
      <c r="E40" s="80">
        <f t="shared" si="4"/>
        <v>841.76886712658631</v>
      </c>
      <c r="F40" s="95">
        <f t="shared" si="5"/>
        <v>570.25439999999992</v>
      </c>
      <c r="G40" s="1">
        <f t="shared" si="6"/>
        <v>156.25</v>
      </c>
      <c r="H40" s="85"/>
      <c r="I40" s="87"/>
      <c r="J40" s="87"/>
    </row>
    <row r="41" spans="1:10" x14ac:dyDescent="0.25">
      <c r="A41" s="78">
        <f ca="1">'0.ArdiData'!C41</f>
        <v>7169</v>
      </c>
      <c r="B41" s="79">
        <v>39</v>
      </c>
      <c r="C41" s="92">
        <v>59</v>
      </c>
      <c r="D41" s="94">
        <f t="shared" si="3"/>
        <v>35.423913565426162</v>
      </c>
      <c r="E41" s="80">
        <f t="shared" si="4"/>
        <v>555.83185157049661</v>
      </c>
      <c r="F41" s="95">
        <f t="shared" si="5"/>
        <v>847.97440000000006</v>
      </c>
      <c r="G41" s="1">
        <f t="shared" si="6"/>
        <v>182.25</v>
      </c>
      <c r="H41" s="85"/>
      <c r="I41" s="87"/>
      <c r="J41" s="87"/>
    </row>
    <row r="42" spans="1:10" x14ac:dyDescent="0.25">
      <c r="A42" s="78">
        <f ca="1">'0.ArdiData'!C42</f>
        <v>7390</v>
      </c>
      <c r="B42" s="79">
        <v>40</v>
      </c>
      <c r="C42" s="92">
        <v>51</v>
      </c>
      <c r="D42" s="94">
        <f t="shared" si="3"/>
        <v>35.834573829531806</v>
      </c>
      <c r="E42" s="80">
        <f t="shared" si="4"/>
        <v>229.99015093192159</v>
      </c>
      <c r="F42" s="95">
        <f t="shared" si="5"/>
        <v>446.05440000000004</v>
      </c>
      <c r="G42" s="1">
        <f t="shared" si="6"/>
        <v>210.25</v>
      </c>
      <c r="H42" s="85"/>
      <c r="I42" s="87"/>
      <c r="J42" s="87"/>
    </row>
    <row r="43" spans="1:10" x14ac:dyDescent="0.25">
      <c r="A43" s="78">
        <f ca="1">'0.ArdiData'!C43</f>
        <v>7380</v>
      </c>
      <c r="B43" s="79">
        <v>41</v>
      </c>
      <c r="C43" s="92">
        <v>2</v>
      </c>
      <c r="D43" s="94">
        <f t="shared" si="3"/>
        <v>36.24523409363745</v>
      </c>
      <c r="E43" s="80">
        <f t="shared" si="4"/>
        <v>1172.7360581280288</v>
      </c>
      <c r="F43" s="95">
        <f t="shared" si="5"/>
        <v>777.2944</v>
      </c>
      <c r="G43" s="1">
        <f t="shared" si="6"/>
        <v>240.25</v>
      </c>
      <c r="H43" s="85"/>
      <c r="I43" s="87"/>
      <c r="J43" s="87"/>
    </row>
    <row r="44" spans="1:10" x14ac:dyDescent="0.25">
      <c r="A44" s="78">
        <f ca="1">'0.ArdiData'!C44</f>
        <v>8292</v>
      </c>
      <c r="B44" s="79">
        <v>42</v>
      </c>
      <c r="C44" s="92">
        <v>67</v>
      </c>
      <c r="D44" s="94">
        <f t="shared" si="3"/>
        <v>36.655894357743094</v>
      </c>
      <c r="E44" s="80">
        <f t="shared" si="4"/>
        <v>920.76474722844739</v>
      </c>
      <c r="F44" s="95">
        <f t="shared" si="5"/>
        <v>1377.8944000000004</v>
      </c>
      <c r="G44" s="1">
        <f t="shared" si="6"/>
        <v>272.25</v>
      </c>
      <c r="H44" s="85"/>
      <c r="I44" s="87"/>
      <c r="J44" s="87"/>
    </row>
    <row r="45" spans="1:10" x14ac:dyDescent="0.25">
      <c r="A45" s="78">
        <f ca="1">'0.ArdiData'!C45</f>
        <v>8034</v>
      </c>
      <c r="B45" s="79">
        <v>43</v>
      </c>
      <c r="C45" s="92">
        <v>65</v>
      </c>
      <c r="D45" s="94">
        <f t="shared" si="3"/>
        <v>37.066554621848738</v>
      </c>
      <c r="E45" s="80">
        <f t="shared" si="4"/>
        <v>780.27737069416014</v>
      </c>
      <c r="F45" s="95">
        <f t="shared" si="5"/>
        <v>1233.4144000000003</v>
      </c>
      <c r="G45" s="1">
        <f t="shared" si="6"/>
        <v>306.25</v>
      </c>
      <c r="H45" s="85"/>
      <c r="I45" s="87"/>
      <c r="J45" s="87"/>
    </row>
    <row r="46" spans="1:10" x14ac:dyDescent="0.25">
      <c r="A46" s="78">
        <f ca="1">'0.ArdiData'!C46</f>
        <v>8241</v>
      </c>
      <c r="B46" s="79">
        <v>44</v>
      </c>
      <c r="C46" s="92">
        <v>43</v>
      </c>
      <c r="D46" s="94">
        <f t="shared" si="3"/>
        <v>37.477214885954382</v>
      </c>
      <c r="E46" s="80">
        <f t="shared" si="4"/>
        <v>30.501155415923872</v>
      </c>
      <c r="F46" s="95">
        <f t="shared" si="5"/>
        <v>172.13440000000003</v>
      </c>
      <c r="G46" s="1">
        <f t="shared" si="6"/>
        <v>342.25</v>
      </c>
      <c r="H46" s="85"/>
      <c r="I46" s="87"/>
      <c r="J46" s="87"/>
    </row>
    <row r="47" spans="1:10" x14ac:dyDescent="0.25">
      <c r="A47" s="78">
        <f ca="1">'0.ArdiData'!C47</f>
        <v>8304</v>
      </c>
      <c r="B47" s="79">
        <v>45</v>
      </c>
      <c r="C47" s="92">
        <v>27</v>
      </c>
      <c r="D47" s="94">
        <f t="shared" si="3"/>
        <v>37.887875150060019</v>
      </c>
      <c r="E47" s="80">
        <f t="shared" si="4"/>
        <v>118.54582528329448</v>
      </c>
      <c r="F47" s="95">
        <f t="shared" si="5"/>
        <v>8.2943999999999942</v>
      </c>
      <c r="G47" s="1">
        <f t="shared" si="6"/>
        <v>380.25</v>
      </c>
      <c r="H47" s="85"/>
      <c r="I47" s="87"/>
      <c r="J47" s="87"/>
    </row>
    <row r="48" spans="1:10" x14ac:dyDescent="0.25">
      <c r="A48" s="78">
        <f ca="1">'0.ArdiData'!C48</f>
        <v>8430</v>
      </c>
      <c r="B48" s="79">
        <v>46</v>
      </c>
      <c r="C48" s="92">
        <v>31</v>
      </c>
      <c r="D48" s="94">
        <f t="shared" si="3"/>
        <v>38.298535414165663</v>
      </c>
      <c r="E48" s="80">
        <f t="shared" si="4"/>
        <v>53.268619191830346</v>
      </c>
      <c r="F48" s="95">
        <f t="shared" si="5"/>
        <v>1.2544000000000022</v>
      </c>
      <c r="G48" s="1">
        <f t="shared" si="6"/>
        <v>420.25</v>
      </c>
      <c r="H48" s="85"/>
      <c r="I48" s="87"/>
      <c r="J48" s="87"/>
    </row>
    <row r="49" spans="1:11" x14ac:dyDescent="0.25">
      <c r="A49" s="78">
        <f ca="1">'0.ArdiData'!C49</f>
        <v>7733</v>
      </c>
      <c r="B49" s="79">
        <v>47</v>
      </c>
      <c r="C49" s="92">
        <v>43</v>
      </c>
      <c r="D49" s="94">
        <f t="shared" si="3"/>
        <v>38.7091956782713</v>
      </c>
      <c r="E49" s="80">
        <f t="shared" si="4"/>
        <v>18.41100172736569</v>
      </c>
      <c r="F49" s="95">
        <f t="shared" si="5"/>
        <v>172.13440000000003</v>
      </c>
      <c r="G49" s="1">
        <f t="shared" si="6"/>
        <v>462.25</v>
      </c>
      <c r="H49" s="85"/>
      <c r="I49" s="87"/>
      <c r="J49" s="87"/>
    </row>
    <row r="50" spans="1:11" x14ac:dyDescent="0.25">
      <c r="A50" s="78">
        <f ca="1">'0.ArdiData'!C50</f>
        <v>7961</v>
      </c>
      <c r="B50" s="79">
        <v>48</v>
      </c>
      <c r="C50" s="92">
        <v>15</v>
      </c>
      <c r="D50" s="94">
        <f t="shared" si="3"/>
        <v>39.119855942376944</v>
      </c>
      <c r="E50" s="80">
        <f t="shared" si="4"/>
        <v>581.76745068101638</v>
      </c>
      <c r="F50" s="95">
        <f t="shared" si="5"/>
        <v>221.41439999999997</v>
      </c>
      <c r="G50" s="1">
        <f t="shared" si="6"/>
        <v>506.25</v>
      </c>
      <c r="H50" s="85"/>
      <c r="I50" s="87"/>
      <c r="J50" s="87"/>
    </row>
    <row r="51" spans="1:11" x14ac:dyDescent="0.25">
      <c r="A51" s="78">
        <f ca="1">'0.ArdiData'!C51</f>
        <v>8573</v>
      </c>
      <c r="B51" s="79">
        <v>49</v>
      </c>
      <c r="C51" s="92">
        <v>37</v>
      </c>
      <c r="D51" s="94">
        <f t="shared" si="3"/>
        <v>39.530516206482588</v>
      </c>
      <c r="E51" s="80">
        <f t="shared" si="4"/>
        <v>6.4035122712710271</v>
      </c>
      <c r="F51" s="95">
        <f t="shared" si="5"/>
        <v>50.694400000000016</v>
      </c>
      <c r="G51" s="1">
        <f t="shared" si="6"/>
        <v>552.25</v>
      </c>
      <c r="H51" s="85"/>
      <c r="I51" s="87"/>
      <c r="J51" s="87"/>
    </row>
    <row r="52" spans="1:11" ht="15.75" thickBot="1" x14ac:dyDescent="0.3">
      <c r="A52" s="81">
        <f ca="1">'0.ArdiData'!C52</f>
        <v>8465</v>
      </c>
      <c r="B52" s="82">
        <v>50</v>
      </c>
      <c r="C52" s="93">
        <v>36</v>
      </c>
      <c r="D52" s="94">
        <f t="shared" si="3"/>
        <v>39.941176470588232</v>
      </c>
      <c r="E52" s="83">
        <f t="shared" si="4"/>
        <v>15.532871972318313</v>
      </c>
      <c r="F52" s="96">
        <f t="shared" si="5"/>
        <v>37.454400000000014</v>
      </c>
      <c r="G52" s="1">
        <f t="shared" si="6"/>
        <v>600.25</v>
      </c>
      <c r="H52" s="85"/>
      <c r="I52" s="87"/>
      <c r="J52" s="87"/>
    </row>
    <row r="53" spans="1:11" ht="15.75" customHeight="1" x14ac:dyDescent="0.25">
      <c r="B53" s="64">
        <v>51</v>
      </c>
      <c r="G53" s="187"/>
      <c r="H53" s="166"/>
      <c r="I53" s="88"/>
      <c r="J53" s="88"/>
      <c r="K53" s="8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workbookViewId="0">
      <selection activeCell="B45" sqref="B45"/>
    </sheetView>
  </sheetViews>
  <sheetFormatPr defaultRowHeight="15" x14ac:dyDescent="0.25"/>
  <cols>
    <col min="1" max="1" width="11.140625" bestFit="1" customWidth="1"/>
    <col min="2" max="2" width="16.7109375" bestFit="1" customWidth="1"/>
  </cols>
  <sheetData>
    <row r="2" spans="1:5" ht="15.75" thickBot="1" x14ac:dyDescent="0.3">
      <c r="A2" s="1" t="s">
        <v>78</v>
      </c>
      <c r="B2" s="1" t="s">
        <v>85</v>
      </c>
      <c r="D2" t="str">
        <f>"Y = "&amp;D4&amp;" + "&amp;E4&amp;"X"</f>
        <v>Y = b0 + b1X</v>
      </c>
    </row>
    <row r="3" spans="1:5" ht="15.75" thickBot="1" x14ac:dyDescent="0.3">
      <c r="A3" s="168" t="s">
        <v>84</v>
      </c>
      <c r="B3" s="168" t="s">
        <v>83</v>
      </c>
      <c r="D3" s="176" t="s">
        <v>55</v>
      </c>
      <c r="E3" s="175" t="s">
        <v>80</v>
      </c>
    </row>
    <row r="4" spans="1:5" ht="15.75" thickBot="1" x14ac:dyDescent="0.3">
      <c r="A4" s="174">
        <v>20</v>
      </c>
      <c r="B4" s="174">
        <v>1468</v>
      </c>
      <c r="D4" s="173" t="s">
        <v>54</v>
      </c>
      <c r="E4" s="172" t="s">
        <v>56</v>
      </c>
    </row>
    <row r="5" spans="1:5" ht="15.75" thickBot="1" x14ac:dyDescent="0.3">
      <c r="A5" s="171">
        <v>40</v>
      </c>
      <c r="B5" s="171">
        <v>1800</v>
      </c>
      <c r="D5" s="173">
        <f>INTERCEPT(B4:B12,A4:A12)</f>
        <v>1200.0000000000259</v>
      </c>
      <c r="E5" s="172">
        <f>SLOPE(B4:B12,A4:A12)</f>
        <v>15.999999999999865</v>
      </c>
    </row>
    <row r="6" spans="1:5" x14ac:dyDescent="0.25">
      <c r="A6" s="171">
        <v>50</v>
      </c>
      <c r="B6" s="171">
        <v>2000</v>
      </c>
    </row>
    <row r="7" spans="1:5" x14ac:dyDescent="0.25">
      <c r="A7" s="171">
        <v>70</v>
      </c>
      <c r="B7" s="171">
        <v>2300</v>
      </c>
    </row>
    <row r="8" spans="1:5" x14ac:dyDescent="0.25">
      <c r="A8" s="171">
        <v>90</v>
      </c>
      <c r="B8" s="171">
        <v>2700</v>
      </c>
    </row>
    <row r="9" spans="1:5" x14ac:dyDescent="0.25">
      <c r="A9" s="171">
        <v>100</v>
      </c>
      <c r="B9" s="171">
        <v>2961.1219253302847</v>
      </c>
    </row>
    <row r="10" spans="1:5" x14ac:dyDescent="0.25">
      <c r="A10" s="171">
        <v>120</v>
      </c>
      <c r="B10" s="171">
        <v>3173.4592379126093</v>
      </c>
    </row>
    <row r="11" spans="1:5" x14ac:dyDescent="0.25">
      <c r="A11" s="171">
        <v>140</v>
      </c>
      <c r="B11" s="171">
        <v>3390.0126596118184</v>
      </c>
    </row>
    <row r="12" spans="1:5" ht="15.75" thickBot="1" x14ac:dyDescent="0.3">
      <c r="A12" s="170">
        <v>150</v>
      </c>
      <c r="B12" s="170">
        <v>3487.4061771454217</v>
      </c>
    </row>
    <row r="18" spans="1:4" x14ac:dyDescent="0.25">
      <c r="A18" s="169">
        <v>20</v>
      </c>
      <c r="B18">
        <f t="shared" ref="B18:B26" ca="1" si="0">INT(1000+20*A18+_xlfn.NORM.INV(RAND(), 0,300))</f>
        <v>1521</v>
      </c>
      <c r="C18">
        <f t="shared" ref="C18:C26" ca="1" si="1">INT(3000-15*A18+_xlfn.NORM.INV(RAND(),0,300))</f>
        <v>2338</v>
      </c>
      <c r="D18">
        <f t="shared" ref="D18:D26" ca="1" si="2">INT(10000*RAND())</f>
        <v>9918</v>
      </c>
    </row>
    <row r="19" spans="1:4" x14ac:dyDescent="0.25">
      <c r="A19" s="169">
        <v>40</v>
      </c>
      <c r="B19">
        <f t="shared" ca="1" si="0"/>
        <v>2092</v>
      </c>
      <c r="C19">
        <f t="shared" ca="1" si="1"/>
        <v>2673</v>
      </c>
      <c r="D19">
        <f t="shared" ca="1" si="2"/>
        <v>426</v>
      </c>
    </row>
    <row r="20" spans="1:4" x14ac:dyDescent="0.25">
      <c r="A20" s="169">
        <v>50</v>
      </c>
      <c r="B20">
        <f t="shared" ca="1" si="0"/>
        <v>2851</v>
      </c>
      <c r="C20">
        <f t="shared" ca="1" si="1"/>
        <v>1654</v>
      </c>
      <c r="D20">
        <f t="shared" ca="1" si="2"/>
        <v>2063</v>
      </c>
    </row>
    <row r="21" spans="1:4" x14ac:dyDescent="0.25">
      <c r="A21" s="169">
        <v>70</v>
      </c>
      <c r="B21">
        <f t="shared" ca="1" si="0"/>
        <v>1888</v>
      </c>
      <c r="C21">
        <f t="shared" ca="1" si="1"/>
        <v>1664</v>
      </c>
      <c r="D21">
        <f t="shared" ca="1" si="2"/>
        <v>1226</v>
      </c>
    </row>
    <row r="22" spans="1:4" x14ac:dyDescent="0.25">
      <c r="A22" s="169">
        <v>90</v>
      </c>
      <c r="B22">
        <f t="shared" ca="1" si="0"/>
        <v>2984</v>
      </c>
      <c r="C22">
        <f t="shared" ca="1" si="1"/>
        <v>1164</v>
      </c>
      <c r="D22">
        <f t="shared" ca="1" si="2"/>
        <v>6476</v>
      </c>
    </row>
    <row r="23" spans="1:4" x14ac:dyDescent="0.25">
      <c r="A23" s="169">
        <v>100</v>
      </c>
      <c r="B23">
        <f t="shared" ca="1" si="0"/>
        <v>2979</v>
      </c>
      <c r="C23">
        <f t="shared" ca="1" si="1"/>
        <v>2059</v>
      </c>
      <c r="D23">
        <f t="shared" ca="1" si="2"/>
        <v>8490</v>
      </c>
    </row>
    <row r="24" spans="1:4" x14ac:dyDescent="0.25">
      <c r="A24" s="169">
        <v>120</v>
      </c>
      <c r="B24">
        <f t="shared" ca="1" si="0"/>
        <v>3074</v>
      </c>
      <c r="C24">
        <f t="shared" ca="1" si="1"/>
        <v>210</v>
      </c>
      <c r="D24">
        <f t="shared" ca="1" si="2"/>
        <v>1690</v>
      </c>
    </row>
    <row r="25" spans="1:4" x14ac:dyDescent="0.25">
      <c r="A25" s="169">
        <v>140</v>
      </c>
      <c r="B25">
        <f t="shared" ca="1" si="0"/>
        <v>4005</v>
      </c>
      <c r="C25">
        <f t="shared" ca="1" si="1"/>
        <v>1685</v>
      </c>
      <c r="D25">
        <f t="shared" ca="1" si="2"/>
        <v>460</v>
      </c>
    </row>
    <row r="26" spans="1:4" x14ac:dyDescent="0.25">
      <c r="A26" s="169">
        <v>150</v>
      </c>
      <c r="B26">
        <f t="shared" ca="1" si="0"/>
        <v>3415</v>
      </c>
      <c r="C26">
        <f t="shared" ca="1" si="1"/>
        <v>696</v>
      </c>
      <c r="D26">
        <f t="shared" ca="1" si="2"/>
        <v>1672</v>
      </c>
    </row>
    <row r="27" spans="1:4" x14ac:dyDescent="0.25">
      <c r="A27" t="s">
        <v>86</v>
      </c>
      <c r="B27" s="186">
        <f ca="1">ROUND(CORREL($A$18:$A$26,B18:B26)^2,3)</f>
        <v>0.755</v>
      </c>
      <c r="C27" s="186">
        <f t="shared" ref="C27:D27" ca="1" si="3">ROUND(CORREL($A$18:$A$26,C18:C26)^2,3)</f>
        <v>0.48599999999999999</v>
      </c>
      <c r="D27" s="186">
        <f t="shared" ca="1" si="3"/>
        <v>0.11799999999999999</v>
      </c>
    </row>
    <row r="28" spans="1:4" x14ac:dyDescent="0.25">
      <c r="B28" t="str">
        <f ca="1">"R-Square= "&amp;B27</f>
        <v>R-Square= 0.755</v>
      </c>
      <c r="C28" t="str">
        <f t="shared" ref="C28:D28" ca="1" si="4">"R-Square= "&amp;C27</f>
        <v>R-Square= 0.486</v>
      </c>
      <c r="D28" t="str">
        <f t="shared" ca="1" si="4"/>
        <v>R-Square= 0.118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zoomScale="86" zoomScaleNormal="86" workbookViewId="0">
      <selection activeCell="B14" sqref="B14"/>
    </sheetView>
  </sheetViews>
  <sheetFormatPr defaultRowHeight="16.5" x14ac:dyDescent="0.3"/>
  <cols>
    <col min="1" max="3" width="9.140625" style="91"/>
    <col min="4" max="4" width="9.5703125" style="91" bestFit="1" customWidth="1"/>
    <col min="5" max="16384" width="9.140625" style="91"/>
  </cols>
  <sheetData>
    <row r="2" spans="1:8" ht="17.25" thickBot="1" x14ac:dyDescent="0.35">
      <c r="C2" s="91" t="str">
        <f>C5&amp;" vs. "&amp;C6</f>
        <v>P vs. Q</v>
      </c>
    </row>
    <row r="3" spans="1:8" ht="17.25" thickBot="1" x14ac:dyDescent="0.35">
      <c r="A3" s="177" t="s">
        <v>82</v>
      </c>
      <c r="B3" s="177" t="s">
        <v>81</v>
      </c>
      <c r="E3" s="178" t="s">
        <v>80</v>
      </c>
    </row>
    <row r="4" spans="1:8" ht="17.25" thickBot="1" x14ac:dyDescent="0.35">
      <c r="A4" s="177">
        <v>15</v>
      </c>
      <c r="B4" s="177">
        <v>135</v>
      </c>
      <c r="D4" s="179" t="s">
        <v>55</v>
      </c>
      <c r="E4" s="180">
        <f>SLOPE(B4:B11,A4:A11)</f>
        <v>-2.5</v>
      </c>
    </row>
    <row r="5" spans="1:8" ht="17.25" thickBot="1" x14ac:dyDescent="0.35">
      <c r="A5" s="177">
        <v>20</v>
      </c>
      <c r="B5" s="177">
        <v>130</v>
      </c>
      <c r="C5" s="181" t="s">
        <v>79</v>
      </c>
      <c r="D5" s="182">
        <f>INTERCEPT(B4:B11,A4:A11)</f>
        <v>175</v>
      </c>
      <c r="E5" s="183">
        <v>0</v>
      </c>
      <c r="F5" s="91" t="s">
        <v>79</v>
      </c>
      <c r="G5" s="91">
        <f>CORREL(B4:B11,A4:A11)</f>
        <v>-0.99255755969264914</v>
      </c>
      <c r="H5" s="91" t="str">
        <f ca="1">_xlfn.FORMULATEXT(G5)</f>
        <v>=CORREL(B4:B11,A4:A11)</v>
      </c>
    </row>
    <row r="6" spans="1:8" ht="17.25" thickBot="1" x14ac:dyDescent="0.35">
      <c r="A6" s="177">
        <v>32</v>
      </c>
      <c r="B6" s="177">
        <v>89</v>
      </c>
      <c r="C6" s="181" t="s">
        <v>78</v>
      </c>
      <c r="D6" s="184">
        <v>0</v>
      </c>
      <c r="E6" s="185">
        <f>D5/(-E4)</f>
        <v>70</v>
      </c>
      <c r="F6" s="91" t="s">
        <v>78</v>
      </c>
      <c r="G6" s="91">
        <f>STEYX(B4:B11,A4:A11)</f>
        <v>6.1389467066155978</v>
      </c>
      <c r="H6" s="91" t="str">
        <f ca="1">_xlfn.FORMULATEXT(G6)</f>
        <v>=STEYX(B4:B11,A4:A11)</v>
      </c>
    </row>
    <row r="7" spans="1:8" x14ac:dyDescent="0.3">
      <c r="A7" s="177">
        <v>45</v>
      </c>
      <c r="B7" s="177">
        <v>62</v>
      </c>
    </row>
    <row r="8" spans="1:8" x14ac:dyDescent="0.3">
      <c r="A8" s="177">
        <v>50</v>
      </c>
      <c r="B8" s="177">
        <v>60</v>
      </c>
    </row>
    <row r="9" spans="1:8" x14ac:dyDescent="0.3">
      <c r="A9" s="177">
        <v>55</v>
      </c>
      <c r="B9" s="177">
        <v>31.6</v>
      </c>
    </row>
    <row r="10" spans="1:8" x14ac:dyDescent="0.3">
      <c r="A10" s="177">
        <v>60</v>
      </c>
      <c r="B10" s="177">
        <v>28.4</v>
      </c>
      <c r="D10" s="177"/>
      <c r="E10" s="177"/>
      <c r="F10" s="177"/>
    </row>
    <row r="11" spans="1:8" x14ac:dyDescent="0.3">
      <c r="A11" s="177">
        <v>65</v>
      </c>
      <c r="B11" s="177">
        <v>9</v>
      </c>
    </row>
    <row r="13" spans="1:8" x14ac:dyDescent="0.3">
      <c r="B13" s="91">
        <f>_xlfn.STDEV.S(B4:B11)</f>
        <v>46.67210087407679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workbookViewId="0">
      <selection activeCell="AA25" sqref="AA25"/>
    </sheetView>
  </sheetViews>
  <sheetFormatPr defaultRowHeight="12.75" x14ac:dyDescent="0.2"/>
  <cols>
    <col min="1" max="1" width="4.42578125" style="3" bestFit="1" customWidth="1"/>
    <col min="2" max="5" width="9.140625" style="3"/>
    <col min="6" max="6" width="10.7109375" style="3" bestFit="1" customWidth="1"/>
    <col min="7" max="8" width="5" style="3" bestFit="1" customWidth="1"/>
    <col min="9" max="9" width="9.7109375" style="3" bestFit="1" customWidth="1"/>
    <col min="10" max="10" width="5.85546875" style="3" bestFit="1" customWidth="1"/>
    <col min="11" max="11" width="4.7109375" style="3" bestFit="1" customWidth="1"/>
    <col min="12" max="12" width="8.5703125" style="3" bestFit="1" customWidth="1"/>
    <col min="13" max="16384" width="9.140625" style="3"/>
  </cols>
  <sheetData>
    <row r="1" spans="1:17" ht="13.5" thickBot="1" x14ac:dyDescent="0.25">
      <c r="A1" s="2" t="s">
        <v>1</v>
      </c>
      <c r="B1" s="3" t="s">
        <v>2</v>
      </c>
      <c r="C1" s="3" t="s">
        <v>3</v>
      </c>
      <c r="D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7" ht="13.5" thickBot="1" x14ac:dyDescent="0.25">
      <c r="F2" s="5" t="str">
        <f>G2&amp;" - "&amp;H2</f>
        <v>100 - 200</v>
      </c>
      <c r="G2" s="6">
        <v>100</v>
      </c>
      <c r="H2" s="7">
        <f>G2+100</f>
        <v>200</v>
      </c>
      <c r="I2" s="8">
        <f t="shared" ref="I2:I14" si="0">COUNTIF($C$3:$C$77, "&lt;"&amp;H2)</f>
        <v>1</v>
      </c>
      <c r="J2" s="7">
        <f>I2</f>
        <v>1</v>
      </c>
      <c r="K2" s="9">
        <f>J2/$J$15</f>
        <v>1.3333333333333334E-2</v>
      </c>
      <c r="L2" s="10">
        <f>I2/$J$15</f>
        <v>1.3333333333333334E-2</v>
      </c>
      <c r="N2" s="11" t="s">
        <v>12</v>
      </c>
      <c r="O2" s="12">
        <f>AVERAGE(B$3:B$77)</f>
        <v>549.66666666666663</v>
      </c>
      <c r="P2" s="12">
        <f>AVERAGE(C$3:C$77)</f>
        <v>549.66666666666663</v>
      </c>
      <c r="Q2" s="13">
        <f>AVERAGE(D$3:D$77)</f>
        <v>549.66666666666663</v>
      </c>
    </row>
    <row r="3" spans="1:17" ht="13.5" thickBot="1" x14ac:dyDescent="0.25">
      <c r="A3" s="14">
        <v>1</v>
      </c>
      <c r="B3" s="15">
        <v>495</v>
      </c>
      <c r="C3" s="16">
        <v>176</v>
      </c>
      <c r="D3" s="17">
        <v>346</v>
      </c>
      <c r="F3" s="18" t="str">
        <f t="shared" ref="F3:F14" si="1">G3&amp;" - "&amp;H3</f>
        <v>200 - 300</v>
      </c>
      <c r="G3" s="19">
        <f>H2</f>
        <v>200</v>
      </c>
      <c r="H3" s="19">
        <f t="shared" ref="H3:H14" si="2">G3+100</f>
        <v>300</v>
      </c>
      <c r="I3" s="8">
        <f t="shared" si="0"/>
        <v>11</v>
      </c>
      <c r="J3" s="19">
        <f>I3-I2</f>
        <v>10</v>
      </c>
      <c r="K3" s="20">
        <f t="shared" ref="K3:K14" si="3">J3/$J$15</f>
        <v>0.13333333333333333</v>
      </c>
      <c r="L3" s="21">
        <f t="shared" ref="L3:L14" si="4">I3/$J$15</f>
        <v>0.14666666666666667</v>
      </c>
      <c r="N3" s="22" t="s">
        <v>13</v>
      </c>
      <c r="O3" s="23">
        <f>MAX(B$3:B$77)</f>
        <v>1330</v>
      </c>
      <c r="P3" s="23">
        <f>MAX(C$3:C$77)</f>
        <v>1330</v>
      </c>
      <c r="Q3" s="24">
        <f>MAX(D$3:D$77)</f>
        <v>1330</v>
      </c>
    </row>
    <row r="4" spans="1:17" ht="13.5" thickBot="1" x14ac:dyDescent="0.25">
      <c r="A4" s="14">
        <v>2</v>
      </c>
      <c r="B4" s="25">
        <v>204</v>
      </c>
      <c r="C4" s="26">
        <v>204</v>
      </c>
      <c r="D4" s="27">
        <v>775</v>
      </c>
      <c r="F4" s="18" t="str">
        <f t="shared" si="1"/>
        <v>300 - 400</v>
      </c>
      <c r="G4" s="19">
        <f t="shared" ref="G4:G13" si="5">H3</f>
        <v>300</v>
      </c>
      <c r="H4" s="19">
        <f t="shared" si="2"/>
        <v>400</v>
      </c>
      <c r="I4" s="8">
        <f t="shared" si="0"/>
        <v>24</v>
      </c>
      <c r="J4" s="19">
        <f t="shared" ref="J4:J14" si="6">I4-I3</f>
        <v>13</v>
      </c>
      <c r="K4" s="20">
        <f t="shared" si="3"/>
        <v>0.17333333333333334</v>
      </c>
      <c r="L4" s="21">
        <f t="shared" si="4"/>
        <v>0.32</v>
      </c>
      <c r="N4" s="22" t="s">
        <v>14</v>
      </c>
      <c r="O4" s="23">
        <f>MIN(B$3:B$77)</f>
        <v>176</v>
      </c>
      <c r="P4" s="23">
        <f>MIN(C$3:C$77)</f>
        <v>176</v>
      </c>
      <c r="Q4" s="24">
        <f>MIN(D$3:D$77)</f>
        <v>176</v>
      </c>
    </row>
    <row r="5" spans="1:17" ht="13.5" thickBot="1" x14ac:dyDescent="0.25">
      <c r="A5" s="14">
        <v>3</v>
      </c>
      <c r="B5" s="25">
        <v>318</v>
      </c>
      <c r="C5" s="26">
        <v>218</v>
      </c>
      <c r="D5" s="27">
        <v>572</v>
      </c>
      <c r="F5" s="18" t="str">
        <f t="shared" si="1"/>
        <v>400 - 500</v>
      </c>
      <c r="G5" s="19">
        <f t="shared" si="5"/>
        <v>400</v>
      </c>
      <c r="H5" s="19">
        <f t="shared" si="2"/>
        <v>500</v>
      </c>
      <c r="I5" s="8">
        <f t="shared" si="0"/>
        <v>33</v>
      </c>
      <c r="J5" s="19">
        <f t="shared" si="6"/>
        <v>9</v>
      </c>
      <c r="K5" s="20">
        <f t="shared" si="3"/>
        <v>0.12</v>
      </c>
      <c r="L5" s="21">
        <f t="shared" si="4"/>
        <v>0.44</v>
      </c>
      <c r="N5" s="22" t="s">
        <v>5</v>
      </c>
      <c r="O5" s="23">
        <f>O3-O4</f>
        <v>1154</v>
      </c>
      <c r="P5" s="23">
        <f>P3-P4</f>
        <v>1154</v>
      </c>
      <c r="Q5" s="24">
        <f>Q3-Q4</f>
        <v>1154</v>
      </c>
    </row>
    <row r="6" spans="1:17" ht="13.5" thickBot="1" x14ac:dyDescent="0.25">
      <c r="A6" s="14">
        <v>4</v>
      </c>
      <c r="B6" s="25">
        <v>802</v>
      </c>
      <c r="C6" s="26">
        <v>439</v>
      </c>
      <c r="D6" s="27">
        <v>455</v>
      </c>
      <c r="F6" s="18" t="str">
        <f t="shared" si="1"/>
        <v>500 - 600</v>
      </c>
      <c r="G6" s="19">
        <f t="shared" si="5"/>
        <v>500</v>
      </c>
      <c r="H6" s="19">
        <f t="shared" si="2"/>
        <v>600</v>
      </c>
      <c r="I6" s="8">
        <f t="shared" si="0"/>
        <v>49</v>
      </c>
      <c r="J6" s="19">
        <f t="shared" si="6"/>
        <v>16</v>
      </c>
      <c r="K6" s="20">
        <f t="shared" si="3"/>
        <v>0.21333333333333335</v>
      </c>
      <c r="L6" s="21">
        <f t="shared" si="4"/>
        <v>0.65333333333333332</v>
      </c>
      <c r="N6" s="22" t="s">
        <v>15</v>
      </c>
      <c r="O6" s="23">
        <f>_xlfn.STDEV.S(B$3:B$77)</f>
        <v>244.87626954727034</v>
      </c>
      <c r="P6" s="23">
        <f>_xlfn.STDEV.S(C$3:C$77)</f>
        <v>244.87626954727034</v>
      </c>
      <c r="Q6" s="24">
        <f>_xlfn.STDEV.S(D$3:D$77)</f>
        <v>244.87626954727034</v>
      </c>
    </row>
    <row r="7" spans="1:17" ht="13.5" thickBot="1" x14ac:dyDescent="0.25">
      <c r="A7" s="14">
        <v>5</v>
      </c>
      <c r="B7" s="25">
        <v>446</v>
      </c>
      <c r="C7" s="26">
        <v>229</v>
      </c>
      <c r="D7" s="27">
        <v>176</v>
      </c>
      <c r="F7" s="18" t="str">
        <f t="shared" si="1"/>
        <v>600 - 700</v>
      </c>
      <c r="G7" s="19">
        <f t="shared" si="5"/>
        <v>600</v>
      </c>
      <c r="H7" s="19">
        <f t="shared" si="2"/>
        <v>700</v>
      </c>
      <c r="I7" s="8">
        <f t="shared" si="0"/>
        <v>54</v>
      </c>
      <c r="J7" s="19">
        <f t="shared" si="6"/>
        <v>5</v>
      </c>
      <c r="K7" s="20">
        <f t="shared" si="3"/>
        <v>6.6666666666666666E-2</v>
      </c>
      <c r="L7" s="21">
        <f t="shared" si="4"/>
        <v>0.72</v>
      </c>
      <c r="N7" s="22" t="s">
        <v>16</v>
      </c>
      <c r="O7" s="23">
        <f>O6/O2</f>
        <v>0.44549958074094059</v>
      </c>
      <c r="P7" s="23">
        <f>P6/P2</f>
        <v>0.44549958074094059</v>
      </c>
      <c r="Q7" s="24">
        <f>Q6/Q2</f>
        <v>0.44549958074094059</v>
      </c>
    </row>
    <row r="8" spans="1:17" ht="13.5" thickBot="1" x14ac:dyDescent="0.25">
      <c r="A8" s="14">
        <v>6</v>
      </c>
      <c r="B8" s="25">
        <v>568</v>
      </c>
      <c r="C8" s="26">
        <v>249</v>
      </c>
      <c r="D8" s="27">
        <v>412</v>
      </c>
      <c r="F8" s="18" t="str">
        <f t="shared" si="1"/>
        <v>700 - 800</v>
      </c>
      <c r="G8" s="19">
        <f t="shared" si="5"/>
        <v>700</v>
      </c>
      <c r="H8" s="19">
        <f t="shared" si="2"/>
        <v>800</v>
      </c>
      <c r="I8" s="8">
        <f t="shared" si="0"/>
        <v>61</v>
      </c>
      <c r="J8" s="19">
        <f t="shared" si="6"/>
        <v>7</v>
      </c>
      <c r="K8" s="20">
        <f t="shared" si="3"/>
        <v>9.3333333333333338E-2</v>
      </c>
      <c r="L8" s="21">
        <f t="shared" si="4"/>
        <v>0.81333333333333335</v>
      </c>
      <c r="N8" s="22" t="s">
        <v>17</v>
      </c>
      <c r="O8" s="23">
        <f>O5/O2</f>
        <v>2.099454214675561</v>
      </c>
      <c r="P8" s="23">
        <f>P5/P2</f>
        <v>2.099454214675561</v>
      </c>
      <c r="Q8" s="24">
        <f>Q5/Q2</f>
        <v>2.099454214675561</v>
      </c>
    </row>
    <row r="9" spans="1:17" ht="13.5" thickBot="1" x14ac:dyDescent="0.25">
      <c r="A9" s="14">
        <v>7</v>
      </c>
      <c r="B9" s="25">
        <v>372</v>
      </c>
      <c r="C9" s="26">
        <v>227</v>
      </c>
      <c r="D9" s="27">
        <v>926</v>
      </c>
      <c r="F9" s="18" t="str">
        <f t="shared" si="1"/>
        <v>800 - 900</v>
      </c>
      <c r="G9" s="19">
        <f t="shared" si="5"/>
        <v>800</v>
      </c>
      <c r="H9" s="19">
        <f t="shared" si="2"/>
        <v>900</v>
      </c>
      <c r="I9" s="8">
        <f t="shared" si="0"/>
        <v>69</v>
      </c>
      <c r="J9" s="19">
        <f t="shared" si="6"/>
        <v>8</v>
      </c>
      <c r="K9" s="20">
        <f t="shared" si="3"/>
        <v>0.10666666666666667</v>
      </c>
      <c r="L9" s="21">
        <f t="shared" si="4"/>
        <v>0.92</v>
      </c>
      <c r="N9" s="28" t="s">
        <v>18</v>
      </c>
      <c r="O9" s="29">
        <f>SKEW(B$3:B$77)</f>
        <v>0.77576152004140142</v>
      </c>
      <c r="P9" s="29">
        <f>SKEW(C$3:C$77)</f>
        <v>0.77576152004140153</v>
      </c>
      <c r="Q9" s="30">
        <f>SKEW(D$3:D$77)</f>
        <v>0.77576152004140153</v>
      </c>
    </row>
    <row r="10" spans="1:17" ht="13.5" thickBot="1" x14ac:dyDescent="0.25">
      <c r="A10" s="14">
        <v>8</v>
      </c>
      <c r="B10" s="25">
        <v>281</v>
      </c>
      <c r="C10" s="26">
        <v>256</v>
      </c>
      <c r="D10" s="27">
        <v>710</v>
      </c>
      <c r="F10" s="18" t="str">
        <f t="shared" si="1"/>
        <v>900 - 1000</v>
      </c>
      <c r="G10" s="19">
        <f t="shared" si="5"/>
        <v>900</v>
      </c>
      <c r="H10" s="19">
        <f t="shared" si="2"/>
        <v>1000</v>
      </c>
      <c r="I10" s="8">
        <f t="shared" si="0"/>
        <v>71</v>
      </c>
      <c r="J10" s="19">
        <f t="shared" si="6"/>
        <v>2</v>
      </c>
      <c r="K10" s="20">
        <f t="shared" si="3"/>
        <v>2.6666666666666668E-2</v>
      </c>
      <c r="L10" s="21">
        <f t="shared" si="4"/>
        <v>0.94666666666666666</v>
      </c>
    </row>
    <row r="11" spans="1:17" ht="13.5" thickBot="1" x14ac:dyDescent="0.25">
      <c r="A11" s="14">
        <v>9</v>
      </c>
      <c r="B11" s="25">
        <v>676</v>
      </c>
      <c r="C11" s="26">
        <v>304</v>
      </c>
      <c r="D11" s="27">
        <v>514</v>
      </c>
      <c r="F11" s="18" t="str">
        <f t="shared" si="1"/>
        <v>1000 - 1100</v>
      </c>
      <c r="G11" s="19">
        <f t="shared" si="5"/>
        <v>1000</v>
      </c>
      <c r="H11" s="19">
        <f t="shared" si="2"/>
        <v>1100</v>
      </c>
      <c r="I11" s="8">
        <f t="shared" si="0"/>
        <v>73</v>
      </c>
      <c r="J11" s="19">
        <f t="shared" si="6"/>
        <v>2</v>
      </c>
      <c r="K11" s="20">
        <f t="shared" si="3"/>
        <v>2.6666666666666668E-2</v>
      </c>
      <c r="L11" s="21">
        <f t="shared" si="4"/>
        <v>0.97333333333333338</v>
      </c>
    </row>
    <row r="12" spans="1:17" ht="13.5" thickBot="1" x14ac:dyDescent="0.25">
      <c r="A12" s="14">
        <v>10</v>
      </c>
      <c r="B12" s="25">
        <v>755</v>
      </c>
      <c r="C12" s="26">
        <v>354</v>
      </c>
      <c r="D12" s="27">
        <v>281</v>
      </c>
      <c r="F12" s="18" t="str">
        <f t="shared" si="1"/>
        <v>1100 - 1200</v>
      </c>
      <c r="G12" s="19">
        <f t="shared" si="5"/>
        <v>1100</v>
      </c>
      <c r="H12" s="19">
        <f t="shared" si="2"/>
        <v>1200</v>
      </c>
      <c r="I12" s="8">
        <f t="shared" si="0"/>
        <v>74</v>
      </c>
      <c r="J12" s="19">
        <f t="shared" si="6"/>
        <v>1</v>
      </c>
      <c r="K12" s="20">
        <f t="shared" si="3"/>
        <v>1.3333333333333334E-2</v>
      </c>
      <c r="L12" s="21">
        <f t="shared" si="4"/>
        <v>0.98666666666666669</v>
      </c>
    </row>
    <row r="13" spans="1:17" ht="13.5" thickBot="1" x14ac:dyDescent="0.25">
      <c r="A13" s="14">
        <v>11</v>
      </c>
      <c r="B13" s="25">
        <v>503</v>
      </c>
      <c r="C13" s="26">
        <v>289</v>
      </c>
      <c r="D13" s="27">
        <v>412</v>
      </c>
      <c r="F13" s="18" t="str">
        <f t="shared" si="1"/>
        <v>1200 - 1300</v>
      </c>
      <c r="G13" s="19">
        <f t="shared" si="5"/>
        <v>1200</v>
      </c>
      <c r="H13" s="19">
        <f t="shared" si="2"/>
        <v>1300</v>
      </c>
      <c r="I13" s="8">
        <f t="shared" si="0"/>
        <v>74</v>
      </c>
      <c r="J13" s="19">
        <f t="shared" si="6"/>
        <v>0</v>
      </c>
      <c r="K13" s="20">
        <f t="shared" si="3"/>
        <v>0</v>
      </c>
      <c r="L13" s="21">
        <f t="shared" si="4"/>
        <v>0.98666666666666669</v>
      </c>
    </row>
    <row r="14" spans="1:17" ht="13.5" thickBot="1" x14ac:dyDescent="0.25">
      <c r="A14" s="14">
        <v>12</v>
      </c>
      <c r="B14" s="25">
        <v>511</v>
      </c>
      <c r="C14" s="26">
        <v>273</v>
      </c>
      <c r="D14" s="27">
        <v>939</v>
      </c>
      <c r="F14" s="31" t="str">
        <f t="shared" si="1"/>
        <v>1300 - 1400</v>
      </c>
      <c r="G14" s="32">
        <f>H13</f>
        <v>1300</v>
      </c>
      <c r="H14" s="32">
        <f t="shared" si="2"/>
        <v>1400</v>
      </c>
      <c r="I14" s="33">
        <f t="shared" si="0"/>
        <v>75</v>
      </c>
      <c r="J14" s="32">
        <f t="shared" si="6"/>
        <v>1</v>
      </c>
      <c r="K14" s="34">
        <f t="shared" si="3"/>
        <v>1.3333333333333334E-2</v>
      </c>
      <c r="L14" s="35">
        <f t="shared" si="4"/>
        <v>1</v>
      </c>
    </row>
    <row r="15" spans="1:17" x14ac:dyDescent="0.2">
      <c r="A15" s="14">
        <v>13</v>
      </c>
      <c r="B15" s="25">
        <v>229</v>
      </c>
      <c r="C15" s="26">
        <v>315</v>
      </c>
      <c r="D15" s="27">
        <v>718</v>
      </c>
      <c r="J15" s="36">
        <f>SUM(J2:J14)</f>
        <v>75</v>
      </c>
      <c r="K15" s="36">
        <f>SUM(K2:K14)</f>
        <v>0.99999999999999989</v>
      </c>
      <c r="L15" s="36"/>
    </row>
    <row r="16" spans="1:17" x14ac:dyDescent="0.2">
      <c r="A16" s="14">
        <v>14</v>
      </c>
      <c r="B16" s="25">
        <v>439</v>
      </c>
      <c r="C16" s="26">
        <v>346</v>
      </c>
      <c r="D16" s="27">
        <v>520</v>
      </c>
    </row>
    <row r="17" spans="1:4" x14ac:dyDescent="0.2">
      <c r="A17" s="14">
        <v>15</v>
      </c>
      <c r="B17" s="25">
        <v>412</v>
      </c>
      <c r="C17" s="26">
        <v>318</v>
      </c>
      <c r="D17" s="27">
        <v>289</v>
      </c>
    </row>
    <row r="18" spans="1:4" x14ac:dyDescent="0.2">
      <c r="A18" s="14">
        <v>16</v>
      </c>
      <c r="B18" s="25">
        <v>775</v>
      </c>
      <c r="C18" s="26">
        <v>330</v>
      </c>
      <c r="D18" s="27">
        <v>434</v>
      </c>
    </row>
    <row r="19" spans="1:4" x14ac:dyDescent="0.2">
      <c r="A19" s="14">
        <v>17</v>
      </c>
      <c r="B19" s="25">
        <v>330</v>
      </c>
      <c r="C19" s="26">
        <v>359</v>
      </c>
      <c r="D19" s="27">
        <v>1045</v>
      </c>
    </row>
    <row r="20" spans="1:4" x14ac:dyDescent="0.2">
      <c r="A20" s="14">
        <v>18</v>
      </c>
      <c r="B20" s="25">
        <v>289</v>
      </c>
      <c r="C20" s="26">
        <v>370</v>
      </c>
      <c r="D20" s="27">
        <v>719</v>
      </c>
    </row>
    <row r="21" spans="1:4" x14ac:dyDescent="0.2">
      <c r="A21" s="14">
        <v>19</v>
      </c>
      <c r="B21" s="25">
        <v>1045</v>
      </c>
      <c r="C21" s="26">
        <v>348</v>
      </c>
      <c r="D21" s="27">
        <v>529</v>
      </c>
    </row>
    <row r="22" spans="1:4" x14ac:dyDescent="0.2">
      <c r="A22" s="14">
        <v>20</v>
      </c>
      <c r="B22" s="25">
        <v>348</v>
      </c>
      <c r="C22" s="26">
        <v>281</v>
      </c>
      <c r="D22" s="27">
        <v>304</v>
      </c>
    </row>
    <row r="23" spans="1:4" x14ac:dyDescent="0.2">
      <c r="A23" s="14">
        <v>21</v>
      </c>
      <c r="B23" s="25">
        <v>249</v>
      </c>
      <c r="C23" s="26">
        <v>356</v>
      </c>
      <c r="D23" s="27">
        <v>439</v>
      </c>
    </row>
    <row r="24" spans="1:4" x14ac:dyDescent="0.2">
      <c r="A24" s="14">
        <v>22</v>
      </c>
      <c r="B24" s="25">
        <v>218</v>
      </c>
      <c r="C24" s="26">
        <v>372</v>
      </c>
      <c r="D24" s="27">
        <v>1045</v>
      </c>
    </row>
    <row r="25" spans="1:4" x14ac:dyDescent="0.2">
      <c r="A25" s="14">
        <v>23</v>
      </c>
      <c r="B25" s="25">
        <v>603</v>
      </c>
      <c r="C25" s="26">
        <v>377</v>
      </c>
      <c r="D25" s="27">
        <v>730</v>
      </c>
    </row>
    <row r="26" spans="1:4" x14ac:dyDescent="0.2">
      <c r="A26" s="14">
        <v>24</v>
      </c>
      <c r="B26" s="25">
        <v>412</v>
      </c>
      <c r="C26" s="26">
        <v>412</v>
      </c>
      <c r="D26" s="27">
        <v>532</v>
      </c>
    </row>
    <row r="27" spans="1:4" x14ac:dyDescent="0.2">
      <c r="A27" s="14">
        <v>25</v>
      </c>
      <c r="B27" s="25">
        <v>608</v>
      </c>
      <c r="C27" s="26">
        <v>503</v>
      </c>
      <c r="D27" s="27">
        <v>315</v>
      </c>
    </row>
    <row r="28" spans="1:4" x14ac:dyDescent="0.2">
      <c r="A28" s="14">
        <v>26</v>
      </c>
      <c r="B28" s="25">
        <v>540</v>
      </c>
      <c r="C28" s="26">
        <v>381</v>
      </c>
      <c r="D28" s="27">
        <v>446</v>
      </c>
    </row>
    <row r="29" spans="1:4" x14ac:dyDescent="0.2">
      <c r="A29" s="14">
        <v>27</v>
      </c>
      <c r="B29" s="25">
        <v>744</v>
      </c>
      <c r="C29" s="26">
        <v>434</v>
      </c>
      <c r="D29" s="27">
        <v>1133</v>
      </c>
    </row>
    <row r="30" spans="1:4" x14ac:dyDescent="0.2">
      <c r="A30" s="14">
        <v>28</v>
      </c>
      <c r="B30" s="25">
        <v>465</v>
      </c>
      <c r="C30" s="26">
        <v>229</v>
      </c>
      <c r="D30" s="27">
        <v>744</v>
      </c>
    </row>
    <row r="31" spans="1:4" x14ac:dyDescent="0.2">
      <c r="A31" s="14">
        <v>29</v>
      </c>
      <c r="B31" s="25">
        <v>577</v>
      </c>
      <c r="C31" s="26">
        <v>446</v>
      </c>
      <c r="D31" s="27">
        <v>540</v>
      </c>
    </row>
    <row r="32" spans="1:4" x14ac:dyDescent="0.2">
      <c r="A32" s="14">
        <v>30</v>
      </c>
      <c r="B32" s="25">
        <v>576</v>
      </c>
      <c r="C32" s="26">
        <v>450</v>
      </c>
      <c r="D32" s="27">
        <v>318</v>
      </c>
    </row>
    <row r="33" spans="1:4" x14ac:dyDescent="0.2">
      <c r="A33" s="14">
        <v>31</v>
      </c>
      <c r="B33" s="25">
        <v>681</v>
      </c>
      <c r="C33" s="26">
        <v>455</v>
      </c>
      <c r="D33" s="27">
        <v>450</v>
      </c>
    </row>
    <row r="34" spans="1:4" x14ac:dyDescent="0.2">
      <c r="A34" s="14">
        <v>32</v>
      </c>
      <c r="B34" s="25">
        <v>842</v>
      </c>
      <c r="C34" s="26">
        <v>465</v>
      </c>
      <c r="D34" s="27">
        <v>1330</v>
      </c>
    </row>
    <row r="35" spans="1:4" x14ac:dyDescent="0.2">
      <c r="A35" s="14">
        <v>33</v>
      </c>
      <c r="B35" s="25">
        <v>256</v>
      </c>
      <c r="C35" s="26">
        <v>495</v>
      </c>
      <c r="D35" s="27">
        <v>755</v>
      </c>
    </row>
    <row r="36" spans="1:4" x14ac:dyDescent="0.2">
      <c r="A36" s="14">
        <v>34</v>
      </c>
      <c r="B36" s="25">
        <v>851</v>
      </c>
      <c r="C36" s="26">
        <v>500</v>
      </c>
      <c r="D36" s="27">
        <v>568</v>
      </c>
    </row>
    <row r="37" spans="1:4" x14ac:dyDescent="0.2">
      <c r="A37" s="14">
        <v>35</v>
      </c>
      <c r="B37" s="25">
        <v>273</v>
      </c>
      <c r="C37" s="26">
        <v>412</v>
      </c>
      <c r="D37" s="27">
        <v>330</v>
      </c>
    </row>
    <row r="38" spans="1:4" x14ac:dyDescent="0.2">
      <c r="A38" s="14">
        <v>36</v>
      </c>
      <c r="B38" s="25">
        <v>856</v>
      </c>
      <c r="C38" s="26">
        <v>508</v>
      </c>
      <c r="D38" s="27">
        <v>348</v>
      </c>
    </row>
    <row r="39" spans="1:4" x14ac:dyDescent="0.2">
      <c r="A39" s="14">
        <v>37</v>
      </c>
      <c r="B39" s="25">
        <v>532</v>
      </c>
      <c r="C39" s="26">
        <v>511</v>
      </c>
      <c r="D39" s="27">
        <v>802</v>
      </c>
    </row>
    <row r="40" spans="1:4" x14ac:dyDescent="0.2">
      <c r="A40" s="14">
        <v>38</v>
      </c>
      <c r="B40" s="25">
        <v>508</v>
      </c>
      <c r="C40" s="26">
        <v>612</v>
      </c>
      <c r="D40" s="27">
        <v>576</v>
      </c>
    </row>
    <row r="41" spans="1:4" x14ac:dyDescent="0.2">
      <c r="A41" s="14">
        <v>39</v>
      </c>
      <c r="B41" s="25">
        <v>434</v>
      </c>
      <c r="C41" s="26">
        <v>511</v>
      </c>
      <c r="D41" s="27">
        <v>465</v>
      </c>
    </row>
    <row r="42" spans="1:4" x14ac:dyDescent="0.2">
      <c r="A42" s="14">
        <v>40</v>
      </c>
      <c r="B42" s="25">
        <v>597</v>
      </c>
      <c r="C42" s="26">
        <v>514</v>
      </c>
      <c r="D42" s="27">
        <v>204</v>
      </c>
    </row>
    <row r="43" spans="1:4" x14ac:dyDescent="0.2">
      <c r="A43" s="14">
        <v>41</v>
      </c>
      <c r="B43" s="25">
        <v>315</v>
      </c>
      <c r="C43" s="26">
        <v>520</v>
      </c>
      <c r="D43" s="27">
        <v>354</v>
      </c>
    </row>
    <row r="44" spans="1:4" x14ac:dyDescent="0.2">
      <c r="A44" s="14">
        <v>42</v>
      </c>
      <c r="B44" s="25">
        <v>1045</v>
      </c>
      <c r="C44" s="26">
        <v>710</v>
      </c>
      <c r="D44" s="27">
        <v>836</v>
      </c>
    </row>
    <row r="45" spans="1:4" x14ac:dyDescent="0.2">
      <c r="A45" s="14">
        <v>43</v>
      </c>
      <c r="B45" s="25">
        <v>370</v>
      </c>
      <c r="C45" s="26">
        <v>532</v>
      </c>
      <c r="D45" s="27">
        <v>577</v>
      </c>
    </row>
    <row r="46" spans="1:4" x14ac:dyDescent="0.2">
      <c r="A46" s="14">
        <v>44</v>
      </c>
      <c r="B46" s="25">
        <v>354</v>
      </c>
      <c r="C46" s="26">
        <v>540</v>
      </c>
      <c r="D46" s="27">
        <v>495</v>
      </c>
    </row>
    <row r="47" spans="1:4" x14ac:dyDescent="0.2">
      <c r="A47" s="14">
        <v>45</v>
      </c>
      <c r="B47" s="25">
        <v>500</v>
      </c>
      <c r="C47" s="26">
        <v>568</v>
      </c>
      <c r="D47" s="27">
        <v>218</v>
      </c>
    </row>
    <row r="48" spans="1:4" x14ac:dyDescent="0.2">
      <c r="A48" s="14">
        <v>46</v>
      </c>
      <c r="B48" s="25">
        <v>520</v>
      </c>
      <c r="C48" s="26">
        <v>572</v>
      </c>
      <c r="D48" s="27">
        <v>356</v>
      </c>
    </row>
    <row r="49" spans="1:4" x14ac:dyDescent="0.2">
      <c r="A49" s="14">
        <v>47</v>
      </c>
      <c r="B49" s="25">
        <v>356</v>
      </c>
      <c r="C49" s="26">
        <v>576</v>
      </c>
      <c r="D49" s="27">
        <v>842</v>
      </c>
    </row>
    <row r="50" spans="1:4" x14ac:dyDescent="0.2">
      <c r="A50" s="14">
        <v>48</v>
      </c>
      <c r="B50" s="25">
        <v>572</v>
      </c>
      <c r="C50" s="26">
        <v>577</v>
      </c>
      <c r="D50" s="27">
        <v>597</v>
      </c>
    </row>
    <row r="51" spans="1:4" x14ac:dyDescent="0.2">
      <c r="A51" s="14">
        <v>49</v>
      </c>
      <c r="B51" s="25">
        <v>514</v>
      </c>
      <c r="C51" s="26">
        <v>836</v>
      </c>
      <c r="D51" s="27">
        <v>500</v>
      </c>
    </row>
    <row r="52" spans="1:4" x14ac:dyDescent="0.2">
      <c r="A52" s="14">
        <v>50</v>
      </c>
      <c r="B52" s="25">
        <v>842</v>
      </c>
      <c r="C52" s="26">
        <v>603</v>
      </c>
      <c r="D52" s="27">
        <v>227</v>
      </c>
    </row>
    <row r="53" spans="1:4" x14ac:dyDescent="0.2">
      <c r="A53" s="14">
        <v>51</v>
      </c>
      <c r="B53" s="25">
        <v>176</v>
      </c>
      <c r="C53" s="26">
        <v>608</v>
      </c>
      <c r="D53" s="27">
        <v>359</v>
      </c>
    </row>
    <row r="54" spans="1:4" x14ac:dyDescent="0.2">
      <c r="A54" s="14">
        <v>52</v>
      </c>
      <c r="B54" s="25">
        <v>730</v>
      </c>
      <c r="C54" s="26">
        <v>511</v>
      </c>
      <c r="D54" s="27">
        <v>842</v>
      </c>
    </row>
    <row r="55" spans="1:4" x14ac:dyDescent="0.2">
      <c r="A55" s="14">
        <v>53</v>
      </c>
      <c r="B55" s="25">
        <v>377</v>
      </c>
      <c r="C55" s="26">
        <v>676</v>
      </c>
      <c r="D55" s="27">
        <v>603</v>
      </c>
    </row>
    <row r="56" spans="1:4" x14ac:dyDescent="0.2">
      <c r="A56" s="14">
        <v>54</v>
      </c>
      <c r="B56" s="25">
        <v>866</v>
      </c>
      <c r="C56" s="26">
        <v>681</v>
      </c>
      <c r="D56" s="27">
        <v>503</v>
      </c>
    </row>
    <row r="57" spans="1:4" x14ac:dyDescent="0.2">
      <c r="A57" s="14">
        <v>55</v>
      </c>
      <c r="B57" s="25">
        <v>939</v>
      </c>
      <c r="C57" s="26">
        <v>529</v>
      </c>
      <c r="D57" s="27">
        <v>229</v>
      </c>
    </row>
    <row r="58" spans="1:4" x14ac:dyDescent="0.2">
      <c r="A58" s="14">
        <v>56</v>
      </c>
      <c r="B58" s="25">
        <v>926</v>
      </c>
      <c r="C58" s="26">
        <v>718</v>
      </c>
      <c r="D58" s="27">
        <v>370</v>
      </c>
    </row>
    <row r="59" spans="1:4" x14ac:dyDescent="0.2">
      <c r="A59" s="14">
        <v>57</v>
      </c>
      <c r="B59" s="25">
        <v>229</v>
      </c>
      <c r="C59" s="26">
        <v>719</v>
      </c>
      <c r="D59" s="27">
        <v>843</v>
      </c>
    </row>
    <row r="60" spans="1:4" x14ac:dyDescent="0.2">
      <c r="A60" s="14">
        <v>58</v>
      </c>
      <c r="B60" s="25">
        <v>304</v>
      </c>
      <c r="C60" s="26">
        <v>730</v>
      </c>
      <c r="D60" s="27">
        <v>608</v>
      </c>
    </row>
    <row r="61" spans="1:4" x14ac:dyDescent="0.2">
      <c r="A61" s="14">
        <v>59</v>
      </c>
      <c r="B61" s="25">
        <v>450</v>
      </c>
      <c r="C61" s="26">
        <v>866</v>
      </c>
      <c r="D61" s="27">
        <v>508</v>
      </c>
    </row>
    <row r="62" spans="1:4" x14ac:dyDescent="0.2">
      <c r="A62" s="14">
        <v>60</v>
      </c>
      <c r="B62" s="25">
        <v>843</v>
      </c>
      <c r="C62" s="26">
        <v>755</v>
      </c>
      <c r="D62" s="27">
        <v>229</v>
      </c>
    </row>
    <row r="63" spans="1:4" x14ac:dyDescent="0.2">
      <c r="A63" s="14">
        <v>61</v>
      </c>
      <c r="B63" s="25">
        <v>1330</v>
      </c>
      <c r="C63" s="26">
        <v>775</v>
      </c>
      <c r="D63" s="27">
        <v>372</v>
      </c>
    </row>
    <row r="64" spans="1:4" x14ac:dyDescent="0.2">
      <c r="A64" s="14">
        <v>62</v>
      </c>
      <c r="B64" s="25">
        <v>455</v>
      </c>
      <c r="C64" s="26">
        <v>802</v>
      </c>
      <c r="D64" s="27">
        <v>851</v>
      </c>
    </row>
    <row r="65" spans="1:5" x14ac:dyDescent="0.2">
      <c r="A65" s="14">
        <v>63</v>
      </c>
      <c r="B65" s="25">
        <v>359</v>
      </c>
      <c r="C65" s="26">
        <v>597</v>
      </c>
      <c r="D65" s="27">
        <v>612</v>
      </c>
    </row>
    <row r="66" spans="1:5" x14ac:dyDescent="0.2">
      <c r="A66" s="14">
        <v>64</v>
      </c>
      <c r="B66" s="25">
        <v>1133</v>
      </c>
      <c r="C66" s="26">
        <v>842</v>
      </c>
      <c r="D66" s="27">
        <v>511</v>
      </c>
    </row>
    <row r="67" spans="1:5" x14ac:dyDescent="0.2">
      <c r="A67" s="14">
        <v>65</v>
      </c>
      <c r="B67" s="25">
        <v>710</v>
      </c>
      <c r="C67" s="26">
        <v>851</v>
      </c>
      <c r="D67" s="27">
        <v>249</v>
      </c>
    </row>
    <row r="68" spans="1:5" x14ac:dyDescent="0.2">
      <c r="A68" s="14">
        <v>66</v>
      </c>
      <c r="B68" s="25">
        <v>719</v>
      </c>
      <c r="C68" s="26">
        <v>843</v>
      </c>
      <c r="D68" s="27">
        <v>377</v>
      </c>
    </row>
    <row r="69" spans="1:5" x14ac:dyDescent="0.2">
      <c r="A69" s="14">
        <v>67</v>
      </c>
      <c r="B69" s="25">
        <v>346</v>
      </c>
      <c r="C69" s="26">
        <v>842</v>
      </c>
      <c r="D69" s="27">
        <v>856</v>
      </c>
    </row>
    <row r="70" spans="1:5" x14ac:dyDescent="0.2">
      <c r="A70" s="14">
        <v>68</v>
      </c>
      <c r="B70" s="25">
        <v>511</v>
      </c>
      <c r="C70" s="26">
        <v>856</v>
      </c>
      <c r="D70" s="27">
        <v>676</v>
      </c>
    </row>
    <row r="71" spans="1:5" x14ac:dyDescent="0.2">
      <c r="A71" s="14">
        <v>69</v>
      </c>
      <c r="B71" s="25">
        <v>718</v>
      </c>
      <c r="C71" s="26">
        <v>744</v>
      </c>
      <c r="D71" s="27">
        <v>511</v>
      </c>
    </row>
    <row r="72" spans="1:5" x14ac:dyDescent="0.2">
      <c r="A72" s="14">
        <v>70</v>
      </c>
      <c r="B72" s="25">
        <v>381</v>
      </c>
      <c r="C72" s="26">
        <v>926</v>
      </c>
      <c r="D72" s="27">
        <v>256</v>
      </c>
    </row>
    <row r="73" spans="1:5" x14ac:dyDescent="0.2">
      <c r="A73" s="14">
        <v>71</v>
      </c>
      <c r="B73" s="25">
        <v>529</v>
      </c>
      <c r="C73" s="26">
        <v>939</v>
      </c>
      <c r="D73" s="27">
        <v>381</v>
      </c>
    </row>
    <row r="74" spans="1:5" x14ac:dyDescent="0.2">
      <c r="A74" s="14">
        <v>72</v>
      </c>
      <c r="B74" s="25">
        <v>227</v>
      </c>
      <c r="C74" s="26">
        <v>1045</v>
      </c>
      <c r="D74" s="27">
        <v>866</v>
      </c>
    </row>
    <row r="75" spans="1:5" x14ac:dyDescent="0.2">
      <c r="A75" s="14">
        <v>73</v>
      </c>
      <c r="B75" s="25">
        <v>612</v>
      </c>
      <c r="C75" s="26">
        <v>1330</v>
      </c>
      <c r="D75" s="27">
        <v>681</v>
      </c>
    </row>
    <row r="76" spans="1:5" x14ac:dyDescent="0.2">
      <c r="A76" s="14">
        <v>74</v>
      </c>
      <c r="B76" s="25">
        <v>836</v>
      </c>
      <c r="C76" s="26">
        <v>1133</v>
      </c>
      <c r="D76" s="27">
        <v>511</v>
      </c>
    </row>
    <row r="77" spans="1:5" x14ac:dyDescent="0.2">
      <c r="A77" s="14">
        <v>75</v>
      </c>
      <c r="B77" s="25">
        <v>511</v>
      </c>
      <c r="C77" s="26">
        <v>1045</v>
      </c>
      <c r="D77" s="27">
        <v>273</v>
      </c>
    </row>
    <row r="80" spans="1:5" x14ac:dyDescent="0.2">
      <c r="E80" s="37"/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topLeftCell="A11" workbookViewId="0">
      <selection activeCell="T6" sqref="T3:T6"/>
    </sheetView>
  </sheetViews>
  <sheetFormatPr defaultRowHeight="12.75" x14ac:dyDescent="0.2"/>
  <cols>
    <col min="1" max="1" width="4.42578125" style="3" bestFit="1" customWidth="1"/>
    <col min="2" max="2" width="9.5703125" style="3" bestFit="1" customWidth="1"/>
    <col min="3" max="3" width="6.140625" style="3" bestFit="1" customWidth="1"/>
    <col min="4" max="4" width="11.5703125" style="3" bestFit="1" customWidth="1"/>
    <col min="5" max="5" width="9.140625" style="56" customWidth="1"/>
    <col min="6" max="6" width="4.42578125" style="3" bestFit="1" customWidth="1"/>
    <col min="7" max="14" width="9.140625" style="3"/>
    <col min="15" max="15" width="12.28515625" style="3" customWidth="1"/>
    <col min="16" max="16384" width="9.140625" style="3"/>
  </cols>
  <sheetData>
    <row r="1" spans="1:21" ht="15.75" thickBot="1" x14ac:dyDescent="0.3">
      <c r="A1" s="38" t="s">
        <v>59</v>
      </c>
      <c r="B1" s="39"/>
      <c r="C1" s="40"/>
      <c r="D1" s="39"/>
      <c r="E1" s="84"/>
      <c r="G1" s="3" t="s">
        <v>60</v>
      </c>
      <c r="L1" s="41"/>
      <c r="M1" s="43" t="s">
        <v>20</v>
      </c>
      <c r="N1" s="43"/>
      <c r="O1" s="43"/>
      <c r="P1" s="41"/>
      <c r="Q1" s="41"/>
      <c r="R1" s="44">
        <f ca="1">RANDBETWEEN(100,150)</f>
        <v>131</v>
      </c>
      <c r="S1" s="45">
        <f ca="1">RANDBETWEEN(5,15)</f>
        <v>12</v>
      </c>
      <c r="T1" s="44">
        <v>0.1</v>
      </c>
      <c r="U1" s="41"/>
    </row>
    <row r="2" spans="1:21" ht="15.75" thickBot="1" x14ac:dyDescent="0.3">
      <c r="A2" s="46" t="s">
        <v>1</v>
      </c>
      <c r="B2" s="61" t="s">
        <v>27</v>
      </c>
      <c r="C2" s="47" t="s">
        <v>21</v>
      </c>
      <c r="D2" s="58" t="s">
        <v>24</v>
      </c>
      <c r="F2" s="14" t="s">
        <v>1</v>
      </c>
      <c r="G2" s="36" t="s">
        <v>27</v>
      </c>
      <c r="H2" s="36" t="s">
        <v>21</v>
      </c>
      <c r="I2" s="36" t="s">
        <v>24</v>
      </c>
      <c r="L2" s="41"/>
      <c r="M2" s="44"/>
      <c r="N2" s="44"/>
      <c r="O2" s="59" t="s">
        <v>26</v>
      </c>
      <c r="P2" s="42" t="s">
        <v>22</v>
      </c>
      <c r="Q2" s="42" t="s">
        <v>23</v>
      </c>
      <c r="R2" s="60"/>
      <c r="S2" s="48"/>
      <c r="T2" s="41"/>
      <c r="U2" s="41"/>
    </row>
    <row r="3" spans="1:21" ht="15" x14ac:dyDescent="0.25">
      <c r="A3" s="49">
        <v>1</v>
      </c>
      <c r="B3" s="50">
        <f t="shared" ref="B3:B66" ca="1" si="0">INDEX($Q$3:$Q$77,RANK(L3,$L$3:$L$77))</f>
        <v>10546</v>
      </c>
      <c r="C3" s="51">
        <f ca="1">SMALL($Q$3:$Q$77,M3)</f>
        <v>1699</v>
      </c>
      <c r="D3" s="52">
        <f ca="1">Q3</f>
        <v>1699</v>
      </c>
      <c r="E3" s="55"/>
      <c r="F3" s="14">
        <v>1</v>
      </c>
      <c r="G3" s="36">
        <v>10208</v>
      </c>
      <c r="H3" s="36">
        <v>1436</v>
      </c>
      <c r="I3" s="36">
        <v>1436</v>
      </c>
      <c r="L3" s="41">
        <f t="shared" ref="L3:L66" ca="1" si="1">RAND()</f>
        <v>0.33706429893142009</v>
      </c>
      <c r="M3" s="44">
        <v>1</v>
      </c>
      <c r="N3" s="44">
        <v>1</v>
      </c>
      <c r="O3" s="44">
        <f ca="1">INT($R$1+$S$1*N3)</f>
        <v>143</v>
      </c>
      <c r="P3" s="53">
        <f ca="1">(((IF(MOD(N3,5)&lt;&gt;0,MOD(N3,5),5))+12)+_xlfn.NORM.S.INV(RAND()))</f>
        <v>11.882215566960268</v>
      </c>
      <c r="Q3" s="41">
        <f ca="1">ROUND(O3*P3,0)</f>
        <v>1699</v>
      </c>
      <c r="R3" s="41"/>
      <c r="S3" s="48"/>
      <c r="T3" s="41"/>
      <c r="U3" s="41"/>
    </row>
    <row r="4" spans="1:21" ht="15" x14ac:dyDescent="0.25">
      <c r="A4" s="49">
        <v>2</v>
      </c>
      <c r="B4" s="50">
        <f t="shared" ca="1" si="0"/>
        <v>2986</v>
      </c>
      <c r="C4" s="51">
        <f t="shared" ref="C4:C67" ca="1" si="2">SMALL($Q$3:$Q$77,M4)</f>
        <v>1851</v>
      </c>
      <c r="D4" s="52">
        <f t="shared" ref="D4:D67" ca="1" si="3">Q4</f>
        <v>1851</v>
      </c>
      <c r="E4" s="55"/>
      <c r="F4" s="14">
        <v>2</v>
      </c>
      <c r="G4" s="36">
        <v>7226</v>
      </c>
      <c r="H4" s="36">
        <v>1690</v>
      </c>
      <c r="I4" s="36">
        <v>1690</v>
      </c>
      <c r="L4" s="41">
        <f t="shared" ca="1" si="1"/>
        <v>0.9279363122471439</v>
      </c>
      <c r="M4" s="44">
        <v>2</v>
      </c>
      <c r="N4" s="44">
        <v>2</v>
      </c>
      <c r="O4" s="44">
        <f t="shared" ref="O4:O67" ca="1" si="4">INT($R$1+$S$1*N4)</f>
        <v>155</v>
      </c>
      <c r="P4" s="53">
        <f t="shared" ref="P4:P67" ca="1" si="5">(((IF(MOD(N4,5)&lt;&gt;0,MOD(N4,5),5))+12)+_xlfn.NORM.S.INV(RAND()))</f>
        <v>11.943189795231161</v>
      </c>
      <c r="Q4" s="41">
        <f t="shared" ref="Q4:Q67" ca="1" si="6">ROUND(O4*P4,0)</f>
        <v>1851</v>
      </c>
      <c r="R4" s="41"/>
      <c r="S4" s="48"/>
      <c r="T4" s="41"/>
      <c r="U4" s="41"/>
    </row>
    <row r="5" spans="1:21" ht="15" x14ac:dyDescent="0.25">
      <c r="A5" s="49">
        <v>3</v>
      </c>
      <c r="B5" s="50">
        <f t="shared" ca="1" si="0"/>
        <v>4021</v>
      </c>
      <c r="C5" s="51">
        <f t="shared" ca="1" si="2"/>
        <v>2179</v>
      </c>
      <c r="D5" s="52">
        <f t="shared" ca="1" si="3"/>
        <v>2472</v>
      </c>
      <c r="E5" s="55"/>
      <c r="F5" s="14">
        <v>3</v>
      </c>
      <c r="G5" s="36">
        <v>3498</v>
      </c>
      <c r="H5" s="36">
        <v>1909</v>
      </c>
      <c r="I5" s="36">
        <v>1909</v>
      </c>
      <c r="L5" s="41">
        <f t="shared" ca="1" si="1"/>
        <v>0.84159841073932529</v>
      </c>
      <c r="M5" s="44">
        <v>3</v>
      </c>
      <c r="N5" s="44">
        <v>3</v>
      </c>
      <c r="O5" s="44">
        <f t="shared" ca="1" si="4"/>
        <v>167</v>
      </c>
      <c r="P5" s="53">
        <f t="shared" ca="1" si="5"/>
        <v>14.802027138715264</v>
      </c>
      <c r="Q5" s="41">
        <f t="shared" ca="1" si="6"/>
        <v>2472</v>
      </c>
      <c r="R5" s="41"/>
      <c r="S5" s="48"/>
      <c r="T5" s="41"/>
      <c r="U5" s="41"/>
    </row>
    <row r="6" spans="1:21" ht="15" x14ac:dyDescent="0.25">
      <c r="A6" s="49">
        <v>4</v>
      </c>
      <c r="B6" s="50">
        <f t="shared" ca="1" si="0"/>
        <v>5125</v>
      </c>
      <c r="C6" s="51">
        <f t="shared" ca="1" si="2"/>
        <v>2472</v>
      </c>
      <c r="D6" s="52">
        <f t="shared" ca="1" si="3"/>
        <v>2726</v>
      </c>
      <c r="E6" s="55"/>
      <c r="F6" s="14">
        <v>4</v>
      </c>
      <c r="G6" s="36">
        <v>5654</v>
      </c>
      <c r="H6" s="36">
        <v>1984</v>
      </c>
      <c r="I6" s="36">
        <v>2078</v>
      </c>
      <c r="L6" s="41">
        <f t="shared" ca="1" si="1"/>
        <v>0.75279747297438349</v>
      </c>
      <c r="M6" s="44">
        <v>4</v>
      </c>
      <c r="N6" s="44">
        <v>4</v>
      </c>
      <c r="O6" s="44">
        <f t="shared" ca="1" si="4"/>
        <v>179</v>
      </c>
      <c r="P6" s="53">
        <f t="shared" ca="1" si="5"/>
        <v>15.22928277851811</v>
      </c>
      <c r="Q6" s="41">
        <f t="shared" ca="1" si="6"/>
        <v>2726</v>
      </c>
      <c r="R6" s="41"/>
      <c r="S6" s="48"/>
      <c r="T6" s="41"/>
      <c r="U6" s="41"/>
    </row>
    <row r="7" spans="1:21" ht="15" x14ac:dyDescent="0.25">
      <c r="A7" s="49">
        <v>5</v>
      </c>
      <c r="B7" s="50">
        <f t="shared" ca="1" si="0"/>
        <v>8270</v>
      </c>
      <c r="C7" s="51">
        <f t="shared" ca="1" si="2"/>
        <v>2726</v>
      </c>
      <c r="D7" s="52">
        <f t="shared" ca="1" si="3"/>
        <v>2986</v>
      </c>
      <c r="E7" s="55"/>
      <c r="F7" s="14">
        <v>5</v>
      </c>
      <c r="G7" s="36">
        <v>7172</v>
      </c>
      <c r="H7" s="36">
        <v>2078</v>
      </c>
      <c r="I7" s="36">
        <v>2490</v>
      </c>
      <c r="L7" s="41">
        <f t="shared" ca="1" si="1"/>
        <v>0.65060967721257434</v>
      </c>
      <c r="M7" s="44">
        <v>5</v>
      </c>
      <c r="N7" s="44">
        <v>5</v>
      </c>
      <c r="O7" s="44">
        <f t="shared" ca="1" si="4"/>
        <v>191</v>
      </c>
      <c r="P7" s="53">
        <f t="shared" ca="1" si="5"/>
        <v>15.633916151210023</v>
      </c>
      <c r="Q7" s="41">
        <f t="shared" ca="1" si="6"/>
        <v>2986</v>
      </c>
      <c r="R7" s="41"/>
      <c r="S7" s="48"/>
      <c r="T7" s="41"/>
      <c r="U7" s="41"/>
    </row>
    <row r="8" spans="1:21" ht="15" x14ac:dyDescent="0.25">
      <c r="A8" s="49">
        <v>6</v>
      </c>
      <c r="B8" s="50">
        <f t="shared" ca="1" si="0"/>
        <v>5155</v>
      </c>
      <c r="C8" s="51">
        <f t="shared" ca="1" si="2"/>
        <v>2984</v>
      </c>
      <c r="D8" s="52">
        <f t="shared" ca="1" si="3"/>
        <v>2179</v>
      </c>
      <c r="E8" s="55"/>
      <c r="F8" s="14">
        <v>6</v>
      </c>
      <c r="G8" s="36">
        <v>6532</v>
      </c>
      <c r="H8" s="36">
        <v>2216</v>
      </c>
      <c r="I8" s="36">
        <v>1984</v>
      </c>
      <c r="L8" s="41">
        <f t="shared" ca="1" si="1"/>
        <v>0.83638190841788862</v>
      </c>
      <c r="M8" s="44">
        <v>6</v>
      </c>
      <c r="N8" s="44">
        <v>6</v>
      </c>
      <c r="O8" s="44">
        <f t="shared" ca="1" si="4"/>
        <v>203</v>
      </c>
      <c r="P8" s="53">
        <f t="shared" ca="1" si="5"/>
        <v>10.732248914637449</v>
      </c>
      <c r="Q8" s="41">
        <f t="shared" ca="1" si="6"/>
        <v>2179</v>
      </c>
      <c r="R8" s="41"/>
      <c r="S8" s="48"/>
      <c r="T8" s="41"/>
      <c r="U8" s="41"/>
    </row>
    <row r="9" spans="1:21" ht="15" x14ac:dyDescent="0.25">
      <c r="A9" s="49">
        <v>7</v>
      </c>
      <c r="B9" s="50">
        <f t="shared" ca="1" si="0"/>
        <v>5659</v>
      </c>
      <c r="C9" s="51">
        <f t="shared" ca="1" si="2"/>
        <v>3142</v>
      </c>
      <c r="D9" s="52">
        <f t="shared" ca="1" si="3"/>
        <v>2984</v>
      </c>
      <c r="E9" s="55"/>
      <c r="F9" s="14">
        <v>7</v>
      </c>
      <c r="G9" s="36">
        <v>6032</v>
      </c>
      <c r="H9" s="36">
        <v>2452</v>
      </c>
      <c r="I9" s="36">
        <v>2216</v>
      </c>
      <c r="L9" s="41">
        <f t="shared" ca="1" si="1"/>
        <v>0.72868545759678116</v>
      </c>
      <c r="M9" s="44">
        <v>8</v>
      </c>
      <c r="N9" s="44">
        <v>7</v>
      </c>
      <c r="O9" s="44">
        <f t="shared" ca="1" si="4"/>
        <v>215</v>
      </c>
      <c r="P9" s="53">
        <f t="shared" ca="1" si="5"/>
        <v>13.877950079882895</v>
      </c>
      <c r="Q9" s="41">
        <f t="shared" ca="1" si="6"/>
        <v>2984</v>
      </c>
      <c r="R9" s="41"/>
      <c r="S9" s="48"/>
      <c r="T9" s="41"/>
      <c r="U9" s="41"/>
    </row>
    <row r="10" spans="1:21" ht="15" x14ac:dyDescent="0.25">
      <c r="A10" s="49">
        <v>8</v>
      </c>
      <c r="B10" s="50">
        <f t="shared" ca="1" si="0"/>
        <v>5293</v>
      </c>
      <c r="C10" s="51">
        <f t="shared" ca="1" si="2"/>
        <v>2986</v>
      </c>
      <c r="D10" s="52">
        <f t="shared" ca="1" si="3"/>
        <v>3142</v>
      </c>
      <c r="E10" s="55"/>
      <c r="F10" s="14">
        <v>8</v>
      </c>
      <c r="G10" s="36">
        <v>7472</v>
      </c>
      <c r="H10" s="36">
        <v>2323</v>
      </c>
      <c r="I10" s="36">
        <v>2528</v>
      </c>
      <c r="L10" s="41">
        <f t="shared" ca="1" si="1"/>
        <v>0.79744670960158615</v>
      </c>
      <c r="M10" s="44">
        <v>7</v>
      </c>
      <c r="N10" s="44">
        <v>8</v>
      </c>
      <c r="O10" s="44">
        <f ca="1">INT($R$1+$S$1*N10)</f>
        <v>227</v>
      </c>
      <c r="P10" s="53">
        <f t="shared" ca="1" si="5"/>
        <v>13.842436676708356</v>
      </c>
      <c r="Q10" s="41">
        <f t="shared" ca="1" si="6"/>
        <v>3142</v>
      </c>
      <c r="R10" s="41"/>
      <c r="S10" s="48"/>
      <c r="T10" s="41"/>
      <c r="U10" s="41"/>
    </row>
    <row r="11" spans="1:21" ht="15" x14ac:dyDescent="0.25">
      <c r="A11" s="49">
        <v>9</v>
      </c>
      <c r="B11" s="50">
        <f t="shared" ca="1" si="0"/>
        <v>11506</v>
      </c>
      <c r="C11" s="51">
        <f t="shared" ca="1" si="2"/>
        <v>4021</v>
      </c>
      <c r="D11" s="52">
        <f t="shared" ca="1" si="3"/>
        <v>3972</v>
      </c>
      <c r="E11" s="55"/>
      <c r="F11" s="14">
        <v>9</v>
      </c>
      <c r="G11" s="36">
        <v>5714</v>
      </c>
      <c r="H11" s="36">
        <v>2946</v>
      </c>
      <c r="I11" s="36">
        <v>3018</v>
      </c>
      <c r="L11" s="41">
        <f t="shared" ca="1" si="1"/>
        <v>0.12504815665037838</v>
      </c>
      <c r="M11" s="44">
        <v>12</v>
      </c>
      <c r="N11" s="44">
        <v>9</v>
      </c>
      <c r="O11" s="44">
        <f t="shared" ca="1" si="4"/>
        <v>239</v>
      </c>
      <c r="P11" s="53">
        <f t="shared" ca="1" si="5"/>
        <v>16.621325867206401</v>
      </c>
      <c r="Q11" s="41">
        <f t="shared" ca="1" si="6"/>
        <v>3972</v>
      </c>
      <c r="R11" s="41"/>
      <c r="S11" s="48"/>
      <c r="T11" s="41"/>
      <c r="U11" s="41"/>
    </row>
    <row r="12" spans="1:21" ht="15" x14ac:dyDescent="0.25">
      <c r="A12" s="49">
        <v>10</v>
      </c>
      <c r="B12" s="50">
        <f t="shared" ca="1" si="0"/>
        <v>6197</v>
      </c>
      <c r="C12" s="51">
        <f t="shared" ca="1" si="2"/>
        <v>3407</v>
      </c>
      <c r="D12" s="52">
        <f t="shared" ca="1" si="3"/>
        <v>4148</v>
      </c>
      <c r="E12" s="55"/>
      <c r="F12" s="14">
        <v>10</v>
      </c>
      <c r="G12" s="36">
        <v>12275</v>
      </c>
      <c r="H12" s="36">
        <v>2490</v>
      </c>
      <c r="I12" s="36">
        <v>2946</v>
      </c>
      <c r="L12" s="41">
        <f t="shared" ca="1" si="1"/>
        <v>0.64177183214703004</v>
      </c>
      <c r="M12" s="44">
        <v>9</v>
      </c>
      <c r="N12" s="44">
        <v>10</v>
      </c>
      <c r="O12" s="44">
        <f t="shared" ca="1" si="4"/>
        <v>251</v>
      </c>
      <c r="P12" s="53">
        <f t="shared" ca="1" si="5"/>
        <v>16.525078038958668</v>
      </c>
      <c r="Q12" s="41">
        <f t="shared" ca="1" si="6"/>
        <v>4148</v>
      </c>
      <c r="R12" s="41"/>
      <c r="S12" s="48"/>
      <c r="T12" s="41"/>
      <c r="U12" s="41"/>
    </row>
    <row r="13" spans="1:21" ht="15" x14ac:dyDescent="0.25">
      <c r="A13" s="49">
        <v>11</v>
      </c>
      <c r="B13" s="50">
        <f t="shared" ca="1" si="0"/>
        <v>11448</v>
      </c>
      <c r="C13" s="51">
        <f t="shared" ca="1" si="2"/>
        <v>3815</v>
      </c>
      <c r="D13" s="52">
        <f t="shared" ca="1" si="3"/>
        <v>3407</v>
      </c>
      <c r="E13" s="55"/>
      <c r="F13" s="14">
        <v>11</v>
      </c>
      <c r="G13" s="36">
        <v>3747</v>
      </c>
      <c r="H13" s="36">
        <v>2528</v>
      </c>
      <c r="I13" s="36">
        <v>2323</v>
      </c>
      <c r="L13" s="41">
        <f t="shared" ca="1" si="1"/>
        <v>0.31740892699462397</v>
      </c>
      <c r="M13" s="44">
        <v>10</v>
      </c>
      <c r="N13" s="44">
        <v>11</v>
      </c>
      <c r="O13" s="44">
        <f t="shared" ca="1" si="4"/>
        <v>263</v>
      </c>
      <c r="P13" s="53">
        <f t="shared" ca="1" si="5"/>
        <v>12.955042175588181</v>
      </c>
      <c r="Q13" s="41">
        <f t="shared" ca="1" si="6"/>
        <v>3407</v>
      </c>
      <c r="R13" s="41"/>
      <c r="S13" s="48"/>
      <c r="T13" s="41"/>
      <c r="U13" s="41"/>
    </row>
    <row r="14" spans="1:21" ht="15" x14ac:dyDescent="0.25">
      <c r="A14" s="49">
        <v>12</v>
      </c>
      <c r="B14" s="50">
        <f t="shared" ca="1" si="0"/>
        <v>7532</v>
      </c>
      <c r="C14" s="51">
        <f t="shared" ca="1" si="2"/>
        <v>3972</v>
      </c>
      <c r="D14" s="52">
        <f t="shared" ca="1" si="3"/>
        <v>4180</v>
      </c>
      <c r="E14" s="55"/>
      <c r="F14" s="14">
        <v>12</v>
      </c>
      <c r="G14" s="36">
        <v>2323</v>
      </c>
      <c r="H14" s="36">
        <v>2877</v>
      </c>
      <c r="I14" s="36">
        <v>2452</v>
      </c>
      <c r="L14" s="41">
        <f t="shared" ca="1" si="1"/>
        <v>0.58999178178325751</v>
      </c>
      <c r="M14" s="44">
        <v>11</v>
      </c>
      <c r="N14" s="44">
        <v>12</v>
      </c>
      <c r="O14" s="44">
        <f t="shared" ca="1" si="4"/>
        <v>275</v>
      </c>
      <c r="P14" s="53">
        <f t="shared" ca="1" si="5"/>
        <v>15.198555220032222</v>
      </c>
      <c r="Q14" s="41">
        <f t="shared" ca="1" si="6"/>
        <v>4180</v>
      </c>
      <c r="R14" s="41"/>
      <c r="S14" s="48"/>
      <c r="T14" s="41"/>
      <c r="U14" s="41"/>
    </row>
    <row r="15" spans="1:21" ht="15" x14ac:dyDescent="0.25">
      <c r="A15" s="49">
        <v>13</v>
      </c>
      <c r="B15" s="50">
        <f t="shared" ca="1" si="0"/>
        <v>13277</v>
      </c>
      <c r="C15" s="51">
        <f t="shared" ca="1" si="2"/>
        <v>4180</v>
      </c>
      <c r="D15" s="52">
        <f t="shared" ca="1" si="3"/>
        <v>3815</v>
      </c>
      <c r="E15" s="55"/>
      <c r="F15" s="14">
        <v>13</v>
      </c>
      <c r="G15" s="36">
        <v>2216</v>
      </c>
      <c r="H15" s="36">
        <v>3019</v>
      </c>
      <c r="I15" s="36">
        <v>3019</v>
      </c>
      <c r="L15" s="41">
        <f t="shared" ca="1" si="1"/>
        <v>0.2771868450335907</v>
      </c>
      <c r="M15" s="44">
        <v>14</v>
      </c>
      <c r="N15" s="44">
        <v>13</v>
      </c>
      <c r="O15" s="44">
        <f t="shared" ca="1" si="4"/>
        <v>287</v>
      </c>
      <c r="P15" s="53">
        <f t="shared" ca="1" si="5"/>
        <v>13.292054249317587</v>
      </c>
      <c r="Q15" s="41">
        <f t="shared" ca="1" si="6"/>
        <v>3815</v>
      </c>
      <c r="R15" s="41"/>
      <c r="S15" s="48"/>
      <c r="T15" s="41"/>
      <c r="U15" s="41"/>
    </row>
    <row r="16" spans="1:21" ht="15" x14ac:dyDescent="0.25">
      <c r="A16" s="49">
        <v>14</v>
      </c>
      <c r="B16" s="50">
        <f t="shared" ca="1" si="0"/>
        <v>2472</v>
      </c>
      <c r="C16" s="51">
        <f t="shared" ca="1" si="2"/>
        <v>4442</v>
      </c>
      <c r="D16" s="52">
        <f t="shared" ca="1" si="3"/>
        <v>4442</v>
      </c>
      <c r="E16" s="55"/>
      <c r="F16" s="14">
        <v>14</v>
      </c>
      <c r="G16" s="36">
        <v>6894</v>
      </c>
      <c r="H16" s="36">
        <v>3498</v>
      </c>
      <c r="I16" s="36">
        <v>3498</v>
      </c>
      <c r="L16" s="41">
        <f t="shared" ca="1" si="1"/>
        <v>0.97492883274272824</v>
      </c>
      <c r="M16" s="44">
        <v>16</v>
      </c>
      <c r="N16" s="44">
        <v>14</v>
      </c>
      <c r="O16" s="44">
        <f t="shared" ca="1" si="4"/>
        <v>299</v>
      </c>
      <c r="P16" s="53">
        <f t="shared" ca="1" si="5"/>
        <v>14.85453092644585</v>
      </c>
      <c r="Q16" s="41">
        <f t="shared" ca="1" si="6"/>
        <v>4442</v>
      </c>
      <c r="R16" s="41"/>
      <c r="S16" s="48"/>
      <c r="T16" s="41"/>
      <c r="U16" s="41"/>
    </row>
    <row r="17" spans="1:21" ht="15" x14ac:dyDescent="0.25">
      <c r="A17" s="49">
        <v>15</v>
      </c>
      <c r="B17" s="50">
        <f t="shared" ca="1" si="0"/>
        <v>4180</v>
      </c>
      <c r="C17" s="51">
        <f t="shared" ca="1" si="2"/>
        <v>5125</v>
      </c>
      <c r="D17" s="52">
        <f t="shared" ca="1" si="3"/>
        <v>4845</v>
      </c>
      <c r="E17" s="55"/>
      <c r="F17" s="14">
        <v>15</v>
      </c>
      <c r="G17" s="36">
        <v>10359</v>
      </c>
      <c r="H17" s="36">
        <v>3743</v>
      </c>
      <c r="I17" s="36">
        <v>3747</v>
      </c>
      <c r="L17" s="41">
        <f t="shared" ca="1" si="1"/>
        <v>0.86207842131643231</v>
      </c>
      <c r="M17" s="44">
        <v>18</v>
      </c>
      <c r="N17" s="44">
        <v>15</v>
      </c>
      <c r="O17" s="44">
        <f t="shared" ca="1" si="4"/>
        <v>311</v>
      </c>
      <c r="P17" s="53">
        <f t="shared" ca="1" si="5"/>
        <v>15.579391790437086</v>
      </c>
      <c r="Q17" s="41">
        <f t="shared" ca="1" si="6"/>
        <v>4845</v>
      </c>
      <c r="R17" s="41"/>
      <c r="S17" s="48"/>
      <c r="T17" s="41"/>
      <c r="U17" s="41"/>
    </row>
    <row r="18" spans="1:21" ht="15" x14ac:dyDescent="0.25">
      <c r="A18" s="49">
        <v>16</v>
      </c>
      <c r="B18" s="50">
        <f t="shared" ca="1" si="0"/>
        <v>3815</v>
      </c>
      <c r="C18" s="51">
        <f t="shared" ca="1" si="2"/>
        <v>4148</v>
      </c>
      <c r="D18" s="52">
        <f t="shared" ca="1" si="3"/>
        <v>4021</v>
      </c>
      <c r="E18" s="55"/>
      <c r="F18" s="14">
        <v>16</v>
      </c>
      <c r="G18" s="36">
        <v>4421</v>
      </c>
      <c r="H18" s="36">
        <v>3018</v>
      </c>
      <c r="I18" s="36">
        <v>3099</v>
      </c>
      <c r="L18" s="41">
        <f t="shared" ca="1" si="1"/>
        <v>0.85975031398956014</v>
      </c>
      <c r="M18" s="44">
        <v>13</v>
      </c>
      <c r="N18" s="44">
        <v>16</v>
      </c>
      <c r="O18" s="44">
        <f t="shared" ca="1" si="4"/>
        <v>323</v>
      </c>
      <c r="P18" s="53">
        <f t="shared" ca="1" si="5"/>
        <v>12.448852581615448</v>
      </c>
      <c r="Q18" s="41">
        <f t="shared" ca="1" si="6"/>
        <v>4021</v>
      </c>
      <c r="R18" s="41"/>
      <c r="S18" s="48"/>
      <c r="T18" s="41"/>
      <c r="U18" s="41"/>
    </row>
    <row r="19" spans="1:21" ht="15" x14ac:dyDescent="0.25">
      <c r="A19" s="49">
        <v>17</v>
      </c>
      <c r="B19" s="50">
        <f t="shared" ca="1" si="0"/>
        <v>9502</v>
      </c>
      <c r="C19" s="51">
        <f t="shared" ca="1" si="2"/>
        <v>4845</v>
      </c>
      <c r="D19" s="52">
        <f t="shared" ca="1" si="3"/>
        <v>5155</v>
      </c>
      <c r="E19" s="55"/>
      <c r="F19" s="14">
        <v>17</v>
      </c>
      <c r="G19" s="36">
        <v>8720</v>
      </c>
      <c r="H19" s="36">
        <v>3578</v>
      </c>
      <c r="I19" s="36">
        <v>2877</v>
      </c>
      <c r="L19" s="41">
        <f t="shared" ca="1" si="1"/>
        <v>0.42450629804311601</v>
      </c>
      <c r="M19" s="44">
        <v>17</v>
      </c>
      <c r="N19" s="44">
        <v>17</v>
      </c>
      <c r="O19" s="44">
        <f t="shared" ca="1" si="4"/>
        <v>335</v>
      </c>
      <c r="P19" s="53">
        <f t="shared" ca="1" si="5"/>
        <v>15.388590597890715</v>
      </c>
      <c r="Q19" s="41">
        <f t="shared" ca="1" si="6"/>
        <v>5155</v>
      </c>
      <c r="R19" s="41"/>
      <c r="S19" s="48"/>
      <c r="T19" s="41"/>
      <c r="U19" s="41"/>
    </row>
    <row r="20" spans="1:21" ht="15" x14ac:dyDescent="0.25">
      <c r="A20" s="49">
        <v>18</v>
      </c>
      <c r="B20" s="50">
        <f t="shared" ca="1" si="0"/>
        <v>10343</v>
      </c>
      <c r="C20" s="51">
        <f t="shared" ca="1" si="2"/>
        <v>4366</v>
      </c>
      <c r="D20" s="52">
        <f t="shared" ca="1" si="3"/>
        <v>5293</v>
      </c>
      <c r="E20" s="55"/>
      <c r="F20" s="14">
        <v>18</v>
      </c>
      <c r="G20" s="36">
        <v>6526</v>
      </c>
      <c r="H20" s="36">
        <v>3099</v>
      </c>
      <c r="I20" s="36">
        <v>3779</v>
      </c>
      <c r="L20" s="41">
        <f t="shared" ca="1" si="1"/>
        <v>0.20364505456148418</v>
      </c>
      <c r="M20" s="44">
        <v>15</v>
      </c>
      <c r="N20" s="44">
        <v>18</v>
      </c>
      <c r="O20" s="44">
        <f t="shared" ca="1" si="4"/>
        <v>347</v>
      </c>
      <c r="P20" s="53">
        <f t="shared" ca="1" si="5"/>
        <v>15.253927225497637</v>
      </c>
      <c r="Q20" s="41">
        <f t="shared" ca="1" si="6"/>
        <v>5293</v>
      </c>
      <c r="R20" s="41"/>
      <c r="S20" s="48"/>
      <c r="T20" s="41"/>
      <c r="U20" s="41"/>
    </row>
    <row r="21" spans="1:21" ht="15" x14ac:dyDescent="0.25">
      <c r="A21" s="49">
        <v>19</v>
      </c>
      <c r="B21" s="50">
        <f t="shared" ca="1" si="0"/>
        <v>3407</v>
      </c>
      <c r="C21" s="51">
        <f t="shared" ca="1" si="2"/>
        <v>5155</v>
      </c>
      <c r="D21" s="52">
        <f t="shared" ca="1" si="3"/>
        <v>6120</v>
      </c>
      <c r="E21" s="55"/>
      <c r="F21" s="14">
        <v>19</v>
      </c>
      <c r="G21" s="36">
        <v>12037</v>
      </c>
      <c r="H21" s="36">
        <v>3747</v>
      </c>
      <c r="I21" s="36">
        <v>4336</v>
      </c>
      <c r="L21" s="41">
        <f t="shared" ca="1" si="1"/>
        <v>0.86307692421979643</v>
      </c>
      <c r="M21" s="44">
        <v>19</v>
      </c>
      <c r="N21" s="44">
        <v>19</v>
      </c>
      <c r="O21" s="44">
        <f t="shared" ca="1" si="4"/>
        <v>359</v>
      </c>
      <c r="P21" s="53">
        <f t="shared" ca="1" si="5"/>
        <v>17.046720663028061</v>
      </c>
      <c r="Q21" s="41">
        <f t="shared" ca="1" si="6"/>
        <v>6120</v>
      </c>
      <c r="R21" s="41"/>
      <c r="S21" s="48"/>
      <c r="T21" s="41"/>
      <c r="U21" s="41"/>
    </row>
    <row r="22" spans="1:21" ht="15" x14ac:dyDescent="0.25">
      <c r="A22" s="49">
        <v>20</v>
      </c>
      <c r="B22" s="50">
        <f t="shared" ca="1" si="0"/>
        <v>9029</v>
      </c>
      <c r="C22" s="51">
        <f t="shared" ca="1" si="2"/>
        <v>5293</v>
      </c>
      <c r="D22" s="52">
        <f t="shared" ca="1" si="3"/>
        <v>6192</v>
      </c>
      <c r="E22" s="55"/>
      <c r="F22" s="14">
        <v>20</v>
      </c>
      <c r="G22" s="36">
        <v>8593</v>
      </c>
      <c r="H22" s="36">
        <v>3779</v>
      </c>
      <c r="I22" s="36">
        <v>4492</v>
      </c>
      <c r="L22" s="41">
        <f t="shared" ca="1" si="1"/>
        <v>0.52815664195430856</v>
      </c>
      <c r="M22" s="44">
        <v>20</v>
      </c>
      <c r="N22" s="44">
        <v>20</v>
      </c>
      <c r="O22" s="44">
        <f t="shared" ca="1" si="4"/>
        <v>371</v>
      </c>
      <c r="P22" s="53">
        <f t="shared" ca="1" si="5"/>
        <v>16.690044379219284</v>
      </c>
      <c r="Q22" s="41">
        <f t="shared" ca="1" si="6"/>
        <v>6192</v>
      </c>
      <c r="R22" s="41"/>
      <c r="S22" s="48"/>
      <c r="T22" s="41"/>
      <c r="U22" s="41"/>
    </row>
    <row r="23" spans="1:21" ht="15" x14ac:dyDescent="0.25">
      <c r="A23" s="49">
        <v>21</v>
      </c>
      <c r="B23" s="50">
        <f t="shared" ca="1" si="0"/>
        <v>13618</v>
      </c>
      <c r="C23" s="51">
        <f t="shared" ca="1" si="2"/>
        <v>6120</v>
      </c>
      <c r="D23" s="52">
        <f t="shared" ca="1" si="3"/>
        <v>4366</v>
      </c>
      <c r="E23" s="55"/>
      <c r="F23" s="14">
        <v>21</v>
      </c>
      <c r="G23" s="36">
        <v>3578</v>
      </c>
      <c r="H23" s="36">
        <v>4336</v>
      </c>
      <c r="I23" s="36">
        <v>3578</v>
      </c>
      <c r="L23" s="41">
        <f t="shared" ca="1" si="1"/>
        <v>0.15756278939824619</v>
      </c>
      <c r="M23" s="44">
        <v>24</v>
      </c>
      <c r="N23" s="44">
        <v>21</v>
      </c>
      <c r="O23" s="44">
        <f t="shared" ca="1" si="4"/>
        <v>383</v>
      </c>
      <c r="P23" s="53">
        <f t="shared" ca="1" si="5"/>
        <v>11.399071431072574</v>
      </c>
      <c r="Q23" s="41">
        <f t="shared" ca="1" si="6"/>
        <v>4366</v>
      </c>
      <c r="R23" s="41"/>
      <c r="S23" s="48"/>
      <c r="T23" s="41"/>
      <c r="U23" s="41"/>
    </row>
    <row r="24" spans="1:21" ht="15" x14ac:dyDescent="0.25">
      <c r="A24" s="49">
        <v>22</v>
      </c>
      <c r="B24" s="50">
        <f t="shared" ca="1" si="0"/>
        <v>13054</v>
      </c>
      <c r="C24" s="51">
        <f t="shared" ca="1" si="2"/>
        <v>5730</v>
      </c>
      <c r="D24" s="52">
        <f t="shared" ca="1" si="3"/>
        <v>5125</v>
      </c>
      <c r="E24" s="55"/>
      <c r="F24" s="14">
        <v>22</v>
      </c>
      <c r="G24" s="36">
        <v>3018</v>
      </c>
      <c r="H24" s="36">
        <v>4185</v>
      </c>
      <c r="I24" s="36">
        <v>4185</v>
      </c>
      <c r="L24" s="41">
        <f t="shared" ca="1" si="1"/>
        <v>9.0493892950308075E-2</v>
      </c>
      <c r="M24" s="44">
        <v>22</v>
      </c>
      <c r="N24" s="44">
        <v>22</v>
      </c>
      <c r="O24" s="44">
        <f t="shared" ca="1" si="4"/>
        <v>395</v>
      </c>
      <c r="P24" s="53">
        <f t="shared" ca="1" si="5"/>
        <v>12.975309916024914</v>
      </c>
      <c r="Q24" s="41">
        <f t="shared" ca="1" si="6"/>
        <v>5125</v>
      </c>
      <c r="R24" s="41"/>
      <c r="S24" s="48"/>
      <c r="T24" s="41"/>
      <c r="U24" s="41"/>
    </row>
    <row r="25" spans="1:21" ht="15" x14ac:dyDescent="0.25">
      <c r="A25" s="49">
        <v>23</v>
      </c>
      <c r="B25" s="50">
        <f t="shared" ca="1" si="0"/>
        <v>13975</v>
      </c>
      <c r="C25" s="51">
        <f t="shared" ca="1" si="2"/>
        <v>5977</v>
      </c>
      <c r="D25" s="52">
        <f t="shared" ca="1" si="3"/>
        <v>5977</v>
      </c>
      <c r="E25" s="55"/>
      <c r="F25" s="14">
        <v>23</v>
      </c>
      <c r="G25" s="36">
        <v>4185</v>
      </c>
      <c r="H25" s="36">
        <v>4254</v>
      </c>
      <c r="I25" s="36">
        <v>4523</v>
      </c>
      <c r="L25" s="41">
        <f t="shared" ca="1" si="1"/>
        <v>0.15745229962959861</v>
      </c>
      <c r="M25" s="44">
        <v>23</v>
      </c>
      <c r="N25" s="44">
        <v>23</v>
      </c>
      <c r="O25" s="44">
        <f t="shared" ca="1" si="4"/>
        <v>407</v>
      </c>
      <c r="P25" s="53">
        <f t="shared" ca="1" si="5"/>
        <v>14.684360564025162</v>
      </c>
      <c r="Q25" s="41">
        <f t="shared" ca="1" si="6"/>
        <v>5977</v>
      </c>
      <c r="R25" s="41"/>
      <c r="S25" s="48"/>
      <c r="T25" s="41"/>
      <c r="U25" s="41"/>
    </row>
    <row r="26" spans="1:21" ht="15" x14ac:dyDescent="0.25">
      <c r="A26" s="49">
        <v>24</v>
      </c>
      <c r="B26" s="50">
        <f t="shared" ca="1" si="0"/>
        <v>9744</v>
      </c>
      <c r="C26" s="51">
        <f t="shared" ca="1" si="2"/>
        <v>6192</v>
      </c>
      <c r="D26" s="52">
        <f t="shared" ca="1" si="3"/>
        <v>5730</v>
      </c>
      <c r="E26" s="55"/>
      <c r="F26" s="14">
        <v>24</v>
      </c>
      <c r="G26" s="36">
        <v>9678</v>
      </c>
      <c r="H26" s="36">
        <v>4421</v>
      </c>
      <c r="I26" s="36">
        <v>5005</v>
      </c>
      <c r="L26" s="41">
        <f t="shared" ca="1" si="1"/>
        <v>0.51776571184231923</v>
      </c>
      <c r="M26" s="44">
        <v>25</v>
      </c>
      <c r="N26" s="44">
        <v>24</v>
      </c>
      <c r="O26" s="44">
        <f t="shared" ca="1" si="4"/>
        <v>419</v>
      </c>
      <c r="P26" s="53">
        <f t="shared" ca="1" si="5"/>
        <v>13.676289014236806</v>
      </c>
      <c r="Q26" s="41">
        <f t="shared" ca="1" si="6"/>
        <v>5730</v>
      </c>
      <c r="R26" s="41"/>
      <c r="S26" s="48"/>
      <c r="T26" s="41"/>
      <c r="U26" s="41"/>
    </row>
    <row r="27" spans="1:21" ht="15" x14ac:dyDescent="0.25">
      <c r="A27" s="49">
        <v>25</v>
      </c>
      <c r="B27" s="50">
        <f t="shared" ca="1" si="0"/>
        <v>16298</v>
      </c>
      <c r="C27" s="51">
        <f t="shared" ca="1" si="2"/>
        <v>5659</v>
      </c>
      <c r="D27" s="52">
        <f t="shared" ca="1" si="3"/>
        <v>6884</v>
      </c>
      <c r="E27" s="55"/>
      <c r="F27" s="14">
        <v>25</v>
      </c>
      <c r="G27" s="36">
        <v>9442</v>
      </c>
      <c r="H27" s="36">
        <v>3935</v>
      </c>
      <c r="I27" s="36">
        <v>5417</v>
      </c>
      <c r="L27" s="41">
        <f t="shared" ca="1" si="1"/>
        <v>0.10929685454519611</v>
      </c>
      <c r="M27" s="44">
        <v>21</v>
      </c>
      <c r="N27" s="44">
        <v>25</v>
      </c>
      <c r="O27" s="44">
        <f t="shared" ca="1" si="4"/>
        <v>431</v>
      </c>
      <c r="P27" s="53">
        <f t="shared" ca="1" si="5"/>
        <v>15.971125354625752</v>
      </c>
      <c r="Q27" s="41">
        <f t="shared" ca="1" si="6"/>
        <v>6884</v>
      </c>
      <c r="R27" s="41"/>
      <c r="S27" s="48"/>
      <c r="T27" s="41"/>
      <c r="U27" s="41"/>
    </row>
    <row r="28" spans="1:21" ht="15" x14ac:dyDescent="0.25">
      <c r="A28" s="49">
        <v>26</v>
      </c>
      <c r="B28" s="50">
        <f t="shared" ca="1" si="0"/>
        <v>12468</v>
      </c>
      <c r="C28" s="51">
        <f t="shared" ca="1" si="2"/>
        <v>6884</v>
      </c>
      <c r="D28" s="52">
        <f t="shared" ca="1" si="3"/>
        <v>5659</v>
      </c>
      <c r="E28" s="55"/>
      <c r="F28" s="14">
        <v>26</v>
      </c>
      <c r="G28" s="36">
        <v>9895</v>
      </c>
      <c r="H28" s="36">
        <v>4523</v>
      </c>
      <c r="I28" s="36">
        <v>3935</v>
      </c>
      <c r="L28" s="41">
        <f t="shared" ca="1" si="1"/>
        <v>0.23198039081549893</v>
      </c>
      <c r="M28" s="44">
        <v>27</v>
      </c>
      <c r="N28" s="44">
        <v>26</v>
      </c>
      <c r="O28" s="44">
        <f t="shared" ca="1" si="4"/>
        <v>443</v>
      </c>
      <c r="P28" s="53">
        <f t="shared" ca="1" si="5"/>
        <v>12.775249688030369</v>
      </c>
      <c r="Q28" s="41">
        <f t="shared" ca="1" si="6"/>
        <v>5659</v>
      </c>
      <c r="R28" s="41"/>
      <c r="S28" s="48"/>
      <c r="T28" s="41"/>
      <c r="U28" s="41"/>
    </row>
    <row r="29" spans="1:21" ht="15" x14ac:dyDescent="0.25">
      <c r="A29" s="49">
        <v>27</v>
      </c>
      <c r="B29" s="50">
        <f t="shared" ca="1" si="0"/>
        <v>19333</v>
      </c>
      <c r="C29" s="51">
        <f t="shared" ca="1" si="2"/>
        <v>6197</v>
      </c>
      <c r="D29" s="52">
        <f t="shared" ca="1" si="3"/>
        <v>7113</v>
      </c>
      <c r="E29" s="55"/>
      <c r="F29" s="14">
        <v>27</v>
      </c>
      <c r="G29" s="36">
        <v>5005</v>
      </c>
      <c r="H29" s="36">
        <v>4492</v>
      </c>
      <c r="I29" s="36">
        <v>4254</v>
      </c>
      <c r="L29" s="41">
        <f t="shared" ca="1" si="1"/>
        <v>1.3200765804131098E-3</v>
      </c>
      <c r="M29" s="44">
        <v>26</v>
      </c>
      <c r="N29" s="44">
        <v>27</v>
      </c>
      <c r="O29" s="44">
        <f t="shared" ca="1" si="4"/>
        <v>455</v>
      </c>
      <c r="P29" s="53">
        <f t="shared" ca="1" si="5"/>
        <v>15.632718598618693</v>
      </c>
      <c r="Q29" s="41">
        <f t="shared" ca="1" si="6"/>
        <v>7113</v>
      </c>
      <c r="R29" s="41"/>
      <c r="S29" s="48"/>
      <c r="T29" s="41"/>
      <c r="U29" s="41"/>
    </row>
    <row r="30" spans="1:21" ht="15" x14ac:dyDescent="0.25">
      <c r="A30" s="49">
        <v>28</v>
      </c>
      <c r="B30" s="50">
        <f t="shared" ca="1" si="0"/>
        <v>7840</v>
      </c>
      <c r="C30" s="51">
        <f t="shared" ca="1" si="2"/>
        <v>7840</v>
      </c>
      <c r="D30" s="52">
        <f t="shared" ca="1" si="3"/>
        <v>7316</v>
      </c>
      <c r="E30" s="55"/>
      <c r="F30" s="14">
        <v>28</v>
      </c>
      <c r="G30" s="36">
        <v>7242</v>
      </c>
      <c r="H30" s="36">
        <v>5461</v>
      </c>
      <c r="I30" s="36">
        <v>4421</v>
      </c>
      <c r="L30" s="41">
        <f t="shared" ca="1" si="1"/>
        <v>0.42736963842197828</v>
      </c>
      <c r="M30" s="44">
        <v>33</v>
      </c>
      <c r="N30" s="44">
        <v>28</v>
      </c>
      <c r="O30" s="44">
        <f t="shared" ca="1" si="4"/>
        <v>467</v>
      </c>
      <c r="P30" s="53">
        <f t="shared" ca="1" si="5"/>
        <v>15.666247801359887</v>
      </c>
      <c r="Q30" s="41">
        <f t="shared" ca="1" si="6"/>
        <v>7316</v>
      </c>
      <c r="R30" s="41"/>
      <c r="S30" s="48"/>
      <c r="T30" s="41"/>
      <c r="U30" s="41"/>
    </row>
    <row r="31" spans="1:21" ht="15" x14ac:dyDescent="0.25">
      <c r="A31" s="49">
        <v>29</v>
      </c>
      <c r="B31" s="50">
        <f t="shared" ca="1" si="0"/>
        <v>8786</v>
      </c>
      <c r="C31" s="51">
        <f t="shared" ca="1" si="2"/>
        <v>8101</v>
      </c>
      <c r="D31" s="52">
        <f t="shared" ca="1" si="3"/>
        <v>7600</v>
      </c>
      <c r="E31" s="55"/>
      <c r="F31" s="14">
        <v>29</v>
      </c>
      <c r="G31" s="36">
        <v>5461</v>
      </c>
      <c r="H31" s="36">
        <v>5475</v>
      </c>
      <c r="I31" s="36">
        <v>5130</v>
      </c>
      <c r="L31" s="41">
        <f t="shared" ca="1" si="1"/>
        <v>0.41271091686081629</v>
      </c>
      <c r="M31" s="44">
        <v>34</v>
      </c>
      <c r="N31" s="44">
        <v>29</v>
      </c>
      <c r="O31" s="44">
        <f t="shared" ca="1" si="4"/>
        <v>479</v>
      </c>
      <c r="P31" s="53">
        <f t="shared" ca="1" si="5"/>
        <v>15.867062825037411</v>
      </c>
      <c r="Q31" s="41">
        <f t="shared" ca="1" si="6"/>
        <v>7600</v>
      </c>
      <c r="R31" s="41"/>
      <c r="S31" s="48"/>
      <c r="T31" s="41"/>
      <c r="U31" s="41"/>
    </row>
    <row r="32" spans="1:21" ht="15" x14ac:dyDescent="0.25">
      <c r="A32" s="49">
        <v>30</v>
      </c>
      <c r="B32" s="50">
        <f t="shared" ca="1" si="0"/>
        <v>9664</v>
      </c>
      <c r="C32" s="51">
        <f t="shared" ca="1" si="2"/>
        <v>6978</v>
      </c>
      <c r="D32" s="52">
        <f t="shared" ca="1" si="3"/>
        <v>8270</v>
      </c>
      <c r="E32" s="55"/>
      <c r="F32" s="14">
        <v>30</v>
      </c>
      <c r="G32" s="36">
        <v>9652</v>
      </c>
      <c r="H32" s="36">
        <v>4861</v>
      </c>
      <c r="I32" s="36">
        <v>5801</v>
      </c>
      <c r="L32" s="41">
        <f t="shared" ca="1" si="1"/>
        <v>0.40867044128177799</v>
      </c>
      <c r="M32" s="44">
        <v>28</v>
      </c>
      <c r="N32" s="44">
        <v>30</v>
      </c>
      <c r="O32" s="44">
        <f t="shared" ca="1" si="4"/>
        <v>491</v>
      </c>
      <c r="P32" s="53">
        <f t="shared" ca="1" si="5"/>
        <v>16.844075578075252</v>
      </c>
      <c r="Q32" s="41">
        <f t="shared" ca="1" si="6"/>
        <v>8270</v>
      </c>
      <c r="R32" s="41"/>
      <c r="S32" s="48"/>
      <c r="T32" s="41"/>
      <c r="U32" s="41"/>
    </row>
    <row r="33" spans="1:21" ht="15" x14ac:dyDescent="0.25">
      <c r="A33" s="49">
        <v>31</v>
      </c>
      <c r="B33" s="50">
        <f t="shared" ca="1" si="0"/>
        <v>10777</v>
      </c>
      <c r="C33" s="51">
        <f t="shared" ca="1" si="2"/>
        <v>7316</v>
      </c>
      <c r="D33" s="52">
        <f t="shared" ca="1" si="3"/>
        <v>6197</v>
      </c>
      <c r="E33" s="55"/>
      <c r="F33" s="14">
        <v>31</v>
      </c>
      <c r="G33" s="36">
        <v>1690</v>
      </c>
      <c r="H33" s="36">
        <v>5130</v>
      </c>
      <c r="I33" s="36">
        <v>3743</v>
      </c>
      <c r="L33" s="41">
        <f t="shared" ca="1" si="1"/>
        <v>0.18137701003345363</v>
      </c>
      <c r="M33" s="44">
        <v>30</v>
      </c>
      <c r="N33" s="44">
        <v>31</v>
      </c>
      <c r="O33" s="44">
        <f t="shared" ca="1" si="4"/>
        <v>503</v>
      </c>
      <c r="P33" s="53">
        <f t="shared" ca="1" si="5"/>
        <v>12.320924354761596</v>
      </c>
      <c r="Q33" s="41">
        <f t="shared" ca="1" si="6"/>
        <v>6197</v>
      </c>
      <c r="R33" s="41"/>
      <c r="S33" s="48"/>
      <c r="T33" s="41"/>
      <c r="U33" s="41"/>
    </row>
    <row r="34" spans="1:21" ht="15" x14ac:dyDescent="0.25">
      <c r="A34" s="49">
        <v>32</v>
      </c>
      <c r="B34" s="50">
        <f t="shared" ca="1" si="0"/>
        <v>8482</v>
      </c>
      <c r="C34" s="51">
        <f t="shared" ca="1" si="2"/>
        <v>7113</v>
      </c>
      <c r="D34" s="52">
        <f t="shared" ca="1" si="3"/>
        <v>6978</v>
      </c>
      <c r="E34" s="55"/>
      <c r="F34" s="14">
        <v>32</v>
      </c>
      <c r="G34" s="36">
        <v>2946</v>
      </c>
      <c r="H34" s="36">
        <v>5005</v>
      </c>
      <c r="I34" s="36">
        <v>4861</v>
      </c>
      <c r="L34" s="41">
        <f t="shared" ca="1" si="1"/>
        <v>0.5973775821528744</v>
      </c>
      <c r="M34" s="44">
        <v>29</v>
      </c>
      <c r="N34" s="44">
        <v>32</v>
      </c>
      <c r="O34" s="44">
        <f t="shared" ca="1" si="4"/>
        <v>515</v>
      </c>
      <c r="P34" s="53">
        <f t="shared" ca="1" si="5"/>
        <v>13.549594006129757</v>
      </c>
      <c r="Q34" s="41">
        <f t="shared" ca="1" si="6"/>
        <v>6978</v>
      </c>
      <c r="R34" s="41"/>
      <c r="S34" s="48"/>
      <c r="T34" s="41"/>
      <c r="U34" s="41"/>
    </row>
    <row r="35" spans="1:21" ht="15" x14ac:dyDescent="0.25">
      <c r="A35" s="49">
        <v>33</v>
      </c>
      <c r="B35" s="50">
        <f t="shared" ca="1" si="0"/>
        <v>1851</v>
      </c>
      <c r="C35" s="51">
        <f t="shared" ca="1" si="2"/>
        <v>7532</v>
      </c>
      <c r="D35" s="52">
        <f t="shared" ca="1" si="3"/>
        <v>8101</v>
      </c>
      <c r="E35" s="55"/>
      <c r="F35" s="14">
        <v>33</v>
      </c>
      <c r="G35" s="36">
        <v>2877</v>
      </c>
      <c r="H35" s="36">
        <v>5192</v>
      </c>
      <c r="I35" s="36">
        <v>5475</v>
      </c>
      <c r="L35" s="41">
        <f t="shared" ca="1" si="1"/>
        <v>0.98114027943611781</v>
      </c>
      <c r="M35" s="44">
        <v>31</v>
      </c>
      <c r="N35" s="44">
        <v>33</v>
      </c>
      <c r="O35" s="44">
        <f t="shared" ca="1" si="4"/>
        <v>527</v>
      </c>
      <c r="P35" s="53">
        <f t="shared" ca="1" si="5"/>
        <v>15.372684275444163</v>
      </c>
      <c r="Q35" s="41">
        <f t="shared" ca="1" si="6"/>
        <v>8101</v>
      </c>
      <c r="R35" s="41"/>
      <c r="S35" s="48"/>
      <c r="T35" s="41"/>
      <c r="U35" s="41"/>
    </row>
    <row r="36" spans="1:21" ht="15" x14ac:dyDescent="0.25">
      <c r="A36" s="49">
        <v>34</v>
      </c>
      <c r="B36" s="50">
        <f t="shared" ca="1" si="0"/>
        <v>8101</v>
      </c>
      <c r="C36" s="51">
        <f t="shared" ca="1" si="2"/>
        <v>7600</v>
      </c>
      <c r="D36" s="52">
        <f t="shared" ca="1" si="3"/>
        <v>8482</v>
      </c>
      <c r="E36" s="55"/>
      <c r="F36" s="14">
        <v>34</v>
      </c>
      <c r="G36" s="36">
        <v>9135</v>
      </c>
      <c r="H36" s="36">
        <v>5417</v>
      </c>
      <c r="I36" s="36">
        <v>5654</v>
      </c>
      <c r="L36" s="41">
        <f t="shared" ca="1" si="1"/>
        <v>0.61620411236090722</v>
      </c>
      <c r="M36" s="44">
        <v>32</v>
      </c>
      <c r="N36" s="44">
        <v>34</v>
      </c>
      <c r="O36" s="44">
        <f t="shared" ca="1" si="4"/>
        <v>539</v>
      </c>
      <c r="P36" s="53">
        <f t="shared" ca="1" si="5"/>
        <v>15.737128123889606</v>
      </c>
      <c r="Q36" s="41">
        <f t="shared" ca="1" si="6"/>
        <v>8482</v>
      </c>
      <c r="R36" s="41"/>
      <c r="S36" s="48"/>
      <c r="T36" s="41"/>
      <c r="U36" s="41"/>
    </row>
    <row r="37" spans="1:21" ht="15" x14ac:dyDescent="0.25">
      <c r="A37" s="49">
        <v>35</v>
      </c>
      <c r="B37" s="50">
        <f t="shared" ca="1" si="0"/>
        <v>12928</v>
      </c>
      <c r="C37" s="51">
        <f t="shared" ca="1" si="2"/>
        <v>8270</v>
      </c>
      <c r="D37" s="52">
        <f t="shared" ca="1" si="3"/>
        <v>10025</v>
      </c>
      <c r="E37" s="55"/>
      <c r="F37" s="14">
        <v>35</v>
      </c>
      <c r="G37" s="36">
        <v>1984</v>
      </c>
      <c r="H37" s="36">
        <v>5561</v>
      </c>
      <c r="I37" s="36">
        <v>6532</v>
      </c>
      <c r="L37" s="41">
        <f t="shared" ca="1" si="1"/>
        <v>0.34107829748853147</v>
      </c>
      <c r="M37" s="44">
        <v>35</v>
      </c>
      <c r="N37" s="44">
        <v>35</v>
      </c>
      <c r="O37" s="44">
        <f t="shared" ca="1" si="4"/>
        <v>551</v>
      </c>
      <c r="P37" s="53">
        <f t="shared" ca="1" si="5"/>
        <v>18.193793505984846</v>
      </c>
      <c r="Q37" s="41">
        <f t="shared" ca="1" si="6"/>
        <v>10025</v>
      </c>
      <c r="R37" s="41"/>
      <c r="S37" s="48"/>
      <c r="T37" s="41"/>
      <c r="U37" s="41"/>
    </row>
    <row r="38" spans="1:21" ht="15" x14ac:dyDescent="0.25">
      <c r="A38" s="49">
        <v>36</v>
      </c>
      <c r="B38" s="50">
        <f t="shared" ca="1" si="0"/>
        <v>6884</v>
      </c>
      <c r="C38" s="51">
        <f t="shared" ca="1" si="2"/>
        <v>9029</v>
      </c>
      <c r="D38" s="52">
        <f t="shared" ca="1" si="3"/>
        <v>7532</v>
      </c>
      <c r="E38" s="55"/>
      <c r="F38" s="14">
        <v>36</v>
      </c>
      <c r="G38" s="36">
        <v>6552</v>
      </c>
      <c r="H38" s="36">
        <v>5801</v>
      </c>
      <c r="I38" s="36">
        <v>5561</v>
      </c>
      <c r="L38" s="41">
        <f t="shared" ca="1" si="1"/>
        <v>0.73274240535579938</v>
      </c>
      <c r="M38" s="44">
        <v>39</v>
      </c>
      <c r="N38" s="44">
        <v>36</v>
      </c>
      <c r="O38" s="44">
        <f t="shared" ca="1" si="4"/>
        <v>563</v>
      </c>
      <c r="P38" s="53">
        <f t="shared" ca="1" si="5"/>
        <v>13.377913159385569</v>
      </c>
      <c r="Q38" s="41">
        <f t="shared" ca="1" si="6"/>
        <v>7532</v>
      </c>
      <c r="R38" s="41"/>
      <c r="S38" s="48"/>
      <c r="T38" s="41"/>
      <c r="U38" s="41"/>
    </row>
    <row r="39" spans="1:21" ht="15" x14ac:dyDescent="0.25">
      <c r="A39" s="49">
        <v>37</v>
      </c>
      <c r="B39" s="50">
        <f t="shared" ca="1" si="0"/>
        <v>4845</v>
      </c>
      <c r="C39" s="51">
        <f t="shared" ca="1" si="2"/>
        <v>8319</v>
      </c>
      <c r="D39" s="52">
        <f t="shared" ca="1" si="3"/>
        <v>8319</v>
      </c>
      <c r="E39" s="55"/>
      <c r="F39" s="14">
        <v>37</v>
      </c>
      <c r="G39" s="36">
        <v>11930</v>
      </c>
      <c r="H39" s="36">
        <v>5654</v>
      </c>
      <c r="I39" s="36">
        <v>5461</v>
      </c>
      <c r="L39" s="41">
        <f t="shared" ca="1" si="1"/>
        <v>0.85499644447793144</v>
      </c>
      <c r="M39" s="44">
        <v>36</v>
      </c>
      <c r="N39" s="44">
        <v>37</v>
      </c>
      <c r="O39" s="44">
        <f t="shared" ca="1" si="4"/>
        <v>575</v>
      </c>
      <c r="P39" s="53">
        <f t="shared" ca="1" si="5"/>
        <v>14.468662766668285</v>
      </c>
      <c r="Q39" s="41">
        <f t="shared" ca="1" si="6"/>
        <v>8319</v>
      </c>
      <c r="R39" s="41"/>
      <c r="S39" s="48"/>
      <c r="T39" s="41"/>
      <c r="U39" s="41"/>
    </row>
    <row r="40" spans="1:21" ht="15" x14ac:dyDescent="0.25">
      <c r="A40" s="49">
        <v>38</v>
      </c>
      <c r="B40" s="50">
        <f t="shared" ca="1" si="0"/>
        <v>15759</v>
      </c>
      <c r="C40" s="51">
        <f t="shared" ca="1" si="2"/>
        <v>8482</v>
      </c>
      <c r="D40" s="52">
        <f t="shared" ca="1" si="3"/>
        <v>9952</v>
      </c>
      <c r="E40" s="55"/>
      <c r="F40" s="14">
        <v>38</v>
      </c>
      <c r="G40" s="36">
        <v>6290</v>
      </c>
      <c r="H40" s="36">
        <v>5714</v>
      </c>
      <c r="I40" s="36">
        <v>5714</v>
      </c>
      <c r="L40" s="41">
        <f t="shared" ca="1" si="1"/>
        <v>6.9441100464871952E-2</v>
      </c>
      <c r="M40" s="44">
        <v>37</v>
      </c>
      <c r="N40" s="44">
        <v>38</v>
      </c>
      <c r="O40" s="44">
        <f t="shared" ca="1" si="4"/>
        <v>587</v>
      </c>
      <c r="P40" s="53">
        <f t="shared" ca="1" si="5"/>
        <v>16.954460654987727</v>
      </c>
      <c r="Q40" s="41">
        <f t="shared" ca="1" si="6"/>
        <v>9952</v>
      </c>
      <c r="R40" s="41"/>
      <c r="S40" s="48"/>
      <c r="T40" s="41"/>
      <c r="U40" s="41"/>
    </row>
    <row r="41" spans="1:21" ht="15" x14ac:dyDescent="0.25">
      <c r="A41" s="49">
        <v>39</v>
      </c>
      <c r="B41" s="50">
        <f t="shared" ca="1" si="0"/>
        <v>4442</v>
      </c>
      <c r="C41" s="51">
        <f t="shared" ca="1" si="2"/>
        <v>8786</v>
      </c>
      <c r="D41" s="52">
        <f t="shared" ca="1" si="3"/>
        <v>9029</v>
      </c>
      <c r="E41" s="55"/>
      <c r="F41" s="14">
        <v>39</v>
      </c>
      <c r="G41" s="36">
        <v>8783</v>
      </c>
      <c r="H41" s="36">
        <v>5761</v>
      </c>
      <c r="I41" s="36">
        <v>6032</v>
      </c>
      <c r="L41" s="41">
        <f t="shared" ca="1" si="1"/>
        <v>0.85934118962068029</v>
      </c>
      <c r="M41" s="44">
        <v>38</v>
      </c>
      <c r="N41" s="44">
        <v>39</v>
      </c>
      <c r="O41" s="44">
        <f t="shared" ca="1" si="4"/>
        <v>599</v>
      </c>
      <c r="P41" s="53">
        <f t="shared" ca="1" si="5"/>
        <v>15.072723772936433</v>
      </c>
      <c r="Q41" s="41">
        <f t="shared" ca="1" si="6"/>
        <v>9029</v>
      </c>
      <c r="R41" s="41"/>
      <c r="S41" s="48"/>
      <c r="T41" s="41"/>
      <c r="U41" s="41"/>
    </row>
    <row r="42" spans="1:21" ht="15" x14ac:dyDescent="0.25">
      <c r="A42" s="49">
        <v>40</v>
      </c>
      <c r="B42" s="50">
        <f t="shared" ca="1" si="0"/>
        <v>10166</v>
      </c>
      <c r="C42" s="51">
        <f t="shared" ca="1" si="2"/>
        <v>9502</v>
      </c>
      <c r="D42" s="52">
        <f t="shared" ca="1" si="3"/>
        <v>9744</v>
      </c>
      <c r="E42" s="55"/>
      <c r="F42" s="14">
        <v>40</v>
      </c>
      <c r="G42" s="36">
        <v>5417</v>
      </c>
      <c r="H42" s="36">
        <v>6290</v>
      </c>
      <c r="I42" s="36">
        <v>7172</v>
      </c>
      <c r="L42" s="41">
        <f t="shared" ca="1" si="1"/>
        <v>0.42654756719304376</v>
      </c>
      <c r="M42" s="44">
        <v>41</v>
      </c>
      <c r="N42" s="44">
        <v>40</v>
      </c>
      <c r="O42" s="44">
        <f t="shared" ca="1" si="4"/>
        <v>611</v>
      </c>
      <c r="P42" s="53">
        <f t="shared" ca="1" si="5"/>
        <v>15.947639836316187</v>
      </c>
      <c r="Q42" s="41">
        <f t="shared" ca="1" si="6"/>
        <v>9744</v>
      </c>
      <c r="R42" s="41"/>
      <c r="S42" s="48"/>
      <c r="T42" s="41"/>
      <c r="U42" s="41"/>
    </row>
    <row r="43" spans="1:21" ht="15" x14ac:dyDescent="0.25">
      <c r="A43" s="49">
        <v>41</v>
      </c>
      <c r="B43" s="50">
        <f t="shared" ca="1" si="0"/>
        <v>2984</v>
      </c>
      <c r="C43" s="51">
        <f t="shared" ca="1" si="2"/>
        <v>9081</v>
      </c>
      <c r="D43" s="52">
        <f t="shared" ca="1" si="3"/>
        <v>10115</v>
      </c>
      <c r="E43" s="55"/>
      <c r="F43" s="14">
        <v>41</v>
      </c>
      <c r="G43" s="36">
        <v>8751</v>
      </c>
      <c r="H43" s="36">
        <v>6032</v>
      </c>
      <c r="I43" s="36">
        <v>5192</v>
      </c>
      <c r="L43" s="41">
        <f t="shared" ca="1" si="1"/>
        <v>0.88892562298616384</v>
      </c>
      <c r="M43" s="44">
        <v>40</v>
      </c>
      <c r="N43" s="44">
        <v>41</v>
      </c>
      <c r="O43" s="44">
        <f t="shared" ca="1" si="4"/>
        <v>623</v>
      </c>
      <c r="P43" s="53">
        <f t="shared" ca="1" si="5"/>
        <v>16.236056104578964</v>
      </c>
      <c r="Q43" s="41">
        <f t="shared" ca="1" si="6"/>
        <v>10115</v>
      </c>
      <c r="R43" s="41"/>
      <c r="S43" s="48"/>
      <c r="T43" s="41"/>
      <c r="U43" s="41"/>
    </row>
    <row r="44" spans="1:21" ht="15" x14ac:dyDescent="0.25">
      <c r="A44" s="49">
        <v>42</v>
      </c>
      <c r="B44" s="50">
        <f t="shared" ca="1" si="0"/>
        <v>8319</v>
      </c>
      <c r="C44" s="51">
        <f t="shared" ca="1" si="2"/>
        <v>10025</v>
      </c>
      <c r="D44" s="52">
        <f t="shared" ca="1" si="3"/>
        <v>7840</v>
      </c>
      <c r="E44" s="55"/>
      <c r="F44" s="14">
        <v>42</v>
      </c>
      <c r="G44" s="36">
        <v>5130</v>
      </c>
      <c r="H44" s="36">
        <v>6894</v>
      </c>
      <c r="I44" s="36">
        <v>6552</v>
      </c>
      <c r="L44" s="41">
        <f t="shared" ca="1" si="1"/>
        <v>0.5839610995323784</v>
      </c>
      <c r="M44" s="44">
        <v>46</v>
      </c>
      <c r="N44" s="44">
        <v>42</v>
      </c>
      <c r="O44" s="44">
        <f t="shared" ca="1" si="4"/>
        <v>635</v>
      </c>
      <c r="P44" s="53">
        <f t="shared" ca="1" si="5"/>
        <v>12.34620847599056</v>
      </c>
      <c r="Q44" s="41">
        <f t="shared" ca="1" si="6"/>
        <v>7840</v>
      </c>
      <c r="R44" s="41"/>
      <c r="S44" s="48"/>
      <c r="T44" s="41"/>
      <c r="U44" s="41"/>
    </row>
    <row r="45" spans="1:21" ht="15" x14ac:dyDescent="0.25">
      <c r="A45" s="49">
        <v>43</v>
      </c>
      <c r="B45" s="50">
        <f t="shared" ca="1" si="0"/>
        <v>2726</v>
      </c>
      <c r="C45" s="51">
        <f t="shared" ca="1" si="2"/>
        <v>9922</v>
      </c>
      <c r="D45" s="52">
        <f t="shared" ca="1" si="3"/>
        <v>10166</v>
      </c>
      <c r="E45" s="55"/>
      <c r="F45" s="14">
        <v>43</v>
      </c>
      <c r="G45" s="36">
        <v>6754</v>
      </c>
      <c r="H45" s="36">
        <v>6552</v>
      </c>
      <c r="I45" s="36">
        <v>6290</v>
      </c>
      <c r="L45" s="41">
        <f t="shared" ca="1" si="1"/>
        <v>0.94932258419170246</v>
      </c>
      <c r="M45" s="44">
        <v>44</v>
      </c>
      <c r="N45" s="44">
        <v>43</v>
      </c>
      <c r="O45" s="44">
        <f t="shared" ca="1" si="4"/>
        <v>647</v>
      </c>
      <c r="P45" s="53">
        <f t="shared" ca="1" si="5"/>
        <v>15.712719899791395</v>
      </c>
      <c r="Q45" s="41">
        <f t="shared" ca="1" si="6"/>
        <v>10166</v>
      </c>
      <c r="R45" s="41"/>
      <c r="S45" s="48"/>
      <c r="T45" s="41"/>
      <c r="U45" s="41"/>
    </row>
    <row r="46" spans="1:21" ht="15" x14ac:dyDescent="0.25">
      <c r="A46" s="49">
        <v>44</v>
      </c>
      <c r="B46" s="50">
        <f t="shared" ca="1" si="0"/>
        <v>16496</v>
      </c>
      <c r="C46" s="51">
        <f t="shared" ca="1" si="2"/>
        <v>9952</v>
      </c>
      <c r="D46" s="52">
        <f t="shared" ca="1" si="3"/>
        <v>9502</v>
      </c>
      <c r="E46" s="55"/>
      <c r="F46" s="14">
        <v>44</v>
      </c>
      <c r="G46" s="36">
        <v>1436</v>
      </c>
      <c r="H46" s="36">
        <v>6754</v>
      </c>
      <c r="I46" s="36">
        <v>7538</v>
      </c>
      <c r="L46" s="41">
        <f t="shared" ca="1" si="1"/>
        <v>3.989057871789603E-3</v>
      </c>
      <c r="M46" s="3">
        <v>45</v>
      </c>
      <c r="N46" s="44">
        <v>44</v>
      </c>
      <c r="O46" s="44">
        <f t="shared" ca="1" si="4"/>
        <v>659</v>
      </c>
      <c r="P46" s="53">
        <f t="shared" ca="1" si="5"/>
        <v>14.419089426468121</v>
      </c>
      <c r="Q46" s="41">
        <f t="shared" ca="1" si="6"/>
        <v>9502</v>
      </c>
      <c r="R46" s="41"/>
      <c r="S46" s="48"/>
      <c r="T46" s="41"/>
      <c r="U46" s="41"/>
    </row>
    <row r="47" spans="1:21" ht="15" x14ac:dyDescent="0.25">
      <c r="A47" s="49">
        <v>45</v>
      </c>
      <c r="B47" s="50">
        <f t="shared" ca="1" si="0"/>
        <v>12007</v>
      </c>
      <c r="C47" s="51">
        <f t="shared" ca="1" si="2"/>
        <v>10115</v>
      </c>
      <c r="D47" s="52">
        <f t="shared" ca="1" si="3"/>
        <v>12171</v>
      </c>
      <c r="E47" s="55"/>
      <c r="F47" s="14">
        <v>45</v>
      </c>
      <c r="G47" s="36">
        <v>7787</v>
      </c>
      <c r="H47" s="36">
        <v>6983</v>
      </c>
      <c r="I47" s="36">
        <v>7226</v>
      </c>
      <c r="L47" s="41">
        <f t="shared" ca="1" si="1"/>
        <v>0.26024243521984924</v>
      </c>
      <c r="M47" s="44">
        <v>47</v>
      </c>
      <c r="N47" s="44">
        <v>45</v>
      </c>
      <c r="O47" s="44">
        <f t="shared" ca="1" si="4"/>
        <v>671</v>
      </c>
      <c r="P47" s="53">
        <f t="shared" ca="1" si="5"/>
        <v>18.139267704669972</v>
      </c>
      <c r="Q47" s="41">
        <f t="shared" ca="1" si="6"/>
        <v>12171</v>
      </c>
      <c r="R47" s="41"/>
      <c r="S47" s="48"/>
      <c r="T47" s="41"/>
      <c r="U47" s="41"/>
    </row>
    <row r="48" spans="1:21" ht="15" x14ac:dyDescent="0.25">
      <c r="A48" s="49">
        <v>46</v>
      </c>
      <c r="B48" s="50">
        <f t="shared" ca="1" si="0"/>
        <v>9081</v>
      </c>
      <c r="C48" s="51">
        <f t="shared" ca="1" si="2"/>
        <v>10166</v>
      </c>
      <c r="D48" s="52">
        <f t="shared" ca="1" si="3"/>
        <v>8786</v>
      </c>
      <c r="E48" s="55"/>
      <c r="F48" s="14">
        <v>46</v>
      </c>
      <c r="G48" s="36">
        <v>9099</v>
      </c>
      <c r="H48" s="36">
        <v>7001</v>
      </c>
      <c r="I48" s="36">
        <v>6526</v>
      </c>
      <c r="L48" s="41">
        <f t="shared" ca="1" si="1"/>
        <v>0.33904919317183202</v>
      </c>
      <c r="M48" s="44">
        <v>48</v>
      </c>
      <c r="N48" s="44">
        <v>46</v>
      </c>
      <c r="O48" s="44">
        <f t="shared" ca="1" si="4"/>
        <v>683</v>
      </c>
      <c r="P48" s="53">
        <f t="shared" ca="1" si="5"/>
        <v>12.86389807268038</v>
      </c>
      <c r="Q48" s="41">
        <f t="shared" ca="1" si="6"/>
        <v>8786</v>
      </c>
      <c r="R48" s="41"/>
      <c r="S48" s="48"/>
      <c r="T48" s="41"/>
      <c r="U48" s="41"/>
    </row>
    <row r="49" spans="1:21" ht="15" x14ac:dyDescent="0.25">
      <c r="A49" s="49">
        <v>47</v>
      </c>
      <c r="B49" s="50">
        <f t="shared" ca="1" si="0"/>
        <v>10115</v>
      </c>
      <c r="C49" s="51">
        <f t="shared" ca="1" si="2"/>
        <v>9664</v>
      </c>
      <c r="D49" s="52">
        <f t="shared" ca="1" si="3"/>
        <v>9664</v>
      </c>
      <c r="E49" s="55"/>
      <c r="F49" s="14">
        <v>47</v>
      </c>
      <c r="G49" s="36">
        <v>7001</v>
      </c>
      <c r="H49" s="36">
        <v>6526</v>
      </c>
      <c r="I49" s="36">
        <v>7472</v>
      </c>
      <c r="L49" s="41">
        <f t="shared" ca="1" si="1"/>
        <v>0.51219626815696795</v>
      </c>
      <c r="M49" s="44">
        <v>42</v>
      </c>
      <c r="N49" s="44">
        <v>47</v>
      </c>
      <c r="O49" s="44">
        <f t="shared" ca="1" si="4"/>
        <v>695</v>
      </c>
      <c r="P49" s="53">
        <f t="shared" ca="1" si="5"/>
        <v>13.905682889765352</v>
      </c>
      <c r="Q49" s="41">
        <f t="shared" ca="1" si="6"/>
        <v>9664</v>
      </c>
      <c r="R49" s="41"/>
      <c r="S49" s="48"/>
      <c r="T49" s="41"/>
      <c r="U49" s="41"/>
    </row>
    <row r="50" spans="1:21" ht="15" x14ac:dyDescent="0.25">
      <c r="A50" s="49">
        <v>48</v>
      </c>
      <c r="B50" s="50">
        <f t="shared" ca="1" si="0"/>
        <v>6192</v>
      </c>
      <c r="C50" s="51">
        <f t="shared" ca="1" si="2"/>
        <v>9744</v>
      </c>
      <c r="D50" s="52">
        <f t="shared" ca="1" si="3"/>
        <v>9922</v>
      </c>
      <c r="E50" s="55"/>
      <c r="F50" s="14">
        <v>48</v>
      </c>
      <c r="G50" s="36">
        <v>9499</v>
      </c>
      <c r="H50" s="36">
        <v>6532</v>
      </c>
      <c r="I50" s="36">
        <v>7242</v>
      </c>
      <c r="L50" s="41">
        <f t="shared" ca="1" si="1"/>
        <v>0.790425978438697</v>
      </c>
      <c r="M50" s="44">
        <v>43</v>
      </c>
      <c r="N50" s="44">
        <v>48</v>
      </c>
      <c r="O50" s="44">
        <f t="shared" ca="1" si="4"/>
        <v>707</v>
      </c>
      <c r="P50" s="53">
        <f t="shared" ca="1" si="5"/>
        <v>14.03459991518227</v>
      </c>
      <c r="Q50" s="41">
        <f t="shared" ca="1" si="6"/>
        <v>9922</v>
      </c>
      <c r="R50" s="41"/>
      <c r="S50" s="48"/>
      <c r="T50" s="41"/>
      <c r="U50" s="41"/>
    </row>
    <row r="51" spans="1:21" ht="15" x14ac:dyDescent="0.25">
      <c r="A51" s="49">
        <v>49</v>
      </c>
      <c r="B51" s="50">
        <f t="shared" ca="1" si="0"/>
        <v>4148</v>
      </c>
      <c r="C51" s="51">
        <f t="shared" ca="1" si="2"/>
        <v>10546</v>
      </c>
      <c r="D51" s="52">
        <f t="shared" ca="1" si="3"/>
        <v>10809</v>
      </c>
      <c r="E51" s="55"/>
      <c r="F51" s="14">
        <v>49</v>
      </c>
      <c r="G51" s="36">
        <v>2078</v>
      </c>
      <c r="H51" s="36">
        <v>7226</v>
      </c>
      <c r="I51" s="36">
        <v>7583</v>
      </c>
      <c r="L51" s="41">
        <f t="shared" ca="1" si="1"/>
        <v>0.86612975773409473</v>
      </c>
      <c r="M51" s="44">
        <v>50</v>
      </c>
      <c r="N51" s="44">
        <v>49</v>
      </c>
      <c r="O51" s="44">
        <f t="shared" ca="1" si="4"/>
        <v>719</v>
      </c>
      <c r="P51" s="53">
        <f t="shared" ca="1" si="5"/>
        <v>15.033362342537735</v>
      </c>
      <c r="Q51" s="41">
        <f t="shared" ca="1" si="6"/>
        <v>10809</v>
      </c>
      <c r="R51" s="41"/>
      <c r="S51" s="48"/>
      <c r="T51" s="41"/>
      <c r="U51" s="41"/>
    </row>
    <row r="52" spans="1:21" ht="15" x14ac:dyDescent="0.25">
      <c r="A52" s="49">
        <v>50</v>
      </c>
      <c r="B52" s="50">
        <f t="shared" ca="1" si="0"/>
        <v>1699</v>
      </c>
      <c r="C52" s="51">
        <f t="shared" ca="1" si="2"/>
        <v>10343</v>
      </c>
      <c r="D52" s="52">
        <f t="shared" ca="1" si="3"/>
        <v>12928</v>
      </c>
      <c r="E52" s="55"/>
      <c r="F52" s="14">
        <v>50</v>
      </c>
      <c r="G52" s="36">
        <v>4336</v>
      </c>
      <c r="H52" s="36">
        <v>7172</v>
      </c>
      <c r="I52" s="36">
        <v>9442</v>
      </c>
      <c r="L52" s="41">
        <f t="shared" ca="1" si="1"/>
        <v>0.99093412673303949</v>
      </c>
      <c r="M52" s="44">
        <v>49</v>
      </c>
      <c r="N52" s="44">
        <v>50</v>
      </c>
      <c r="O52" s="44">
        <f t="shared" ca="1" si="4"/>
        <v>731</v>
      </c>
      <c r="P52" s="53">
        <f t="shared" ca="1" si="5"/>
        <v>17.686013490044044</v>
      </c>
      <c r="Q52" s="41">
        <f t="shared" ca="1" si="6"/>
        <v>12928</v>
      </c>
      <c r="R52" s="41"/>
      <c r="S52" s="48"/>
      <c r="T52" s="41"/>
      <c r="U52" s="41"/>
    </row>
    <row r="53" spans="1:21" ht="15" x14ac:dyDescent="0.25">
      <c r="A53" s="49">
        <v>51</v>
      </c>
      <c r="B53" s="50">
        <f t="shared" ca="1" si="0"/>
        <v>7316</v>
      </c>
      <c r="C53" s="51">
        <f t="shared" ca="1" si="2"/>
        <v>10777</v>
      </c>
      <c r="D53" s="52">
        <f t="shared" ca="1" si="3"/>
        <v>9081</v>
      </c>
      <c r="E53" s="55"/>
      <c r="F53" s="14">
        <v>51</v>
      </c>
      <c r="G53" s="36">
        <v>2528</v>
      </c>
      <c r="H53" s="36">
        <v>7242</v>
      </c>
      <c r="I53" s="36">
        <v>6983</v>
      </c>
      <c r="L53" s="41">
        <f t="shared" ca="1" si="1"/>
        <v>0.6774450115766788</v>
      </c>
      <c r="M53" s="44">
        <v>51</v>
      </c>
      <c r="N53" s="44">
        <v>51</v>
      </c>
      <c r="O53" s="44">
        <f t="shared" ca="1" si="4"/>
        <v>743</v>
      </c>
      <c r="P53" s="53">
        <f t="shared" ca="1" si="5"/>
        <v>12.221778310408595</v>
      </c>
      <c r="Q53" s="41">
        <f t="shared" ca="1" si="6"/>
        <v>9081</v>
      </c>
      <c r="R53" s="41"/>
      <c r="S53" s="48"/>
      <c r="T53" s="41"/>
      <c r="U53" s="41"/>
    </row>
    <row r="54" spans="1:21" ht="15" x14ac:dyDescent="0.25">
      <c r="A54" s="49">
        <v>52</v>
      </c>
      <c r="B54" s="50">
        <f t="shared" ca="1" si="0"/>
        <v>3142</v>
      </c>
      <c r="C54" s="51">
        <f t="shared" ca="1" si="2"/>
        <v>11506</v>
      </c>
      <c r="D54" s="52">
        <f t="shared" ca="1" si="3"/>
        <v>10546</v>
      </c>
      <c r="E54" s="55"/>
      <c r="F54" s="14">
        <v>52</v>
      </c>
      <c r="G54" s="36">
        <v>5761</v>
      </c>
      <c r="H54" s="36">
        <v>7583</v>
      </c>
      <c r="I54" s="36">
        <v>6894</v>
      </c>
      <c r="L54" s="41">
        <f t="shared" ca="1" si="1"/>
        <v>0.88653721438623856</v>
      </c>
      <c r="M54" s="44">
        <v>54</v>
      </c>
      <c r="N54" s="44">
        <v>52</v>
      </c>
      <c r="O54" s="44">
        <f t="shared" ca="1" si="4"/>
        <v>755</v>
      </c>
      <c r="P54" s="53">
        <f t="shared" ca="1" si="5"/>
        <v>13.968821977377061</v>
      </c>
      <c r="Q54" s="41">
        <f t="shared" ca="1" si="6"/>
        <v>10546</v>
      </c>
      <c r="R54" s="41"/>
      <c r="S54" s="48"/>
      <c r="T54" s="41"/>
      <c r="U54" s="41"/>
    </row>
    <row r="55" spans="1:21" ht="15" x14ac:dyDescent="0.25">
      <c r="A55" s="49">
        <v>53</v>
      </c>
      <c r="B55" s="50">
        <f t="shared" ca="1" si="0"/>
        <v>10025</v>
      </c>
      <c r="C55" s="51">
        <f t="shared" ca="1" si="2"/>
        <v>11448</v>
      </c>
      <c r="D55" s="52">
        <f t="shared" ca="1" si="3"/>
        <v>11448</v>
      </c>
      <c r="E55" s="55"/>
      <c r="F55" s="14">
        <v>53</v>
      </c>
      <c r="G55" s="36">
        <v>8721</v>
      </c>
      <c r="H55" s="36">
        <v>7538</v>
      </c>
      <c r="I55" s="36">
        <v>7001</v>
      </c>
      <c r="L55" s="41">
        <f t="shared" ca="1" si="1"/>
        <v>0.59581374527458175</v>
      </c>
      <c r="M55" s="44">
        <v>53</v>
      </c>
      <c r="N55" s="44">
        <v>53</v>
      </c>
      <c r="O55" s="44">
        <f t="shared" ca="1" si="4"/>
        <v>767</v>
      </c>
      <c r="P55" s="53">
        <f t="shared" ca="1" si="5"/>
        <v>14.925187392927155</v>
      </c>
      <c r="Q55" s="41">
        <f t="shared" ca="1" si="6"/>
        <v>11448</v>
      </c>
      <c r="R55" s="41"/>
      <c r="S55" s="41"/>
      <c r="T55" s="41"/>
      <c r="U55" s="41"/>
    </row>
    <row r="56" spans="1:21" ht="15" x14ac:dyDescent="0.25">
      <c r="A56" s="49">
        <v>54</v>
      </c>
      <c r="B56" s="50">
        <f t="shared" ca="1" si="0"/>
        <v>12949</v>
      </c>
      <c r="C56" s="51">
        <f t="shared" ca="1" si="2"/>
        <v>10809</v>
      </c>
      <c r="D56" s="52">
        <f t="shared" ca="1" si="3"/>
        <v>13328</v>
      </c>
      <c r="E56" s="55"/>
      <c r="F56" s="14">
        <v>54</v>
      </c>
      <c r="G56" s="36">
        <v>5561</v>
      </c>
      <c r="H56" s="36">
        <v>7472</v>
      </c>
      <c r="I56" s="36">
        <v>9135</v>
      </c>
      <c r="L56" s="41">
        <f t="shared" ca="1" si="1"/>
        <v>0.21733032795972029</v>
      </c>
      <c r="M56" s="44">
        <v>52</v>
      </c>
      <c r="N56" s="44">
        <v>54</v>
      </c>
      <c r="O56" s="44">
        <f t="shared" ca="1" si="4"/>
        <v>779</v>
      </c>
      <c r="P56" s="53">
        <f t="shared" ca="1" si="5"/>
        <v>17.108606935099338</v>
      </c>
      <c r="Q56" s="41">
        <f t="shared" ca="1" si="6"/>
        <v>13328</v>
      </c>
      <c r="R56" s="41"/>
      <c r="S56" s="41"/>
      <c r="T56" s="41"/>
      <c r="U56" s="41"/>
    </row>
    <row r="57" spans="1:21" ht="15" x14ac:dyDescent="0.25">
      <c r="A57" s="49">
        <v>55</v>
      </c>
      <c r="B57" s="50">
        <f t="shared" ca="1" si="0"/>
        <v>9952</v>
      </c>
      <c r="C57" s="51">
        <f t="shared" ca="1" si="2"/>
        <v>11737</v>
      </c>
      <c r="D57" s="52">
        <f t="shared" ca="1" si="3"/>
        <v>13277</v>
      </c>
      <c r="E57" s="55"/>
      <c r="F57" s="14">
        <v>55</v>
      </c>
      <c r="G57" s="36">
        <v>3935</v>
      </c>
      <c r="H57" s="36">
        <v>7787</v>
      </c>
      <c r="I57" s="36">
        <v>9895</v>
      </c>
      <c r="L57" s="41">
        <f t="shared" ca="1" si="1"/>
        <v>0.56142010565129408</v>
      </c>
      <c r="M57" s="44">
        <v>55</v>
      </c>
      <c r="N57" s="44">
        <v>55</v>
      </c>
      <c r="O57" s="44">
        <f t="shared" ca="1" si="4"/>
        <v>791</v>
      </c>
      <c r="P57" s="53">
        <f t="shared" ca="1" si="5"/>
        <v>16.785181770607405</v>
      </c>
      <c r="Q57" s="41">
        <f t="shared" ca="1" si="6"/>
        <v>13277</v>
      </c>
      <c r="R57" s="41"/>
      <c r="S57" s="41"/>
      <c r="T57" s="41"/>
      <c r="U57" s="41"/>
    </row>
    <row r="58" spans="1:21" ht="15" x14ac:dyDescent="0.25">
      <c r="A58" s="49">
        <v>56</v>
      </c>
      <c r="B58" s="50">
        <f t="shared" ca="1" si="0"/>
        <v>15517</v>
      </c>
      <c r="C58" s="51">
        <f t="shared" ca="1" si="2"/>
        <v>12007</v>
      </c>
      <c r="D58" s="52">
        <f t="shared" ca="1" si="3"/>
        <v>12007</v>
      </c>
      <c r="E58" s="55"/>
      <c r="F58" s="14">
        <v>56</v>
      </c>
      <c r="G58" s="36">
        <v>3019</v>
      </c>
      <c r="H58" s="36">
        <v>8593</v>
      </c>
      <c r="I58" s="36">
        <v>5761</v>
      </c>
      <c r="L58" s="41">
        <f t="shared" ca="1" si="1"/>
        <v>0.14772237500381424</v>
      </c>
      <c r="M58" s="44">
        <v>56</v>
      </c>
      <c r="N58" s="44">
        <v>56</v>
      </c>
      <c r="O58" s="44">
        <f t="shared" ca="1" si="4"/>
        <v>803</v>
      </c>
      <c r="P58" s="53">
        <f t="shared" ca="1" si="5"/>
        <v>14.953299628231534</v>
      </c>
      <c r="Q58" s="41">
        <f t="shared" ca="1" si="6"/>
        <v>12007</v>
      </c>
      <c r="R58" s="41"/>
      <c r="S58" s="41"/>
      <c r="T58" s="41"/>
      <c r="U58" s="41"/>
    </row>
    <row r="59" spans="1:21" ht="15" x14ac:dyDescent="0.25">
      <c r="A59" s="49">
        <v>57</v>
      </c>
      <c r="B59" s="50">
        <f t="shared" ca="1" si="0"/>
        <v>16466</v>
      </c>
      <c r="C59" s="51">
        <f t="shared" ca="1" si="2"/>
        <v>12468</v>
      </c>
      <c r="D59" s="52">
        <f t="shared" ca="1" si="3"/>
        <v>11737</v>
      </c>
      <c r="E59" s="55"/>
      <c r="F59" s="14">
        <v>57</v>
      </c>
      <c r="G59" s="36">
        <v>5801</v>
      </c>
      <c r="H59" s="36">
        <v>8720</v>
      </c>
      <c r="I59" s="36">
        <v>6754</v>
      </c>
      <c r="L59" s="41">
        <f t="shared" ca="1" si="1"/>
        <v>0.10595508550515587</v>
      </c>
      <c r="M59" s="44">
        <v>58</v>
      </c>
      <c r="N59" s="44">
        <v>57</v>
      </c>
      <c r="O59" s="44">
        <f t="shared" ca="1" si="4"/>
        <v>815</v>
      </c>
      <c r="P59" s="53">
        <f t="shared" ca="1" si="5"/>
        <v>14.401242736001288</v>
      </c>
      <c r="Q59" s="41">
        <f t="shared" ca="1" si="6"/>
        <v>11737</v>
      </c>
      <c r="R59" s="41"/>
      <c r="S59" s="41"/>
      <c r="T59" s="41"/>
      <c r="U59" s="41"/>
    </row>
    <row r="60" spans="1:21" ht="15" x14ac:dyDescent="0.25">
      <c r="A60" s="49">
        <v>58</v>
      </c>
      <c r="B60" s="50">
        <f t="shared" ca="1" si="0"/>
        <v>13798</v>
      </c>
      <c r="C60" s="51">
        <f t="shared" ca="1" si="2"/>
        <v>13054</v>
      </c>
      <c r="D60" s="52">
        <f t="shared" ca="1" si="3"/>
        <v>12468</v>
      </c>
      <c r="E60" s="55"/>
      <c r="F60" s="14">
        <v>58</v>
      </c>
      <c r="G60" s="36">
        <v>3099</v>
      </c>
      <c r="H60" s="36">
        <v>9099</v>
      </c>
      <c r="I60" s="36">
        <v>7787</v>
      </c>
      <c r="L60" s="41">
        <f t="shared" ca="1" si="1"/>
        <v>0.12021423118710306</v>
      </c>
      <c r="M60" s="44">
        <v>62</v>
      </c>
      <c r="N60" s="44">
        <v>58</v>
      </c>
      <c r="O60" s="44">
        <f t="shared" ca="1" si="4"/>
        <v>827</v>
      </c>
      <c r="P60" s="53">
        <f t="shared" ca="1" si="5"/>
        <v>15.076508443680767</v>
      </c>
      <c r="Q60" s="41">
        <f t="shared" ca="1" si="6"/>
        <v>12468</v>
      </c>
      <c r="R60" s="41"/>
      <c r="S60" s="41"/>
      <c r="T60" s="41"/>
      <c r="U60" s="41"/>
    </row>
    <row r="61" spans="1:21" ht="15" x14ac:dyDescent="0.25">
      <c r="A61" s="49">
        <v>59</v>
      </c>
      <c r="B61" s="50">
        <f t="shared" ca="1" si="0"/>
        <v>6120</v>
      </c>
      <c r="C61" s="51">
        <f t="shared" ca="1" si="2"/>
        <v>12171</v>
      </c>
      <c r="D61" s="52">
        <f t="shared" ca="1" si="3"/>
        <v>12949</v>
      </c>
      <c r="E61" s="55"/>
      <c r="F61" s="14">
        <v>59</v>
      </c>
      <c r="G61" s="36">
        <v>4861</v>
      </c>
      <c r="H61" s="36">
        <v>8705</v>
      </c>
      <c r="I61" s="36">
        <v>10108</v>
      </c>
      <c r="L61" s="41">
        <f t="shared" ca="1" si="1"/>
        <v>0.79055517207705839</v>
      </c>
      <c r="M61" s="44">
        <v>57</v>
      </c>
      <c r="N61" s="44">
        <v>59</v>
      </c>
      <c r="O61" s="44">
        <f t="shared" ca="1" si="4"/>
        <v>839</v>
      </c>
      <c r="P61" s="53">
        <f t="shared" ca="1" si="5"/>
        <v>15.434263189946359</v>
      </c>
      <c r="Q61" s="41">
        <f t="shared" ca="1" si="6"/>
        <v>12949</v>
      </c>
      <c r="R61" s="41"/>
      <c r="S61" s="41"/>
      <c r="T61" s="41"/>
      <c r="U61" s="41"/>
    </row>
    <row r="62" spans="1:21" ht="15" x14ac:dyDescent="0.25">
      <c r="A62" s="49">
        <v>60</v>
      </c>
      <c r="B62" s="50">
        <f t="shared" ca="1" si="0"/>
        <v>5730</v>
      </c>
      <c r="C62" s="51">
        <f t="shared" ca="1" si="2"/>
        <v>12698</v>
      </c>
      <c r="D62" s="52">
        <f t="shared" ca="1" si="3"/>
        <v>14526</v>
      </c>
      <c r="E62" s="55"/>
      <c r="F62" s="14">
        <v>60</v>
      </c>
      <c r="G62" s="36">
        <v>7538</v>
      </c>
      <c r="H62" s="36">
        <v>8721</v>
      </c>
      <c r="I62" s="36">
        <v>8783</v>
      </c>
      <c r="L62" s="41">
        <f t="shared" ca="1" si="1"/>
        <v>0.73874568500337778</v>
      </c>
      <c r="M62" s="44">
        <v>59</v>
      </c>
      <c r="N62" s="44">
        <v>60</v>
      </c>
      <c r="O62" s="44">
        <f t="shared" ca="1" si="4"/>
        <v>851</v>
      </c>
      <c r="P62" s="53">
        <f t="shared" ca="1" si="5"/>
        <v>17.069862256367056</v>
      </c>
      <c r="Q62" s="41">
        <f t="shared" ca="1" si="6"/>
        <v>14526</v>
      </c>
      <c r="R62" s="41"/>
      <c r="S62" s="41"/>
      <c r="T62" s="41"/>
      <c r="U62" s="41"/>
    </row>
    <row r="63" spans="1:21" ht="15" x14ac:dyDescent="0.25">
      <c r="A63" s="49">
        <v>61</v>
      </c>
      <c r="B63" s="50">
        <f t="shared" ca="1" si="0"/>
        <v>5977</v>
      </c>
      <c r="C63" s="51">
        <f t="shared" ca="1" si="2"/>
        <v>12928</v>
      </c>
      <c r="D63" s="52">
        <f t="shared" ca="1" si="3"/>
        <v>10343</v>
      </c>
      <c r="E63" s="55"/>
      <c r="F63" s="14">
        <v>61</v>
      </c>
      <c r="G63" s="36">
        <v>7583</v>
      </c>
      <c r="H63" s="36">
        <v>8751</v>
      </c>
      <c r="I63" s="36">
        <v>8705</v>
      </c>
      <c r="L63" s="41">
        <f t="shared" ca="1" si="1"/>
        <v>0.74510417938199636</v>
      </c>
      <c r="M63" s="44">
        <v>60</v>
      </c>
      <c r="N63" s="44">
        <v>61</v>
      </c>
      <c r="O63" s="44">
        <f t="shared" ca="1" si="4"/>
        <v>863</v>
      </c>
      <c r="P63" s="53">
        <f t="shared" ca="1" si="5"/>
        <v>11.98532194119629</v>
      </c>
      <c r="Q63" s="41">
        <f t="shared" ca="1" si="6"/>
        <v>10343</v>
      </c>
      <c r="R63" s="41"/>
      <c r="S63" s="41"/>
      <c r="T63" s="41"/>
      <c r="U63" s="41"/>
    </row>
    <row r="64" spans="1:21" ht="15" x14ac:dyDescent="0.25">
      <c r="A64" s="49">
        <v>62</v>
      </c>
      <c r="B64" s="50">
        <f t="shared" ca="1" si="0"/>
        <v>13328</v>
      </c>
      <c r="C64" s="51">
        <f t="shared" ca="1" si="2"/>
        <v>12949</v>
      </c>
      <c r="D64" s="52">
        <f t="shared" ca="1" si="3"/>
        <v>10777</v>
      </c>
      <c r="E64" s="55"/>
      <c r="F64" s="14">
        <v>62</v>
      </c>
      <c r="G64" s="36">
        <v>3779</v>
      </c>
      <c r="H64" s="36">
        <v>8783</v>
      </c>
      <c r="I64" s="36">
        <v>8721</v>
      </c>
      <c r="L64" s="41">
        <f t="shared" ca="1" si="1"/>
        <v>0.29477240060059529</v>
      </c>
      <c r="M64" s="44">
        <v>61</v>
      </c>
      <c r="N64" s="44">
        <v>62</v>
      </c>
      <c r="O64" s="44">
        <f t="shared" ca="1" si="4"/>
        <v>875</v>
      </c>
      <c r="P64" s="53">
        <f t="shared" ca="1" si="5"/>
        <v>12.316542665788194</v>
      </c>
      <c r="Q64" s="41">
        <f t="shared" ca="1" si="6"/>
        <v>10777</v>
      </c>
      <c r="R64" s="41"/>
      <c r="S64" s="41"/>
      <c r="T64" s="41"/>
      <c r="U64" s="41"/>
    </row>
    <row r="65" spans="1:22" ht="15" x14ac:dyDescent="0.25">
      <c r="A65" s="49">
        <v>63</v>
      </c>
      <c r="B65" s="50">
        <f t="shared" ca="1" si="0"/>
        <v>4366</v>
      </c>
      <c r="C65" s="51">
        <f t="shared" ca="1" si="2"/>
        <v>13328</v>
      </c>
      <c r="D65" s="52">
        <f t="shared" ca="1" si="3"/>
        <v>13618</v>
      </c>
      <c r="E65" s="55"/>
      <c r="F65" s="14">
        <v>63</v>
      </c>
      <c r="G65" s="36">
        <v>4523</v>
      </c>
      <c r="H65" s="36">
        <v>9442</v>
      </c>
      <c r="I65" s="36">
        <v>8593</v>
      </c>
      <c r="L65" s="41">
        <f t="shared" ca="1" si="1"/>
        <v>0.75600039540081787</v>
      </c>
      <c r="M65" s="44">
        <v>64</v>
      </c>
      <c r="N65" s="44">
        <v>63</v>
      </c>
      <c r="O65" s="44">
        <f t="shared" ca="1" si="4"/>
        <v>887</v>
      </c>
      <c r="P65" s="53">
        <f t="shared" ca="1" si="5"/>
        <v>15.352649857739955</v>
      </c>
      <c r="Q65" s="41">
        <f t="shared" ca="1" si="6"/>
        <v>13618</v>
      </c>
      <c r="R65" s="41"/>
      <c r="S65" s="41"/>
      <c r="T65" s="41"/>
      <c r="U65" s="41"/>
    </row>
    <row r="66" spans="1:22" ht="15" x14ac:dyDescent="0.25">
      <c r="A66" s="49">
        <v>64</v>
      </c>
      <c r="B66" s="50">
        <f t="shared" ca="1" si="0"/>
        <v>12171</v>
      </c>
      <c r="C66" s="51">
        <f t="shared" ca="1" si="2"/>
        <v>13277</v>
      </c>
      <c r="D66" s="52">
        <f t="shared" ca="1" si="3"/>
        <v>13975</v>
      </c>
      <c r="E66" s="55"/>
      <c r="F66" s="14">
        <v>64</v>
      </c>
      <c r="G66" s="36">
        <v>5475</v>
      </c>
      <c r="H66" s="36">
        <v>9135</v>
      </c>
      <c r="I66" s="36">
        <v>9499</v>
      </c>
      <c r="L66" s="41">
        <f t="shared" ca="1" si="1"/>
        <v>0.42285786709206374</v>
      </c>
      <c r="M66" s="44">
        <v>63</v>
      </c>
      <c r="N66" s="44">
        <v>64</v>
      </c>
      <c r="O66" s="44">
        <f t="shared" ca="1" si="4"/>
        <v>899</v>
      </c>
      <c r="P66" s="53">
        <f t="shared" ca="1" si="5"/>
        <v>15.545165752050925</v>
      </c>
      <c r="Q66" s="41">
        <f t="shared" ca="1" si="6"/>
        <v>13975</v>
      </c>
      <c r="R66" s="41"/>
      <c r="S66" s="41"/>
      <c r="T66" s="41"/>
      <c r="U66" s="41"/>
    </row>
    <row r="67" spans="1:22" ht="15" x14ac:dyDescent="0.25">
      <c r="A67" s="49">
        <v>65</v>
      </c>
      <c r="B67" s="50">
        <f t="shared" ref="B67:B77" ca="1" si="7">INDEX($Q$3:$Q$77,RANK(L67,$L$3:$L$77))</f>
        <v>9922</v>
      </c>
      <c r="C67" s="51">
        <f t="shared" ca="1" si="2"/>
        <v>13975</v>
      </c>
      <c r="D67" s="52">
        <f t="shared" ca="1" si="3"/>
        <v>15517</v>
      </c>
      <c r="E67" s="55"/>
      <c r="F67" s="14">
        <v>65</v>
      </c>
      <c r="G67" s="36">
        <v>1909</v>
      </c>
      <c r="H67" s="36">
        <v>9895</v>
      </c>
      <c r="I67" s="36">
        <v>10367</v>
      </c>
      <c r="L67" s="41">
        <f t="shared" ref="L67:L77" ca="1" si="8">RAND()</f>
        <v>0.38741769758081479</v>
      </c>
      <c r="M67" s="44">
        <v>68</v>
      </c>
      <c r="N67" s="44">
        <v>65</v>
      </c>
      <c r="O67" s="44">
        <f t="shared" ca="1" si="4"/>
        <v>911</v>
      </c>
      <c r="P67" s="53">
        <f t="shared" ca="1" si="5"/>
        <v>17.032545320685941</v>
      </c>
      <c r="Q67" s="41">
        <f t="shared" ca="1" si="6"/>
        <v>15517</v>
      </c>
      <c r="R67" s="41"/>
      <c r="S67" s="41"/>
      <c r="T67" s="41"/>
      <c r="U67" s="41"/>
    </row>
    <row r="68" spans="1:22" ht="15" x14ac:dyDescent="0.25">
      <c r="A68" s="49">
        <v>66</v>
      </c>
      <c r="B68" s="50">
        <f t="shared" ca="1" si="7"/>
        <v>10809</v>
      </c>
      <c r="C68" s="51">
        <f t="shared" ref="C68:C77" ca="1" si="9">SMALL($Q$3:$Q$77,M68)</f>
        <v>13618</v>
      </c>
      <c r="D68" s="52">
        <f t="shared" ref="D68:D77" ca="1" si="10">Q68</f>
        <v>11506</v>
      </c>
      <c r="E68" s="55"/>
      <c r="F68" s="14">
        <v>66</v>
      </c>
      <c r="G68" s="36">
        <v>10108</v>
      </c>
      <c r="H68" s="36">
        <v>9652</v>
      </c>
      <c r="I68" s="36">
        <v>8720</v>
      </c>
      <c r="L68" s="41">
        <f t="shared" ca="1" si="8"/>
        <v>0.36595865430070218</v>
      </c>
      <c r="M68" s="44">
        <v>66</v>
      </c>
      <c r="N68" s="44">
        <v>66</v>
      </c>
      <c r="O68" s="44">
        <f t="shared" ref="O68:O77" ca="1" si="11">INT($R$1+$S$1*N68)</f>
        <v>923</v>
      </c>
      <c r="P68" s="53">
        <f t="shared" ref="P68:P77" ca="1" si="12">(((IF(MOD(N68,5)&lt;&gt;0,MOD(N68,5),5))+12)+_xlfn.NORM.S.INV(RAND()))</f>
        <v>12.466185463399079</v>
      </c>
      <c r="Q68" s="41">
        <f t="shared" ref="Q68:Q76" ca="1" si="13">ROUND(O68*P68,0)</f>
        <v>11506</v>
      </c>
      <c r="R68" s="41"/>
      <c r="S68" s="41"/>
      <c r="T68" s="41"/>
      <c r="U68" s="41"/>
    </row>
    <row r="69" spans="1:22" ht="15" x14ac:dyDescent="0.25">
      <c r="A69" s="49">
        <v>67</v>
      </c>
      <c r="B69" s="50">
        <f t="shared" ca="1" si="7"/>
        <v>14526</v>
      </c>
      <c r="C69" s="51">
        <f t="shared" ca="1" si="9"/>
        <v>13798</v>
      </c>
      <c r="D69" s="52">
        <f t="shared" ca="1" si="10"/>
        <v>12698</v>
      </c>
      <c r="E69" s="55"/>
      <c r="F69" s="14">
        <v>67</v>
      </c>
      <c r="G69" s="36">
        <v>4492</v>
      </c>
      <c r="H69" s="36">
        <v>9678</v>
      </c>
      <c r="I69" s="36">
        <v>9099</v>
      </c>
      <c r="L69" s="41">
        <f t="shared" ca="1" si="8"/>
        <v>0.20532310712982238</v>
      </c>
      <c r="M69" s="44">
        <v>67</v>
      </c>
      <c r="N69" s="44">
        <v>67</v>
      </c>
      <c r="O69" s="44">
        <f t="shared" ca="1" si="11"/>
        <v>935</v>
      </c>
      <c r="P69" s="53">
        <f t="shared" ca="1" si="12"/>
        <v>13.580328945718684</v>
      </c>
      <c r="Q69" s="41">
        <f t="shared" ca="1" si="13"/>
        <v>12698</v>
      </c>
      <c r="R69" s="41"/>
      <c r="S69" s="41"/>
      <c r="T69" s="41"/>
      <c r="U69" s="41"/>
    </row>
    <row r="70" spans="1:22" ht="15" x14ac:dyDescent="0.25">
      <c r="A70" s="49">
        <v>68</v>
      </c>
      <c r="B70" s="50">
        <f t="shared" ca="1" si="7"/>
        <v>6978</v>
      </c>
      <c r="C70" s="51">
        <f t="shared" ca="1" si="9"/>
        <v>13474</v>
      </c>
      <c r="D70" s="52">
        <f t="shared" ca="1" si="10"/>
        <v>13798</v>
      </c>
      <c r="E70" s="55"/>
      <c r="F70" s="14">
        <v>68</v>
      </c>
      <c r="G70" s="36">
        <v>8705</v>
      </c>
      <c r="H70" s="36">
        <v>9499</v>
      </c>
      <c r="I70" s="36">
        <v>9652</v>
      </c>
      <c r="L70" s="41">
        <f t="shared" ca="1" si="8"/>
        <v>0.63860424402979854</v>
      </c>
      <c r="M70" s="44">
        <v>65</v>
      </c>
      <c r="N70" s="44">
        <v>68</v>
      </c>
      <c r="O70" s="44">
        <f t="shared" ca="1" si="11"/>
        <v>947</v>
      </c>
      <c r="P70" s="53">
        <f t="shared" ca="1" si="12"/>
        <v>14.570703380679841</v>
      </c>
      <c r="Q70" s="41">
        <f t="shared" ca="1" si="13"/>
        <v>13798</v>
      </c>
      <c r="R70" s="41"/>
      <c r="S70" s="41"/>
      <c r="T70" s="41"/>
      <c r="U70" s="41"/>
    </row>
    <row r="71" spans="1:22" ht="15" x14ac:dyDescent="0.25">
      <c r="A71" s="49">
        <v>69</v>
      </c>
      <c r="B71" s="50">
        <f t="shared" ca="1" si="7"/>
        <v>13474</v>
      </c>
      <c r="C71" s="51">
        <f t="shared" ca="1" si="9"/>
        <v>14526</v>
      </c>
      <c r="D71" s="52">
        <f t="shared" ca="1" si="10"/>
        <v>16298</v>
      </c>
      <c r="E71" s="55"/>
      <c r="F71" s="14">
        <v>69</v>
      </c>
      <c r="G71" s="36">
        <v>5192</v>
      </c>
      <c r="H71" s="36">
        <v>10108</v>
      </c>
      <c r="I71" s="36">
        <v>10359</v>
      </c>
      <c r="L71" s="41">
        <f t="shared" ca="1" si="8"/>
        <v>0.10012445100612799</v>
      </c>
      <c r="M71" s="44">
        <v>69</v>
      </c>
      <c r="N71" s="44">
        <v>69</v>
      </c>
      <c r="O71" s="44">
        <f t="shared" ca="1" si="11"/>
        <v>959</v>
      </c>
      <c r="P71" s="53">
        <f t="shared" ca="1" si="12"/>
        <v>16.995054883838471</v>
      </c>
      <c r="Q71" s="41">
        <f t="shared" ca="1" si="13"/>
        <v>16298</v>
      </c>
      <c r="R71" s="41"/>
      <c r="S71" s="41"/>
      <c r="T71" s="41"/>
      <c r="U71" s="41"/>
    </row>
    <row r="72" spans="1:22" ht="15" x14ac:dyDescent="0.25">
      <c r="A72" s="49">
        <v>70</v>
      </c>
      <c r="B72" s="50">
        <f t="shared" ca="1" si="7"/>
        <v>11737</v>
      </c>
      <c r="C72" s="51">
        <f t="shared" ca="1" si="9"/>
        <v>15517</v>
      </c>
      <c r="D72" s="52">
        <f t="shared" ca="1" si="10"/>
        <v>16466</v>
      </c>
      <c r="E72" s="55"/>
      <c r="F72" s="14">
        <v>70</v>
      </c>
      <c r="G72" s="36">
        <v>3743</v>
      </c>
      <c r="H72" s="36">
        <v>10208</v>
      </c>
      <c r="I72" s="36">
        <v>11930</v>
      </c>
      <c r="L72" s="41">
        <f t="shared" ca="1" si="8"/>
        <v>0.23789246564857069</v>
      </c>
      <c r="M72" s="44">
        <v>70</v>
      </c>
      <c r="N72" s="44">
        <v>70</v>
      </c>
      <c r="O72" s="44">
        <f t="shared" ca="1" si="11"/>
        <v>971</v>
      </c>
      <c r="P72" s="53">
        <f t="shared" ca="1" si="12"/>
        <v>16.958209726800956</v>
      </c>
      <c r="Q72" s="41">
        <f t="shared" ca="1" si="13"/>
        <v>16466</v>
      </c>
      <c r="R72" s="41"/>
      <c r="S72" s="41"/>
      <c r="T72" s="41"/>
      <c r="U72" s="41"/>
    </row>
    <row r="73" spans="1:22" ht="15" x14ac:dyDescent="0.25">
      <c r="A73" s="49">
        <v>71</v>
      </c>
      <c r="B73" s="50">
        <f t="shared" ca="1" si="7"/>
        <v>7113</v>
      </c>
      <c r="C73" s="51">
        <f t="shared" ca="1" si="9"/>
        <v>16298</v>
      </c>
      <c r="D73" s="52">
        <f t="shared" ca="1" si="10"/>
        <v>13474</v>
      </c>
      <c r="E73" s="55"/>
      <c r="F73" s="14">
        <v>71</v>
      </c>
      <c r="G73" s="36">
        <v>10367</v>
      </c>
      <c r="H73" s="36">
        <v>10367</v>
      </c>
      <c r="I73" s="36">
        <v>8751</v>
      </c>
      <c r="L73" s="41">
        <f t="shared" ca="1" si="8"/>
        <v>0.71775853218649643</v>
      </c>
      <c r="M73" s="44">
        <v>72</v>
      </c>
      <c r="N73" s="44">
        <v>71</v>
      </c>
      <c r="O73" s="44">
        <f t="shared" ca="1" si="11"/>
        <v>983</v>
      </c>
      <c r="P73" s="53">
        <f t="shared" ca="1" si="12"/>
        <v>13.706709532457465</v>
      </c>
      <c r="Q73" s="41">
        <f t="shared" ca="1" si="13"/>
        <v>13474</v>
      </c>
      <c r="R73" s="41"/>
      <c r="S73" s="41"/>
      <c r="T73" s="41"/>
      <c r="U73" s="41"/>
    </row>
    <row r="74" spans="1:22" ht="15" x14ac:dyDescent="0.25">
      <c r="A74" s="49">
        <v>72</v>
      </c>
      <c r="B74" s="50">
        <f t="shared" ca="1" si="7"/>
        <v>12698</v>
      </c>
      <c r="C74" s="51">
        <f t="shared" ca="1" si="9"/>
        <v>19333</v>
      </c>
      <c r="D74" s="52">
        <f t="shared" ca="1" si="10"/>
        <v>13054</v>
      </c>
      <c r="E74" s="55"/>
      <c r="F74" s="14">
        <v>72</v>
      </c>
      <c r="G74" s="36">
        <v>4254</v>
      </c>
      <c r="H74" s="36">
        <v>12275</v>
      </c>
      <c r="I74" s="36">
        <v>9678</v>
      </c>
      <c r="L74" s="41">
        <f t="shared" ca="1" si="8"/>
        <v>0.12243529151738175</v>
      </c>
      <c r="M74" s="44">
        <v>75</v>
      </c>
      <c r="N74" s="44">
        <v>72</v>
      </c>
      <c r="O74" s="44">
        <f t="shared" ca="1" si="11"/>
        <v>995</v>
      </c>
      <c r="P74" s="53">
        <f t="shared" ca="1" si="12"/>
        <v>13.119719381853999</v>
      </c>
      <c r="Q74" s="41">
        <f t="shared" ca="1" si="13"/>
        <v>13054</v>
      </c>
      <c r="R74" s="41"/>
      <c r="S74" s="41"/>
      <c r="T74" s="41"/>
      <c r="U74" s="41"/>
    </row>
    <row r="75" spans="1:22" ht="15" x14ac:dyDescent="0.25">
      <c r="A75" s="49">
        <v>73</v>
      </c>
      <c r="B75" s="50">
        <f t="shared" ca="1" si="7"/>
        <v>7600</v>
      </c>
      <c r="C75" s="51">
        <f t="shared" ca="1" si="9"/>
        <v>15759</v>
      </c>
      <c r="D75" s="52">
        <f t="shared" ca="1" si="10"/>
        <v>15759</v>
      </c>
      <c r="E75" s="55"/>
      <c r="F75" s="14">
        <v>73</v>
      </c>
      <c r="G75" s="36">
        <v>6983</v>
      </c>
      <c r="H75" s="36">
        <v>10359</v>
      </c>
      <c r="I75" s="36">
        <v>10208</v>
      </c>
      <c r="L75" s="41">
        <f t="shared" ca="1" si="8"/>
        <v>0.65161693785916697</v>
      </c>
      <c r="M75" s="44">
        <v>71</v>
      </c>
      <c r="N75" s="44">
        <v>73</v>
      </c>
      <c r="O75" s="44">
        <f t="shared" ca="1" si="11"/>
        <v>1007</v>
      </c>
      <c r="P75" s="53">
        <f t="shared" ca="1" si="12"/>
        <v>15.649595974023974</v>
      </c>
      <c r="Q75" s="41">
        <f t="shared" ca="1" si="13"/>
        <v>15759</v>
      </c>
      <c r="R75" s="41"/>
      <c r="S75" s="41"/>
      <c r="T75" s="41"/>
      <c r="U75" s="41"/>
    </row>
    <row r="76" spans="1:22" ht="15" x14ac:dyDescent="0.25">
      <c r="A76" s="49">
        <v>74</v>
      </c>
      <c r="B76" s="50">
        <f t="shared" ca="1" si="7"/>
        <v>2179</v>
      </c>
      <c r="C76" s="51">
        <f t="shared" ca="1" si="9"/>
        <v>16466</v>
      </c>
      <c r="D76" s="52">
        <f t="shared" ca="1" si="10"/>
        <v>16496</v>
      </c>
      <c r="E76" s="55"/>
      <c r="F76" s="14">
        <v>74</v>
      </c>
      <c r="G76" s="36">
        <v>2490</v>
      </c>
      <c r="H76" s="36">
        <v>11930</v>
      </c>
      <c r="I76" s="36">
        <v>12037</v>
      </c>
      <c r="L76" s="41">
        <f t="shared" ca="1" si="8"/>
        <v>0.90191725042301751</v>
      </c>
      <c r="M76" s="44">
        <v>73</v>
      </c>
      <c r="N76" s="44">
        <v>74</v>
      </c>
      <c r="O76" s="44">
        <f t="shared" ca="1" si="11"/>
        <v>1019</v>
      </c>
      <c r="P76" s="53">
        <f t="shared" ca="1" si="12"/>
        <v>16.188000882872402</v>
      </c>
      <c r="Q76" s="41">
        <f t="shared" ca="1" si="13"/>
        <v>16496</v>
      </c>
      <c r="R76" s="41"/>
      <c r="S76" s="41"/>
      <c r="T76" s="41"/>
      <c r="U76" s="41"/>
    </row>
    <row r="77" spans="1:22" ht="15" x14ac:dyDescent="0.25">
      <c r="A77" s="49">
        <v>75</v>
      </c>
      <c r="B77" s="50">
        <f t="shared" ca="1" si="7"/>
        <v>3972</v>
      </c>
      <c r="C77" s="51">
        <f t="shared" ca="1" si="9"/>
        <v>16496</v>
      </c>
      <c r="D77" s="52">
        <f t="shared" ca="1" si="10"/>
        <v>19333</v>
      </c>
      <c r="E77" s="55"/>
      <c r="F77" s="14">
        <v>75</v>
      </c>
      <c r="G77" s="36">
        <v>2452</v>
      </c>
      <c r="H77" s="36">
        <v>12037</v>
      </c>
      <c r="I77" s="36">
        <v>12275</v>
      </c>
      <c r="L77" s="41">
        <f t="shared" ca="1" si="8"/>
        <v>0.88148266976668155</v>
      </c>
      <c r="M77" s="44">
        <v>74</v>
      </c>
      <c r="N77" s="44">
        <v>75</v>
      </c>
      <c r="O77" s="44">
        <f t="shared" ca="1" si="11"/>
        <v>1031</v>
      </c>
      <c r="P77" s="53">
        <f t="shared" ca="1" si="12"/>
        <v>18.75188740443016</v>
      </c>
      <c r="Q77" s="41">
        <f ca="1">ROUND(O77*P77,0)</f>
        <v>19333</v>
      </c>
      <c r="R77" s="41"/>
      <c r="S77" s="41"/>
      <c r="T77" s="41"/>
      <c r="U77" s="41"/>
    </row>
    <row r="78" spans="1:22" ht="15" x14ac:dyDescent="0.25">
      <c r="A78"/>
      <c r="B78"/>
      <c r="C78"/>
      <c r="D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x14ac:dyDescent="0.25">
      <c r="A79"/>
      <c r="B79"/>
      <c r="C79"/>
      <c r="D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x14ac:dyDescent="0.25">
      <c r="A80"/>
      <c r="B80"/>
      <c r="C80"/>
      <c r="D80"/>
      <c r="E80" s="57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x14ac:dyDescent="0.25">
      <c r="A81"/>
      <c r="B81"/>
      <c r="C81"/>
      <c r="D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x14ac:dyDescent="0.25"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x14ac:dyDescent="0.25"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x14ac:dyDescent="0.25"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x14ac:dyDescent="0.25"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5" x14ac:dyDescent="0.25"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" x14ac:dyDescent="0.25"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5" x14ac:dyDescent="0.25"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5" x14ac:dyDescent="0.25"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0.ArdiData</vt:lpstr>
      <vt:lpstr>1.Regression</vt:lpstr>
      <vt:lpstr>1b.Total Cost</vt:lpstr>
      <vt:lpstr>1c.LinearDemand</vt:lpstr>
      <vt:lpstr>BookData</vt:lpstr>
      <vt:lpstr>0.ArdiData&amp;FixedData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2018-02-20T01:59:23Z</dcterms:modified>
</cp:coreProperties>
</file>