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ink/ink1.xml" ContentType="application/inkml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ES-Adv-2020\"/>
    </mc:Choice>
  </mc:AlternateContent>
  <xr:revisionPtr revIDLastSave="0" documentId="13_ncr:1_{1769F40E-E7B3-421E-B18B-BFAAF4B08E1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easIndexStat" sheetId="19" r:id="rId1"/>
    <sheet name="1.Trend&amp;Season" sheetId="17" r:id="rId2"/>
    <sheet name="0.Regression" sheetId="11" r:id="rId3"/>
    <sheet name="TrAdES" sheetId="14" r:id="rId4"/>
    <sheet name="TrAdES2" sheetId="15" r:id="rId5"/>
    <sheet name="Sheet1" sheetId="18" r:id="rId6"/>
  </sheets>
  <externalReferences>
    <externalReference r:id="rId7"/>
    <externalReference r:id="rId8"/>
    <externalReference r:id="rId9"/>
    <externalReference r:id="rId10"/>
  </externalReferences>
  <definedNames>
    <definedName name="solver_adj" localSheetId="2" hidden="1">'0.Regression'!$M$20:$M$21</definedName>
    <definedName name="solver_adj" localSheetId="3" hidden="1">TrAdES!$N$1:$N$2</definedName>
    <definedName name="solver_adj" localSheetId="4" hidden="1">TrAdES2!$P$1:$P$2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2" hidden="1">2</definedName>
    <definedName name="solver_drv" localSheetId="3" hidden="1">1</definedName>
    <definedName name="solver_drv" localSheetId="4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3" hidden="1">TrAdES!$N$1</definedName>
    <definedName name="solver_lhs1" localSheetId="4" hidden="1">TrAdES2!$P$1</definedName>
    <definedName name="solver_lhs2" localSheetId="3" hidden="1">TrAdES!$N$1</definedName>
    <definedName name="solver_lhs2" localSheetId="4" hidden="1">TrAdES2!$P$1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2" hidden="1">'0.Regression'!$M$22</definedName>
    <definedName name="solver_opt" localSheetId="3" hidden="1">TrAdES!$M$5</definedName>
    <definedName name="solver_opt" localSheetId="4" hidden="1">TrAdES2!$O$4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2" hidden="1">2</definedName>
    <definedName name="solver_rbv" localSheetId="3" hidden="1">1</definedName>
    <definedName name="solver_rbv" localSheetId="4" hidden="1">1</definedName>
    <definedName name="solver_rel1" localSheetId="3" hidden="1">1</definedName>
    <definedName name="solver_rel1" localSheetId="4" hidden="1">1</definedName>
    <definedName name="solver_rel2" localSheetId="3" hidden="1">3</definedName>
    <definedName name="solver_rel2" localSheetId="4" hidden="1">3</definedName>
    <definedName name="solver_rhs1" localSheetId="3" hidden="1">1</definedName>
    <definedName name="solver_rhs1" localSheetId="4" hidden="1">1</definedName>
    <definedName name="solver_rhs2" localSheetId="3" hidden="1">0</definedName>
    <definedName name="solver_rhs2" localSheetId="4" hidden="1">0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2" hidden="1">2</definedName>
    <definedName name="solver_scl" localSheetId="3" hidden="1">1</definedName>
    <definedName name="solver_scl" localSheetId="4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2" hidden="1">3</definedName>
    <definedName name="solver_ver" localSheetId="1" hidden="1">17</definedName>
    <definedName name="solver_ver" localSheetId="3" hidden="1">3</definedName>
    <definedName name="solver_ver" localSheetId="4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" i="14" l="1"/>
  <c r="C4" i="19" l="1"/>
  <c r="C5" i="19"/>
  <c r="C6" i="19"/>
  <c r="C7" i="19"/>
  <c r="C8" i="19"/>
  <c r="C9" i="19"/>
  <c r="C10" i="19"/>
  <c r="C11" i="19"/>
  <c r="D14" i="19"/>
  <c r="D2" i="19" s="1"/>
  <c r="E2" i="19" s="1"/>
  <c r="D15" i="19"/>
  <c r="D9" i="19" l="1"/>
  <c r="E9" i="19" s="1"/>
  <c r="D13" i="19"/>
  <c r="E13" i="19" s="1"/>
  <c r="D10" i="19"/>
  <c r="E10" i="19" s="1"/>
  <c r="E14" i="19" s="1"/>
  <c r="D6" i="19"/>
  <c r="E6" i="19" s="1"/>
  <c r="D12" i="19"/>
  <c r="E12" i="19" s="1"/>
  <c r="D4" i="19"/>
  <c r="E4" i="19" s="1"/>
  <c r="D7" i="19"/>
  <c r="E7" i="19" s="1"/>
  <c r="D11" i="19"/>
  <c r="E11" i="19" s="1"/>
  <c r="D3" i="19"/>
  <c r="E3" i="19" s="1"/>
  <c r="E15" i="19" s="1"/>
  <c r="D8" i="19"/>
  <c r="E8" i="19" s="1"/>
  <c r="E16" i="19" s="1"/>
  <c r="D5" i="19"/>
  <c r="E5" i="19" s="1"/>
  <c r="E17" i="19" l="1"/>
  <c r="C5" i="17" l="1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4" i="17" l="1"/>
  <c r="G49" i="17" l="1"/>
  <c r="A78" i="17"/>
  <c r="G78" i="17" s="1"/>
  <c r="D4" i="11"/>
  <c r="E4" i="11" s="1"/>
  <c r="D7" i="11"/>
  <c r="E7" i="11" s="1"/>
  <c r="D12" i="11"/>
  <c r="E12" i="11" s="1"/>
  <c r="D15" i="11"/>
  <c r="D20" i="11"/>
  <c r="E20" i="11" s="1"/>
  <c r="D23" i="11"/>
  <c r="E23" i="11" s="1"/>
  <c r="D28" i="11"/>
  <c r="E28" i="11" s="1"/>
  <c r="D31" i="11"/>
  <c r="E31" i="11" s="1"/>
  <c r="D36" i="11"/>
  <c r="D39" i="11"/>
  <c r="E39" i="11" s="1"/>
  <c r="D44" i="11"/>
  <c r="D47" i="11"/>
  <c r="E47" i="11" s="1"/>
  <c r="D52" i="11"/>
  <c r="E52" i="11" s="1"/>
  <c r="M5" i="11"/>
  <c r="M6" i="11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A3" i="17"/>
  <c r="C3" i="17"/>
  <c r="A4" i="17"/>
  <c r="G4" i="17" s="1"/>
  <c r="A5" i="17"/>
  <c r="G5" i="17" s="1"/>
  <c r="A6" i="17"/>
  <c r="G6" i="17" s="1"/>
  <c r="A7" i="17"/>
  <c r="G7" i="17" s="1"/>
  <c r="A8" i="17"/>
  <c r="G8" i="17" s="1"/>
  <c r="A9" i="17"/>
  <c r="G9" i="17" s="1"/>
  <c r="A10" i="17"/>
  <c r="G10" i="17" s="1"/>
  <c r="A11" i="17"/>
  <c r="G11" i="17" s="1"/>
  <c r="A12" i="17"/>
  <c r="G12" i="17" s="1"/>
  <c r="A13" i="17"/>
  <c r="G13" i="17" s="1"/>
  <c r="A14" i="17"/>
  <c r="G14" i="17" s="1"/>
  <c r="A15" i="17"/>
  <c r="G15" i="17" s="1"/>
  <c r="A16" i="17"/>
  <c r="G16" i="17" s="1"/>
  <c r="A17" i="17"/>
  <c r="G17" i="17" s="1"/>
  <c r="A18" i="17"/>
  <c r="G18" i="17" s="1"/>
  <c r="A19" i="17"/>
  <c r="G19" i="17" s="1"/>
  <c r="A20" i="17"/>
  <c r="G20" i="17" s="1"/>
  <c r="A21" i="17"/>
  <c r="G21" i="17" s="1"/>
  <c r="A22" i="17"/>
  <c r="G22" i="17" s="1"/>
  <c r="A23" i="17"/>
  <c r="G23" i="17" s="1"/>
  <c r="A24" i="17"/>
  <c r="G24" i="17" s="1"/>
  <c r="A25" i="17"/>
  <c r="G25" i="17" s="1"/>
  <c r="A26" i="17"/>
  <c r="G26" i="17" s="1"/>
  <c r="A27" i="17"/>
  <c r="G27" i="17" s="1"/>
  <c r="A28" i="17"/>
  <c r="G28" i="17" s="1"/>
  <c r="A29" i="17"/>
  <c r="G29" i="17" s="1"/>
  <c r="A30" i="17"/>
  <c r="G30" i="17" s="1"/>
  <c r="A31" i="17"/>
  <c r="G31" i="17" s="1"/>
  <c r="A32" i="17"/>
  <c r="G32" i="17" s="1"/>
  <c r="A33" i="17"/>
  <c r="G33" i="17" s="1"/>
  <c r="A34" i="17"/>
  <c r="G34" i="17" s="1"/>
  <c r="A35" i="17"/>
  <c r="G35" i="17" s="1"/>
  <c r="A36" i="17"/>
  <c r="G36" i="17" s="1"/>
  <c r="A37" i="17"/>
  <c r="G37" i="17" s="1"/>
  <c r="A38" i="17"/>
  <c r="G38" i="17" s="1"/>
  <c r="A39" i="17"/>
  <c r="G39" i="17" s="1"/>
  <c r="A40" i="17"/>
  <c r="G40" i="17" s="1"/>
  <c r="A41" i="17"/>
  <c r="G41" i="17" s="1"/>
  <c r="A42" i="17"/>
  <c r="G42" i="17" s="1"/>
  <c r="A43" i="17"/>
  <c r="G43" i="17" s="1"/>
  <c r="A44" i="17"/>
  <c r="G44" i="17" s="1"/>
  <c r="A45" i="17"/>
  <c r="G45" i="17" s="1"/>
  <c r="A46" i="17"/>
  <c r="G46" i="17" s="1"/>
  <c r="A47" i="17"/>
  <c r="G47" i="17" s="1"/>
  <c r="A48" i="17"/>
  <c r="G48" i="17" s="1"/>
  <c r="A49" i="17"/>
  <c r="A50" i="17"/>
  <c r="G50" i="17" s="1"/>
  <c r="A51" i="17"/>
  <c r="G51" i="17" s="1"/>
  <c r="A52" i="17"/>
  <c r="G52" i="17" s="1"/>
  <c r="A53" i="17"/>
  <c r="G53" i="17" s="1"/>
  <c r="A54" i="17"/>
  <c r="G54" i="17" s="1"/>
  <c r="A55" i="17"/>
  <c r="G55" i="17" s="1"/>
  <c r="A56" i="17"/>
  <c r="G56" i="17" s="1"/>
  <c r="A57" i="17"/>
  <c r="G57" i="17" s="1"/>
  <c r="A58" i="17"/>
  <c r="G58" i="17" s="1"/>
  <c r="A59" i="17"/>
  <c r="G59" i="17" s="1"/>
  <c r="A60" i="17"/>
  <c r="G60" i="17" s="1"/>
  <c r="A61" i="17"/>
  <c r="G61" i="17" s="1"/>
  <c r="A62" i="17"/>
  <c r="G62" i="17" s="1"/>
  <c r="A63" i="17"/>
  <c r="G63" i="17" s="1"/>
  <c r="A64" i="17"/>
  <c r="G64" i="17" s="1"/>
  <c r="A65" i="17"/>
  <c r="G65" i="17" s="1"/>
  <c r="A66" i="17"/>
  <c r="G66" i="17" s="1"/>
  <c r="A67" i="17"/>
  <c r="G67" i="17" s="1"/>
  <c r="A68" i="17"/>
  <c r="G68" i="17" s="1"/>
  <c r="A69" i="17"/>
  <c r="G69" i="17" s="1"/>
  <c r="A70" i="17"/>
  <c r="G70" i="17" s="1"/>
  <c r="A71" i="17"/>
  <c r="G71" i="17" s="1"/>
  <c r="A72" i="17"/>
  <c r="G72" i="17" s="1"/>
  <c r="A73" i="17"/>
  <c r="G73" i="17" s="1"/>
  <c r="A74" i="17"/>
  <c r="G74" i="17" s="1"/>
  <c r="A75" i="17"/>
  <c r="G75" i="17" s="1"/>
  <c r="A76" i="17"/>
  <c r="G76" i="17" s="1"/>
  <c r="A77" i="17"/>
  <c r="G77" i="17" s="1"/>
  <c r="F3" i="18"/>
  <c r="F7" i="18"/>
  <c r="G7" i="18" s="1"/>
  <c r="F6" i="18"/>
  <c r="G6" i="18" s="1"/>
  <c r="F5" i="18"/>
  <c r="G5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8" i="11"/>
  <c r="F13" i="11"/>
  <c r="F24" i="11"/>
  <c r="F29" i="11"/>
  <c r="F40" i="11"/>
  <c r="F45" i="11"/>
  <c r="G2" i="11"/>
  <c r="F3" i="11" s="1"/>
  <c r="F6" i="11"/>
  <c r="F43" i="11"/>
  <c r="F23" i="11"/>
  <c r="F11" i="11"/>
  <c r="F42" i="11"/>
  <c r="F30" i="11"/>
  <c r="F10" i="11"/>
  <c r="L20" i="11"/>
  <c r="D8" i="11" s="1"/>
  <c r="E8" i="11" s="1"/>
  <c r="M9" i="11"/>
  <c r="L21" i="11"/>
  <c r="E44" i="11"/>
  <c r="E15" i="11"/>
  <c r="E36" i="11"/>
  <c r="F34" i="11" l="1"/>
  <c r="F47" i="11"/>
  <c r="F44" i="11"/>
  <c r="F12" i="11"/>
  <c r="D46" i="11"/>
  <c r="E46" i="11" s="1"/>
  <c r="D38" i="11"/>
  <c r="E38" i="11" s="1"/>
  <c r="D30" i="11"/>
  <c r="E30" i="11" s="1"/>
  <c r="D22" i="11"/>
  <c r="E22" i="11" s="1"/>
  <c r="D14" i="11"/>
  <c r="E14" i="11" s="1"/>
  <c r="D6" i="11"/>
  <c r="E6" i="11" s="1"/>
  <c r="F15" i="11"/>
  <c r="F28" i="11"/>
  <c r="F38" i="11"/>
  <c r="F19" i="11"/>
  <c r="F51" i="11"/>
  <c r="F41" i="11"/>
  <c r="F25" i="11"/>
  <c r="F9" i="11"/>
  <c r="E8" i="18"/>
  <c r="E4" i="18"/>
  <c r="D3" i="11"/>
  <c r="E3" i="11" s="1"/>
  <c r="D45" i="11"/>
  <c r="E45" i="11" s="1"/>
  <c r="D37" i="11"/>
  <c r="E37" i="11" s="1"/>
  <c r="D29" i="11"/>
  <c r="E29" i="11" s="1"/>
  <c r="D21" i="11"/>
  <c r="E21" i="11" s="1"/>
  <c r="D13" i="11"/>
  <c r="E13" i="11" s="1"/>
  <c r="D5" i="11"/>
  <c r="E5" i="11" s="1"/>
  <c r="F21" i="11"/>
  <c r="F5" i="11"/>
  <c r="D51" i="11"/>
  <c r="E51" i="11" s="1"/>
  <c r="D43" i="11"/>
  <c r="E43" i="11" s="1"/>
  <c r="D35" i="11"/>
  <c r="E35" i="11" s="1"/>
  <c r="D27" i="11"/>
  <c r="E27" i="11" s="1"/>
  <c r="D19" i="11"/>
  <c r="E19" i="11" s="1"/>
  <c r="D11" i="11"/>
  <c r="E11" i="11" s="1"/>
  <c r="F14" i="11"/>
  <c r="F46" i="11"/>
  <c r="F27" i="11"/>
  <c r="F37" i="11"/>
  <c r="F18" i="11"/>
  <c r="F50" i="11"/>
  <c r="F31" i="11"/>
  <c r="F52" i="11"/>
  <c r="F36" i="11"/>
  <c r="F20" i="11"/>
  <c r="F4" i="11"/>
  <c r="I2" i="11" s="1"/>
  <c r="D50" i="11"/>
  <c r="E50" i="11" s="1"/>
  <c r="D42" i="11"/>
  <c r="E42" i="11" s="1"/>
  <c r="D34" i="11"/>
  <c r="E34" i="11" s="1"/>
  <c r="D26" i="11"/>
  <c r="E26" i="11" s="1"/>
  <c r="D18" i="11"/>
  <c r="E18" i="11" s="1"/>
  <c r="D10" i="11"/>
  <c r="E10" i="11" s="1"/>
  <c r="F22" i="11"/>
  <c r="F35" i="11"/>
  <c r="F49" i="11"/>
  <c r="F33" i="11"/>
  <c r="F17" i="1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F26" i="11"/>
  <c r="F7" i="11"/>
  <c r="F39" i="11"/>
  <c r="F48" i="11"/>
  <c r="F32" i="11"/>
  <c r="F16" i="11"/>
  <c r="D48" i="11"/>
  <c r="E48" i="11" s="1"/>
  <c r="D40" i="11"/>
  <c r="E40" i="11" s="1"/>
  <c r="D32" i="11"/>
  <c r="E32" i="11" s="1"/>
  <c r="D24" i="11"/>
  <c r="E24" i="11" s="1"/>
  <c r="D16" i="11"/>
  <c r="E16" i="11" s="1"/>
  <c r="D2" i="14"/>
  <c r="E2" i="14"/>
  <c r="M8" i="11" l="1"/>
  <c r="H2" i="11"/>
  <c r="F3" i="14"/>
  <c r="D51" i="17"/>
  <c r="D17" i="17"/>
  <c r="D15" i="17"/>
  <c r="D59" i="17"/>
  <c r="D41" i="17"/>
  <c r="D8" i="17"/>
  <c r="D21" i="17"/>
  <c r="D43" i="17"/>
  <c r="D11" i="17"/>
  <c r="D57" i="17"/>
  <c r="D65" i="17"/>
  <c r="D71" i="17"/>
  <c r="D64" i="17"/>
  <c r="D26" i="17"/>
  <c r="D22" i="17"/>
  <c r="D18" i="17"/>
  <c r="D45" i="17"/>
  <c r="D14" i="17"/>
  <c r="D56" i="17"/>
  <c r="D55" i="17"/>
  <c r="D24" i="17"/>
  <c r="D23" i="17"/>
  <c r="D25" i="17"/>
  <c r="D68" i="17"/>
  <c r="D28" i="17"/>
  <c r="D53" i="17"/>
  <c r="D42" i="17"/>
  <c r="D9" i="17"/>
  <c r="D52" i="17"/>
  <c r="D20" i="17"/>
  <c r="D32" i="17"/>
  <c r="D16" i="17"/>
  <c r="D10" i="17"/>
  <c r="D63" i="17"/>
  <c r="D27" i="17"/>
  <c r="D7" i="17"/>
  <c r="D60" i="17"/>
  <c r="D70" i="17"/>
  <c r="D66" i="17"/>
  <c r="D44" i="17"/>
  <c r="D12" i="17"/>
  <c r="D67" i="17"/>
  <c r="D19" i="17"/>
  <c r="D31" i="17"/>
  <c r="D58" i="17"/>
  <c r="D69" i="17"/>
  <c r="D54" i="17"/>
  <c r="D38" i="17"/>
  <c r="D62" i="17"/>
  <c r="D61" i="17"/>
  <c r="D30" i="17"/>
  <c r="D29" i="17"/>
  <c r="D72" i="17"/>
  <c r="D40" i="17"/>
  <c r="D39" i="17"/>
  <c r="D13" i="17"/>
  <c r="M22" i="11" l="1"/>
  <c r="J53" i="11"/>
  <c r="J2" i="11"/>
  <c r="N6" i="11"/>
  <c r="D3" i="14"/>
  <c r="G3" i="14"/>
  <c r="D48" i="17"/>
  <c r="D34" i="17"/>
  <c r="D75" i="17"/>
  <c r="H3" i="14" l="1"/>
  <c r="E3" i="14"/>
  <c r="F4" i="14" s="1"/>
  <c r="D35" i="17"/>
  <c r="D36" i="17"/>
  <c r="D76" i="17"/>
  <c r="D74" i="17"/>
  <c r="D73" i="17"/>
  <c r="D37" i="17"/>
  <c r="D33" i="17"/>
  <c r="D46" i="17"/>
  <c r="D47" i="17"/>
  <c r="D50" i="17"/>
  <c r="D49" i="17"/>
  <c r="B67" i="14" l="1"/>
  <c r="B54" i="14"/>
  <c r="B51" i="14"/>
  <c r="A46" i="11"/>
  <c r="A35" i="11"/>
  <c r="B34" i="14"/>
  <c r="B25" i="14"/>
  <c r="B55" i="14"/>
  <c r="B40" i="14"/>
  <c r="A38" i="11"/>
  <c r="B77" i="14"/>
  <c r="B13" i="15"/>
  <c r="B60" i="14"/>
  <c r="B5" i="15"/>
  <c r="B43" i="14"/>
  <c r="B29" i="14"/>
  <c r="B63" i="14"/>
  <c r="B68" i="14"/>
  <c r="B47" i="14"/>
  <c r="B69" i="14"/>
  <c r="A39" i="11"/>
  <c r="B22" i="14"/>
  <c r="B61" i="14"/>
  <c r="A44" i="11"/>
  <c r="B50" i="14"/>
  <c r="B7" i="14"/>
  <c r="B76" i="14"/>
  <c r="B33" i="14"/>
  <c r="A21" i="11"/>
  <c r="B19" i="14"/>
  <c r="B17" i="15"/>
  <c r="A30" i="11"/>
  <c r="A18" i="11"/>
  <c r="B74" i="14"/>
  <c r="B10" i="14"/>
  <c r="B65" i="14"/>
  <c r="A48" i="11"/>
  <c r="B31" i="14"/>
  <c r="B14" i="15"/>
  <c r="B53" i="14"/>
  <c r="B56" i="14"/>
  <c r="A36" i="11"/>
  <c r="B41" i="14"/>
  <c r="B32" i="14"/>
  <c r="B72" i="14"/>
  <c r="A26" i="11"/>
  <c r="B16" i="15"/>
  <c r="A52" i="11"/>
  <c r="B73" i="14"/>
  <c r="B9" i="14"/>
  <c r="B66" i="14"/>
  <c r="B75" i="14"/>
  <c r="B57" i="14"/>
  <c r="B23" i="15"/>
  <c r="B70" i="14"/>
  <c r="A6" i="11"/>
  <c r="B45" i="14"/>
  <c r="A24" i="11"/>
  <c r="A28" i="11"/>
  <c r="B71" i="14"/>
  <c r="B12" i="14"/>
  <c r="B42" i="14"/>
  <c r="B58" i="14"/>
  <c r="B59" i="14"/>
  <c r="B49" i="14"/>
  <c r="B15" i="14"/>
  <c r="B62" i="14"/>
  <c r="B64" i="14"/>
  <c r="A37" i="11"/>
  <c r="B20" i="14"/>
  <c r="B4" i="17"/>
  <c r="D6" i="17" s="1"/>
  <c r="B70" i="17"/>
  <c r="B9" i="17"/>
  <c r="B74" i="17"/>
  <c r="B72" i="17"/>
  <c r="B6" i="17"/>
  <c r="B37" i="17"/>
  <c r="B11" i="17"/>
  <c r="B41" i="17"/>
  <c r="B61" i="17"/>
  <c r="B53" i="17"/>
  <c r="B59" i="17"/>
  <c r="B43" i="17"/>
  <c r="B73" i="17"/>
  <c r="B75" i="17"/>
  <c r="B17" i="17"/>
  <c r="B5" i="17"/>
  <c r="B62" i="17"/>
  <c r="B68" i="17"/>
  <c r="B27" i="17"/>
  <c r="B7" i="17"/>
  <c r="B66" i="17"/>
  <c r="B26" i="17"/>
  <c r="B29" i="17"/>
  <c r="B57" i="17"/>
  <c r="B8" i="17"/>
  <c r="B14" i="17"/>
  <c r="B45" i="17"/>
  <c r="B18" i="17"/>
  <c r="B21" i="17"/>
  <c r="B44" i="17"/>
  <c r="B46" i="17"/>
  <c r="B24" i="17"/>
  <c r="B51" i="17"/>
  <c r="B76" i="17"/>
  <c r="B19" i="17"/>
  <c r="B67" i="17"/>
  <c r="B12" i="17"/>
  <c r="B28" i="17"/>
  <c r="B40" i="17"/>
  <c r="B25" i="17"/>
  <c r="B23" i="17"/>
  <c r="B20" i="17"/>
  <c r="B31" i="17"/>
  <c r="B39" i="17"/>
  <c r="B78" i="17"/>
  <c r="B16" i="17"/>
  <c r="B56" i="17"/>
  <c r="B63" i="17"/>
  <c r="B65" i="17"/>
  <c r="B15" i="17"/>
  <c r="B10" i="17"/>
  <c r="B77" i="17"/>
  <c r="B48" i="17"/>
  <c r="B32" i="17"/>
  <c r="B36" i="17"/>
  <c r="B13" i="17"/>
  <c r="B55" i="17"/>
  <c r="B58" i="17"/>
  <c r="B49" i="17"/>
  <c r="B47" i="17"/>
  <c r="B33" i="17"/>
  <c r="B30" i="17"/>
  <c r="B42" i="17"/>
  <c r="B34" i="17"/>
  <c r="B38" i="17"/>
  <c r="B54" i="17"/>
  <c r="B69" i="17"/>
  <c r="B35" i="17"/>
  <c r="B22" i="17"/>
  <c r="B64" i="17"/>
  <c r="B71" i="17"/>
  <c r="B60" i="17"/>
  <c r="B50" i="17"/>
  <c r="B52" i="17"/>
  <c r="D4" i="14"/>
  <c r="G4" i="14"/>
  <c r="I3" i="14"/>
  <c r="J3" i="14" s="1"/>
  <c r="H2" i="17"/>
  <c r="E2" i="17"/>
  <c r="F2" i="17"/>
  <c r="G2" i="17"/>
  <c r="A3" i="11" l="1"/>
  <c r="B20" i="15"/>
  <c r="B39" i="14"/>
  <c r="B36" i="14"/>
  <c r="A13" i="11"/>
  <c r="B13" i="14"/>
  <c r="B3" i="15"/>
  <c r="C3" i="15" s="1"/>
  <c r="C4" i="15" s="1"/>
  <c r="B3" i="14"/>
  <c r="B16" i="14"/>
  <c r="B46" i="14"/>
  <c r="B38" i="14"/>
  <c r="B6" i="14"/>
  <c r="B35" i="14"/>
  <c r="A41" i="11"/>
  <c r="B6" i="15"/>
  <c r="A25" i="11"/>
  <c r="B52" i="14"/>
  <c r="A31" i="11"/>
  <c r="B19" i="15"/>
  <c r="B44" i="14"/>
  <c r="A16" i="11"/>
  <c r="A19" i="11"/>
  <c r="B18" i="14"/>
  <c r="B17" i="14"/>
  <c r="A20" i="11"/>
  <c r="A17" i="11"/>
  <c r="A50" i="11"/>
  <c r="A10" i="11"/>
  <c r="A40" i="11"/>
  <c r="A22" i="11"/>
  <c r="A45" i="11"/>
  <c r="B37" i="14"/>
  <c r="B10" i="15"/>
  <c r="A32" i="11"/>
  <c r="B24" i="14"/>
  <c r="A9" i="11"/>
  <c r="A7" i="11"/>
  <c r="A34" i="11"/>
  <c r="B7" i="15"/>
  <c r="B9" i="15"/>
  <c r="B22" i="15"/>
  <c r="A29" i="11"/>
  <c r="B28" i="14"/>
  <c r="A49" i="11"/>
  <c r="A51" i="11"/>
  <c r="B23" i="14"/>
  <c r="B26" i="14"/>
  <c r="B48" i="14"/>
  <c r="A23" i="11"/>
  <c r="A33" i="11"/>
  <c r="B30" i="14"/>
  <c r="A12" i="11"/>
  <c r="B18" i="15"/>
  <c r="B4" i="14"/>
  <c r="B4" i="15"/>
  <c r="A5" i="11"/>
  <c r="B8" i="15"/>
  <c r="A8" i="11"/>
  <c r="B8" i="14"/>
  <c r="A14" i="11"/>
  <c r="B14" i="14"/>
  <c r="B27" i="14"/>
  <c r="A27" i="11"/>
  <c r="B21" i="15"/>
  <c r="A15" i="11"/>
  <c r="B12" i="15"/>
  <c r="A4" i="11"/>
  <c r="B5" i="14"/>
  <c r="A42" i="11"/>
  <c r="B15" i="15"/>
  <c r="A47" i="11"/>
  <c r="B21" i="14"/>
  <c r="A43" i="11"/>
  <c r="A11" i="11"/>
  <c r="B11" i="14"/>
  <c r="B11" i="15"/>
  <c r="H4" i="14"/>
  <c r="E4" i="14"/>
  <c r="F5" i="14" s="1"/>
  <c r="E5" i="17"/>
  <c r="E4" i="17"/>
  <c r="E9" i="17"/>
  <c r="E14" i="17"/>
  <c r="E19" i="17"/>
  <c r="E24" i="17"/>
  <c r="E28" i="17"/>
  <c r="E32" i="17"/>
  <c r="E36" i="17"/>
  <c r="E40" i="17"/>
  <c r="E44" i="17"/>
  <c r="E48" i="17"/>
  <c r="E52" i="17"/>
  <c r="E56" i="17"/>
  <c r="E60" i="17"/>
  <c r="E64" i="17"/>
  <c r="E68" i="17"/>
  <c r="E72" i="17"/>
  <c r="E76" i="17"/>
  <c r="E10" i="17"/>
  <c r="E6" i="17"/>
  <c r="E11" i="17"/>
  <c r="E16" i="17"/>
  <c r="E21" i="17"/>
  <c r="E25" i="17"/>
  <c r="E29" i="17"/>
  <c r="E33" i="17"/>
  <c r="E37" i="17"/>
  <c r="E41" i="17"/>
  <c r="E45" i="17"/>
  <c r="E49" i="17"/>
  <c r="E53" i="17"/>
  <c r="E57" i="17"/>
  <c r="E61" i="17"/>
  <c r="E65" i="17"/>
  <c r="E69" i="17"/>
  <c r="E73" i="17"/>
  <c r="E77" i="17"/>
  <c r="E20" i="17"/>
  <c r="E30" i="17"/>
  <c r="E39" i="17"/>
  <c r="E62" i="17"/>
  <c r="E71" i="17"/>
  <c r="E78" i="17"/>
  <c r="E7" i="17"/>
  <c r="E18" i="17"/>
  <c r="E42" i="17"/>
  <c r="E51" i="17"/>
  <c r="E74" i="17"/>
  <c r="E23" i="17"/>
  <c r="E38" i="17"/>
  <c r="E59" i="17"/>
  <c r="E22" i="17"/>
  <c r="E31" i="17"/>
  <c r="E54" i="17"/>
  <c r="E63" i="17"/>
  <c r="E8" i="17"/>
  <c r="E34" i="17"/>
  <c r="E66" i="17"/>
  <c r="E46" i="17"/>
  <c r="E35" i="17"/>
  <c r="E67" i="17"/>
  <c r="E15" i="17"/>
  <c r="E17" i="17"/>
  <c r="E43" i="17"/>
  <c r="E75" i="17"/>
  <c r="E12" i="17"/>
  <c r="E55" i="17"/>
  <c r="E26" i="17"/>
  <c r="E58" i="17"/>
  <c r="E70" i="17"/>
  <c r="E13" i="17"/>
  <c r="E47" i="17"/>
  <c r="E27" i="17"/>
  <c r="E50" i="17"/>
  <c r="C5" i="15" l="1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D4" i="15"/>
  <c r="E4" i="15" s="1"/>
  <c r="F4" i="15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D5" i="14"/>
  <c r="G5" i="14"/>
  <c r="I4" i="14"/>
  <c r="J4" i="14" s="1"/>
  <c r="F43" i="17"/>
  <c r="F8" i="17"/>
  <c r="F74" i="17"/>
  <c r="F39" i="17"/>
  <c r="F57" i="17"/>
  <c r="F25" i="17"/>
  <c r="F68" i="17"/>
  <c r="F36" i="17"/>
  <c r="F5" i="17"/>
  <c r="F13" i="17"/>
  <c r="F17" i="17"/>
  <c r="F63" i="17"/>
  <c r="F51" i="17"/>
  <c r="F30" i="17"/>
  <c r="F53" i="17"/>
  <c r="F21" i="17"/>
  <c r="F64" i="17"/>
  <c r="F32" i="17"/>
  <c r="F15" i="17"/>
  <c r="F20" i="17"/>
  <c r="F28" i="17"/>
  <c r="F54" i="17"/>
  <c r="F16" i="17"/>
  <c r="F67" i="17"/>
  <c r="F18" i="17"/>
  <c r="F56" i="17"/>
  <c r="F26" i="17"/>
  <c r="F35" i="17"/>
  <c r="F22" i="17"/>
  <c r="F7" i="17"/>
  <c r="F73" i="17"/>
  <c r="F41" i="17"/>
  <c r="F6" i="17"/>
  <c r="F52" i="17"/>
  <c r="F19" i="17"/>
  <c r="F55" i="17"/>
  <c r="F46" i="17"/>
  <c r="F59" i="17"/>
  <c r="F78" i="17"/>
  <c r="F69" i="17"/>
  <c r="F37" i="17"/>
  <c r="F10" i="17"/>
  <c r="F48" i="17"/>
  <c r="F14" i="17"/>
  <c r="F70" i="17"/>
  <c r="F42" i="17"/>
  <c r="F49" i="17"/>
  <c r="F60" i="17"/>
  <c r="F58" i="17"/>
  <c r="F31" i="17"/>
  <c r="F77" i="17"/>
  <c r="F45" i="17"/>
  <c r="F11" i="17"/>
  <c r="F24" i="17"/>
  <c r="F50" i="17"/>
  <c r="F12" i="17"/>
  <c r="F66" i="17"/>
  <c r="F38" i="17"/>
  <c r="F71" i="17"/>
  <c r="F65" i="17"/>
  <c r="F33" i="17"/>
  <c r="F76" i="17"/>
  <c r="F44" i="17"/>
  <c r="F9" i="17"/>
  <c r="F27" i="17"/>
  <c r="F75" i="17"/>
  <c r="F34" i="17"/>
  <c r="F23" i="17"/>
  <c r="F62" i="17"/>
  <c r="F61" i="17"/>
  <c r="F29" i="17"/>
  <c r="F72" i="17"/>
  <c r="F40" i="17"/>
  <c r="F47" i="17"/>
  <c r="F4" i="17"/>
  <c r="D5" i="15" l="1"/>
  <c r="E5" i="15" s="1"/>
  <c r="D6" i="15"/>
  <c r="E6" i="15" s="1"/>
  <c r="D7" i="15"/>
  <c r="E7" i="15" s="1"/>
  <c r="D8" i="15"/>
  <c r="E8" i="15" s="1"/>
  <c r="D10" i="15"/>
  <c r="E10" i="15" s="1"/>
  <c r="D13" i="15"/>
  <c r="E13" i="15" s="1"/>
  <c r="D15" i="15"/>
  <c r="E15" i="15" s="1"/>
  <c r="D9" i="15"/>
  <c r="E9" i="15" s="1"/>
  <c r="D18" i="15"/>
  <c r="E18" i="15" s="1"/>
  <c r="D14" i="15"/>
  <c r="E14" i="15" s="1"/>
  <c r="D16" i="15"/>
  <c r="E16" i="15" s="1"/>
  <c r="D17" i="15"/>
  <c r="E17" i="15" s="1"/>
  <c r="D21" i="15"/>
  <c r="E21" i="15" s="1"/>
  <c r="D11" i="15"/>
  <c r="E11" i="15" s="1"/>
  <c r="D19" i="15"/>
  <c r="E19" i="15" s="1"/>
  <c r="D22" i="15"/>
  <c r="E22" i="15" s="1"/>
  <c r="D12" i="15"/>
  <c r="E12" i="15" s="1"/>
  <c r="D20" i="15"/>
  <c r="E20" i="15" s="1"/>
  <c r="I3" i="15"/>
  <c r="G4" i="15" s="1"/>
  <c r="I4" i="15" s="1"/>
  <c r="G5" i="15" s="1"/>
  <c r="I5" i="15" s="1"/>
  <c r="G6" i="15" s="1"/>
  <c r="I6" i="15" s="1"/>
  <c r="H5" i="14"/>
  <c r="E5" i="14"/>
  <c r="F6" i="14" s="1"/>
  <c r="K6" i="17"/>
  <c r="K7" i="17"/>
  <c r="K5" i="17"/>
  <c r="K4" i="17"/>
  <c r="K3" i="17"/>
  <c r="F6" i="15" l="1"/>
  <c r="F5" i="15"/>
  <c r="F7" i="15"/>
  <c r="F8" i="15"/>
  <c r="F17" i="15"/>
  <c r="F9" i="15"/>
  <c r="F10" i="15"/>
  <c r="F12" i="15"/>
  <c r="F13" i="15"/>
  <c r="F23" i="15"/>
  <c r="O4" i="15" s="1"/>
  <c r="F15" i="15"/>
  <c r="F18" i="15"/>
  <c r="F21" i="15"/>
  <c r="F11" i="15"/>
  <c r="F19" i="15"/>
  <c r="F14" i="15"/>
  <c r="F20" i="15"/>
  <c r="F16" i="15"/>
  <c r="F22" i="15"/>
  <c r="J5" i="15"/>
  <c r="K5" i="15" s="1"/>
  <c r="J3" i="15"/>
  <c r="K3" i="15" s="1"/>
  <c r="L3" i="15" s="1"/>
  <c r="M3" i="15" s="1"/>
  <c r="J4" i="15"/>
  <c r="K4" i="15" s="1"/>
  <c r="D6" i="14"/>
  <c r="G6" i="14"/>
  <c r="I5" i="14"/>
  <c r="J5" i="14" s="1"/>
  <c r="K8" i="17"/>
  <c r="L4" i="17" s="1"/>
  <c r="H10" i="17" s="1"/>
  <c r="G7" i="15"/>
  <c r="I7" i="15" s="1"/>
  <c r="J6" i="15"/>
  <c r="K6" i="15" s="1"/>
  <c r="L4" i="15" l="1"/>
  <c r="M4" i="15" s="1"/>
  <c r="L5" i="15"/>
  <c r="M5" i="15" s="1"/>
  <c r="H6" i="14"/>
  <c r="E6" i="14"/>
  <c r="F7" i="14" s="1"/>
  <c r="L6" i="17"/>
  <c r="H47" i="17" s="1"/>
  <c r="H5" i="17"/>
  <c r="L3" i="17"/>
  <c r="H24" i="17" s="1"/>
  <c r="H45" i="17"/>
  <c r="H20" i="17"/>
  <c r="H50" i="17"/>
  <c r="H55" i="17"/>
  <c r="H75" i="17"/>
  <c r="L5" i="17"/>
  <c r="H51" i="17" s="1"/>
  <c r="H70" i="17"/>
  <c r="H40" i="17"/>
  <c r="H65" i="17"/>
  <c r="H30" i="17"/>
  <c r="H25" i="17"/>
  <c r="H60" i="17"/>
  <c r="H15" i="17"/>
  <c r="L7" i="17"/>
  <c r="H48" i="17" s="1"/>
  <c r="H35" i="17"/>
  <c r="L6" i="15"/>
  <c r="M6" i="15" s="1"/>
  <c r="G8" i="15"/>
  <c r="I8" i="15" s="1"/>
  <c r="J7" i="15"/>
  <c r="K7" i="15" s="1"/>
  <c r="L7" i="15" s="1"/>
  <c r="M7" i="15" s="1"/>
  <c r="D7" i="14" l="1"/>
  <c r="G7" i="14"/>
  <c r="I6" i="14"/>
  <c r="J6" i="14" s="1"/>
  <c r="H4" i="17"/>
  <c r="H33" i="17"/>
  <c r="H22" i="17"/>
  <c r="H66" i="17"/>
  <c r="H68" i="17"/>
  <c r="H21" i="17"/>
  <c r="H42" i="17"/>
  <c r="H26" i="17"/>
  <c r="H23" i="17"/>
  <c r="H32" i="17"/>
  <c r="H78" i="17"/>
  <c r="H37" i="17"/>
  <c r="H28" i="17"/>
  <c r="H41" i="17"/>
  <c r="H16" i="17"/>
  <c r="H27" i="17"/>
  <c r="H53" i="17"/>
  <c r="H11" i="17"/>
  <c r="H57" i="17"/>
  <c r="H17" i="17"/>
  <c r="H13" i="17"/>
  <c r="H76" i="17"/>
  <c r="H72" i="17"/>
  <c r="H14" i="17"/>
  <c r="H58" i="17"/>
  <c r="H56" i="17"/>
  <c r="H67" i="17"/>
  <c r="H49" i="17"/>
  <c r="H73" i="17"/>
  <c r="H71" i="17"/>
  <c r="H52" i="17"/>
  <c r="H63" i="17"/>
  <c r="H46" i="17"/>
  <c r="H6" i="17"/>
  <c r="H12" i="17"/>
  <c r="H77" i="17"/>
  <c r="H18" i="17"/>
  <c r="H61" i="17"/>
  <c r="H62" i="17"/>
  <c r="H7" i="17"/>
  <c r="H54" i="17"/>
  <c r="H9" i="17"/>
  <c r="H59" i="17"/>
  <c r="H69" i="17"/>
  <c r="H29" i="17"/>
  <c r="H39" i="17"/>
  <c r="H44" i="17"/>
  <c r="H34" i="17"/>
  <c r="H74" i="17"/>
  <c r="H8" i="17"/>
  <c r="H19" i="17"/>
  <c r="L8" i="17"/>
  <c r="H64" i="17"/>
  <c r="H38" i="17"/>
  <c r="H31" i="17"/>
  <c r="H43" i="17"/>
  <c r="H36" i="17"/>
  <c r="G9" i="15"/>
  <c r="I9" i="15" s="1"/>
  <c r="J8" i="15"/>
  <c r="K8" i="15" s="1"/>
  <c r="L8" i="15" s="1"/>
  <c r="M8" i="15" s="1"/>
  <c r="H7" i="14" l="1"/>
  <c r="E7" i="14"/>
  <c r="F8" i="14" s="1"/>
  <c r="G10" i="15"/>
  <c r="I10" i="15" s="1"/>
  <c r="J9" i="15"/>
  <c r="K9" i="15" s="1"/>
  <c r="L9" i="15" s="1"/>
  <c r="M9" i="15" s="1"/>
  <c r="G8" i="14" l="1"/>
  <c r="D8" i="14"/>
  <c r="I7" i="14"/>
  <c r="J7" i="14" s="1"/>
  <c r="G11" i="15"/>
  <c r="I11" i="15" s="1"/>
  <c r="J10" i="15"/>
  <c r="K10" i="15" s="1"/>
  <c r="E8" i="14" l="1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D9" i="14" l="1"/>
  <c r="G9" i="14"/>
  <c r="G13" i="15"/>
  <c r="I13" i="15" s="1"/>
  <c r="J12" i="15"/>
  <c r="K12" i="15" s="1"/>
  <c r="L12" i="15" s="1"/>
  <c r="M12" i="15" s="1"/>
  <c r="H9" i="14" l="1"/>
  <c r="I9" i="14" s="1"/>
  <c r="J9" i="14" s="1"/>
  <c r="E9" i="14"/>
  <c r="F10" i="14" s="1"/>
  <c r="G14" i="15"/>
  <c r="I14" i="15" s="1"/>
  <c r="J13" i="15"/>
  <c r="K13" i="15" s="1"/>
  <c r="L13" i="15" s="1"/>
  <c r="M13" i="15" s="1"/>
  <c r="G10" i="14" l="1"/>
  <c r="D10" i="14"/>
  <c r="G15" i="15"/>
  <c r="I15" i="15" s="1"/>
  <c r="J14" i="15"/>
  <c r="K14" i="15" s="1"/>
  <c r="L14" i="15" s="1"/>
  <c r="M14" i="15" s="1"/>
  <c r="E10" i="14" l="1"/>
  <c r="F11" i="14" s="1"/>
  <c r="H10" i="14"/>
  <c r="I10" i="14" s="1"/>
  <c r="J10" i="14" s="1"/>
  <c r="G16" i="15"/>
  <c r="I16" i="15" s="1"/>
  <c r="J15" i="15"/>
  <c r="K15" i="15" s="1"/>
  <c r="L15" i="15" s="1"/>
  <c r="M15" i="15" s="1"/>
  <c r="D11" i="14" l="1"/>
  <c r="G11" i="14"/>
  <c r="G17" i="15"/>
  <c r="I17" i="15" s="1"/>
  <c r="J16" i="15"/>
  <c r="K16" i="15" s="1"/>
  <c r="L16" i="15" s="1"/>
  <c r="M16" i="15" s="1"/>
  <c r="H11" i="14" l="1"/>
  <c r="I11" i="14" s="1"/>
  <c r="J11" i="14" s="1"/>
  <c r="E11" i="14"/>
  <c r="F12" i="14" s="1"/>
  <c r="G18" i="15"/>
  <c r="I18" i="15" s="1"/>
  <c r="J17" i="15"/>
  <c r="K17" i="15" s="1"/>
  <c r="L17" i="15" s="1"/>
  <c r="M17" i="15" s="1"/>
  <c r="D12" i="14" l="1"/>
  <c r="G12" i="14"/>
  <c r="G19" i="15"/>
  <c r="I19" i="15" s="1"/>
  <c r="J18" i="15"/>
  <c r="K18" i="15" s="1"/>
  <c r="L18" i="15" s="1"/>
  <c r="M18" i="15" s="1"/>
  <c r="H12" i="14" l="1"/>
  <c r="I12" i="14" s="1"/>
  <c r="J12" i="14" s="1"/>
  <c r="E12" i="14"/>
  <c r="F13" i="14" s="1"/>
  <c r="G20" i="15"/>
  <c r="I20" i="15" s="1"/>
  <c r="J19" i="15"/>
  <c r="K19" i="15" s="1"/>
  <c r="L19" i="15" s="1"/>
  <c r="M19" i="15" s="1"/>
  <c r="G13" i="14" l="1"/>
  <c r="D13" i="14"/>
  <c r="G21" i="15"/>
  <c r="I21" i="15" s="1"/>
  <c r="J20" i="15"/>
  <c r="K20" i="15" s="1"/>
  <c r="L20" i="15" s="1"/>
  <c r="M20" i="15" s="1"/>
  <c r="E13" i="14" l="1"/>
  <c r="F14" i="14" s="1"/>
  <c r="H13" i="14"/>
  <c r="I13" i="14" s="1"/>
  <c r="J13" i="14" s="1"/>
  <c r="G22" i="15"/>
  <c r="I22" i="15" s="1"/>
  <c r="J21" i="15"/>
  <c r="K21" i="15" s="1"/>
  <c r="L21" i="15" s="1"/>
  <c r="M21" i="15" s="1"/>
  <c r="D14" i="14" l="1"/>
  <c r="G14" i="14"/>
  <c r="G23" i="15"/>
  <c r="I23" i="15" s="1"/>
  <c r="J23" i="15" s="1"/>
  <c r="K23" i="15" s="1"/>
  <c r="J22" i="15"/>
  <c r="K22" i="15" s="1"/>
  <c r="L22" i="15" s="1"/>
  <c r="M22" i="15" s="1"/>
  <c r="H14" i="14" l="1"/>
  <c r="I14" i="14" s="1"/>
  <c r="J14" i="14" s="1"/>
  <c r="E14" i="14"/>
  <c r="F15" i="14" s="1"/>
  <c r="L23" i="15"/>
  <c r="D15" i="14" l="1"/>
  <c r="G15" i="14"/>
  <c r="M23" i="15"/>
  <c r="N17" i="15"/>
  <c r="H15" i="14" l="1"/>
  <c r="I15" i="14" s="1"/>
  <c r="J15" i="14" s="1"/>
  <c r="E15" i="14"/>
  <c r="F16" i="14" s="1"/>
  <c r="G16" i="14" l="1"/>
  <c r="D16" i="14"/>
  <c r="E16" i="14" l="1"/>
  <c r="F17" i="14" s="1"/>
  <c r="H16" i="14"/>
  <c r="I16" i="14" s="1"/>
  <c r="J16" i="14" s="1"/>
  <c r="G17" i="14" l="1"/>
  <c r="D17" i="14"/>
  <c r="E17" i="14" l="1"/>
  <c r="F18" i="14" s="1"/>
  <c r="H17" i="14"/>
  <c r="I17" i="14" s="1"/>
  <c r="J17" i="14" s="1"/>
  <c r="G18" i="14" l="1"/>
  <c r="D18" i="14"/>
  <c r="E18" i="14" l="1"/>
  <c r="F19" i="14" s="1"/>
  <c r="H18" i="14"/>
  <c r="I18" i="14" s="1"/>
  <c r="J18" i="14" s="1"/>
  <c r="D19" i="14" l="1"/>
  <c r="G19" i="14"/>
  <c r="H19" i="14" l="1"/>
  <c r="I19" i="14" s="1"/>
  <c r="J19" i="14" s="1"/>
  <c r="E19" i="14"/>
  <c r="F20" i="14" s="1"/>
  <c r="G20" i="14" l="1"/>
  <c r="D20" i="14"/>
  <c r="E20" i="14" l="1"/>
  <c r="F21" i="14" s="1"/>
  <c r="H20" i="14"/>
  <c r="I20" i="14" s="1"/>
  <c r="J20" i="14" s="1"/>
  <c r="D21" i="14" l="1"/>
  <c r="G21" i="14"/>
  <c r="H21" i="14" l="1"/>
  <c r="I21" i="14" s="1"/>
  <c r="J21" i="14" s="1"/>
  <c r="E21" i="14"/>
  <c r="F22" i="14" s="1"/>
  <c r="G22" i="14" l="1"/>
  <c r="D22" i="14"/>
  <c r="E22" i="14" l="1"/>
  <c r="F23" i="14" s="1"/>
  <c r="H22" i="14"/>
  <c r="I22" i="14" s="1"/>
  <c r="J22" i="14" s="1"/>
  <c r="D23" i="14" l="1"/>
  <c r="G23" i="14"/>
  <c r="H23" i="14" l="1"/>
  <c r="I23" i="14" s="1"/>
  <c r="J23" i="14" s="1"/>
  <c r="E23" i="14"/>
  <c r="F24" i="14" s="1"/>
  <c r="D24" i="14" l="1"/>
  <c r="G24" i="14"/>
  <c r="E24" i="14" l="1"/>
  <c r="F25" i="14" s="1"/>
  <c r="H24" i="14"/>
  <c r="I24" i="14" s="1"/>
  <c r="J24" i="14" s="1"/>
  <c r="G25" i="14" l="1"/>
  <c r="D25" i="14"/>
  <c r="H25" i="14" l="1"/>
  <c r="I25" i="14" s="1"/>
  <c r="J25" i="14" s="1"/>
  <c r="E25" i="14"/>
  <c r="F26" i="14" s="1"/>
  <c r="G26" i="14" l="1"/>
  <c r="D26" i="14"/>
  <c r="E26" i="14" l="1"/>
  <c r="F27" i="14" s="1"/>
  <c r="H26" i="14"/>
  <c r="I26" i="14" s="1"/>
  <c r="J26" i="14" s="1"/>
  <c r="G27" i="14" l="1"/>
  <c r="D27" i="14"/>
  <c r="H27" i="14" l="1"/>
  <c r="I27" i="14" s="1"/>
  <c r="J27" i="14" s="1"/>
  <c r="E27" i="14"/>
  <c r="F28" i="14" s="1"/>
  <c r="D28" i="14" l="1"/>
  <c r="G28" i="14"/>
  <c r="E28" i="14" l="1"/>
  <c r="F29" i="14" s="1"/>
  <c r="H28" i="14"/>
  <c r="I28" i="14" s="1"/>
  <c r="J28" i="14" s="1"/>
  <c r="G29" i="14" l="1"/>
  <c r="D29" i="14"/>
  <c r="H29" i="14" l="1"/>
  <c r="I29" i="14" s="1"/>
  <c r="J29" i="14" s="1"/>
  <c r="E29" i="14"/>
  <c r="F30" i="14" s="1"/>
  <c r="D30" i="14" l="1"/>
  <c r="G30" i="14"/>
  <c r="H30" i="14" l="1"/>
  <c r="I30" i="14" s="1"/>
  <c r="J30" i="14" s="1"/>
  <c r="E30" i="14"/>
  <c r="F31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 s="1"/>
  <c r="H34" i="14"/>
  <c r="I34" i="14" s="1"/>
  <c r="J34" i="14" s="1"/>
  <c r="D35" i="14" l="1"/>
  <c r="G35" i="14"/>
  <c r="E35" i="14" l="1"/>
  <c r="F36" i="14" s="1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 s="1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 s="1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 s="1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 s="1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 s="1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 s="1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 s="1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H77" i="14"/>
  <c r="I77" i="14" s="1"/>
  <c r="G78" i="14"/>
  <c r="O1" i="14" l="1"/>
  <c r="H78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<sst xmlns="http://schemas.openxmlformats.org/spreadsheetml/2006/main" count="109" uniqueCount="89">
  <si>
    <t>At</t>
  </si>
  <si>
    <t>MAD</t>
  </si>
  <si>
    <t>|E|</t>
  </si>
  <si>
    <t>E</t>
  </si>
  <si>
    <t>Actual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</si>
  <si>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</si>
  <si>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</si>
  <si>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</si>
  <si>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</si>
  <si>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</si>
  <si>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</si>
  <si>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</si>
  <si>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</si>
  <si>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</si>
  <si>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</si>
  <si>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</si>
  <si>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</si>
  <si>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</si>
  <si>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</si>
  <si>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</si>
  <si>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</si>
  <si>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</si>
  <si>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</si>
  <si>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</si>
  <si>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</si>
  <si>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</si>
  <si>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</si>
  <si>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</si>
  <si>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</si>
  <si>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</si>
  <si>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</si>
  <si>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</si>
  <si>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</si>
  <si>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</si>
  <si>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</si>
  <si>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</si>
  <si>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</si>
  <si>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</si>
  <si>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</si>
  <si>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</si>
  <si>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</si>
  <si>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</si>
  <si>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</si>
  <si>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</si>
  <si>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</si>
  <si>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</si>
  <si>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</si>
  <si>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</si>
  <si>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</si>
  <si>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</si>
  <si>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</si>
  <si>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</si>
  <si>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</si>
  <si>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</si>
  <si>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</si>
  <si>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</si>
  <si>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</si>
  <si>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</si>
  <si>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</si>
  <si>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</si>
  <si>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</si>
  <si>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</si>
  <si>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</si>
  <si>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</si>
  <si>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</si>
  <si>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</si>
  <si>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</si>
  <si>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</si>
  <si>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Centered-MA</t>
  </si>
  <si>
    <t>R2</t>
  </si>
  <si>
    <t>Reg-Cen-MA</t>
  </si>
  <si>
    <t>Index</t>
  </si>
  <si>
    <t>Season</t>
  </si>
  <si>
    <t>Normlized Index</t>
  </si>
  <si>
    <t>Forecast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</si>
  <si>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</si>
  <si>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</si>
  <si>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</si>
  <si>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</si>
  <si>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</si>
  <si>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</si>
  <si>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</si>
  <si>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</si>
  <si>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b1=</t>
  </si>
  <si>
    <t>b0=</t>
  </si>
  <si>
    <t>SeasIndex</t>
  </si>
  <si>
    <t>Average</t>
  </si>
  <si>
    <r>
      <t>Demand</t>
    </r>
    <r>
      <rPr>
        <sz val="12"/>
        <rFont val="Times New Roman"/>
        <family val="1"/>
      </rPr>
      <t xml:space="preserve"> </t>
    </r>
  </si>
  <si>
    <r>
      <t>Quarter</t>
    </r>
    <r>
      <rPr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</si>
</sst>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4" fillId="0" borderId="2" xfId="2" applyBorder="1" applyAlignment="1">
      <alignment horizontal="center"/>
    </xf>
    <xf numFmtId="0" fontId="4" fillId="0" borderId="3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4" fillId="0" borderId="5" xfId="2" applyBorder="1" applyAlignment="1">
      <alignment horizontal="center"/>
    </xf>
    <xf numFmtId="0" fontId="4" fillId="0" borderId="0" xfId="2" applyFont="1"/>
    <xf numFmtId="0" fontId="1" fillId="2" borderId="9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8" fillId="0" borderId="15" xfId="0" applyFont="1" applyFill="1" applyBorder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9" fillId="0" borderId="13" xfId="0" applyFont="1" applyFill="1" applyBorder="1" applyAlignment="1"/>
    <xf numFmtId="0" fontId="8" fillId="0" borderId="15" xfId="0" applyFont="1" applyFill="1" applyBorder="1" applyAlignment="1">
      <alignment horizontal="center"/>
    </xf>
    <xf numFmtId="0" fontId="0" fillId="0" borderId="13" xfId="0" applyFill="1" applyBorder="1" applyAlignment="1"/>
    <xf numFmtId="2" fontId="0" fillId="0" borderId="13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4" borderId="4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164" fontId="0" fillId="4" borderId="6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4" fillId="0" borderId="0" xfId="2" applyNumberFormat="1" applyAlignment="1">
      <alignment horizontal="center"/>
    </xf>
    <xf numFmtId="164" fontId="4" fillId="9" borderId="0" xfId="2" applyNumberFormat="1" applyFill="1" applyAlignment="1">
      <alignment horizontal="left"/>
    </xf>
    <xf numFmtId="1" fontId="4" fillId="0" borderId="0" xfId="2" applyNumberFormat="1" applyAlignment="1">
      <alignment horizontal="left"/>
    </xf>
    <xf numFmtId="164" fontId="4" fillId="0" borderId="0" xfId="2" applyNumberFormat="1" applyAlignment="1">
      <alignment horizontal="left"/>
    </xf>
    <xf numFmtId="1" fontId="4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10" fillId="7" borderId="0" xfId="2" applyNumberFormat="1" applyFont="1" applyFill="1"/>
    <xf numFmtId="166" fontId="10" fillId="7" borderId="0" xfId="2" applyNumberFormat="1" applyFont="1" applyFill="1"/>
    <xf numFmtId="0" fontId="4" fillId="0" borderId="0" xfId="2" applyFont="1" applyAlignment="1">
      <alignment horizontal="center"/>
    </xf>
    <xf numFmtId="0" fontId="4" fillId="9" borderId="0" xfId="2" applyFont="1" applyFill="1" applyAlignment="1">
      <alignment horizontal="center"/>
    </xf>
    <xf numFmtId="0" fontId="4" fillId="10" borderId="0" xfId="2" applyFont="1" applyFill="1" applyAlignment="1">
      <alignment horizontal="center"/>
    </xf>
    <xf numFmtId="1" fontId="5" fillId="0" borderId="12" xfId="2" applyNumberFormat="1" applyFont="1" applyBorder="1" applyAlignment="1">
      <alignment horizontal="center"/>
    </xf>
    <xf numFmtId="164" fontId="4" fillId="0" borderId="0" xfId="2" applyNumberFormat="1"/>
    <xf numFmtId="1" fontId="4" fillId="0" borderId="0" xfId="2" applyNumberFormat="1"/>
    <xf numFmtId="0" fontId="4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65" fontId="4" fillId="0" borderId="0" xfId="2" applyNumberFormat="1"/>
    <xf numFmtId="1" fontId="10" fillId="2" borderId="0" xfId="2" applyNumberFormat="1" applyFont="1" applyFill="1" applyBorder="1" applyAlignment="1">
      <alignment horizontal="center"/>
    </xf>
    <xf numFmtId="164" fontId="4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14" xfId="2" applyBorder="1" applyAlignment="1">
      <alignment horizontal="center"/>
    </xf>
    <xf numFmtId="0" fontId="0" fillId="0" borderId="5" xfId="0" applyBorder="1"/>
    <xf numFmtId="0" fontId="4" fillId="0" borderId="8" xfId="2" applyBorder="1" applyAlignment="1">
      <alignment horizontal="center"/>
    </xf>
    <xf numFmtId="0" fontId="0" fillId="0" borderId="3" xfId="0" applyBorder="1"/>
    <xf numFmtId="2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1" borderId="0" xfId="0" applyNumberFormat="1" applyFill="1" applyAlignment="1">
      <alignment horizontal="center"/>
    </xf>
    <xf numFmtId="165" fontId="0" fillId="12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0" fontId="4" fillId="0" borderId="7" xfId="2" applyFill="1" applyBorder="1" applyAlignment="1">
      <alignment horizontal="center"/>
    </xf>
    <xf numFmtId="0" fontId="0" fillId="0" borderId="2" xfId="0" applyBorder="1"/>
    <xf numFmtId="0" fontId="6" fillId="8" borderId="3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8" fontId="2" fillId="0" borderId="0" xfId="0" applyNumberFormat="1" applyFont="1"/>
    <xf numFmtId="2" fontId="9" fillId="0" borderId="13" xfId="0" applyNumberFormat="1" applyFont="1" applyFill="1" applyBorder="1" applyAlignment="1">
      <alignment horizontal="center"/>
    </xf>
    <xf numFmtId="0" fontId="13" fillId="0" borderId="0" xfId="2" applyFont="1"/>
    <xf numFmtId="1" fontId="13" fillId="0" borderId="0" xfId="2" applyNumberFormat="1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5" fillId="16" borderId="0" xfId="2" applyFont="1" applyFill="1" applyAlignment="1">
      <alignment horizontal="center" vertical="center"/>
    </xf>
    <xf numFmtId="164" fontId="15" fillId="16" borderId="0" xfId="2" applyNumberFormat="1" applyFont="1" applyFill="1" applyAlignment="1">
      <alignment horizontal="center" vertical="center"/>
    </xf>
    <xf numFmtId="165" fontId="15" fillId="16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left"/>
    </xf>
    <xf numFmtId="165" fontId="13" fillId="0" borderId="0" xfId="2" applyNumberFormat="1" applyFont="1" applyAlignment="1">
      <alignment horizontal="center"/>
    </xf>
    <xf numFmtId="0" fontId="13" fillId="15" borderId="0" xfId="2" applyFont="1" applyFill="1" applyAlignment="1">
      <alignment horizontal="left"/>
    </xf>
    <xf numFmtId="1" fontId="15" fillId="14" borderId="0" xfId="2" applyNumberFormat="1" applyFont="1" applyFill="1" applyBorder="1" applyAlignment="1">
      <alignment horizontal="center"/>
    </xf>
    <xf numFmtId="164" fontId="15" fillId="11" borderId="0" xfId="2" applyNumberFormat="1" applyFont="1" applyFill="1" applyAlignment="1">
      <alignment horizontal="center"/>
    </xf>
    <xf numFmtId="2" fontId="13" fillId="0" borderId="0" xfId="2" applyNumberFormat="1" applyFont="1" applyAlignment="1">
      <alignment horizontal="center"/>
    </xf>
    <xf numFmtId="1" fontId="15" fillId="13" borderId="0" xfId="2" applyNumberFormat="1" applyFont="1" applyFill="1" applyAlignment="1">
      <alignment horizontal="center"/>
    </xf>
    <xf numFmtId="167" fontId="13" fillId="0" borderId="0" xfId="2" applyNumberFormat="1" applyFont="1" applyAlignment="1">
      <alignment horizontal="center"/>
    </xf>
    <xf numFmtId="2" fontId="14" fillId="2" borderId="0" xfId="2" applyNumberFormat="1" applyFont="1" applyFill="1" applyAlignment="1">
      <alignment horizontal="center"/>
    </xf>
    <xf numFmtId="0" fontId="13" fillId="2" borderId="0" xfId="2" applyFont="1" applyFill="1"/>
    <xf numFmtId="0" fontId="16" fillId="2" borderId="0" xfId="2" applyFont="1" applyFill="1"/>
    <xf numFmtId="0" fontId="16" fillId="0" borderId="0" xfId="2" applyFont="1" applyFill="1"/>
    <xf numFmtId="0" fontId="17" fillId="17" borderId="1" xfId="0" applyFont="1" applyFill="1" applyBorder="1" applyAlignment="1">
      <alignment horizontal="center"/>
    </xf>
    <xf numFmtId="0" fontId="0" fillId="18" borderId="0" xfId="0" applyFill="1"/>
    <xf numFmtId="0" fontId="17" fillId="17" borderId="7" xfId="0" applyFont="1" applyFill="1" applyBorder="1" applyAlignment="1">
      <alignment horizontal="center"/>
    </xf>
    <xf numFmtId="2" fontId="17" fillId="18" borderId="0" xfId="0" applyNumberFormat="1" applyFont="1" applyFill="1" applyAlignment="1">
      <alignment horizontal="left"/>
    </xf>
    <xf numFmtId="0" fontId="17" fillId="18" borderId="0" xfId="0" applyFont="1" applyFill="1" applyAlignment="1">
      <alignment horizontal="right"/>
    </xf>
    <xf numFmtId="0" fontId="0" fillId="6" borderId="8" xfId="0" applyFill="1" applyBorder="1"/>
    <xf numFmtId="2" fontId="18" fillId="18" borderId="5" xfId="0" applyNumberFormat="1" applyFont="1" applyFill="1" applyBorder="1" applyAlignment="1">
      <alignment horizontal="center"/>
    </xf>
    <xf numFmtId="2" fontId="18" fillId="18" borderId="0" xfId="0" applyNumberFormat="1" applyFont="1" applyFill="1" applyAlignment="1">
      <alignment horizontal="center"/>
    </xf>
    <xf numFmtId="0" fontId="19" fillId="19" borderId="14" xfId="0" applyFont="1" applyFill="1" applyBorder="1" applyAlignment="1">
      <alignment horizontal="center" wrapText="1" readingOrder="1"/>
    </xf>
    <xf numFmtId="0" fontId="19" fillId="18" borderId="5" xfId="0" applyFont="1" applyFill="1" applyBorder="1" applyAlignment="1">
      <alignment horizontal="center" wrapText="1" readingOrder="1"/>
    </xf>
    <xf numFmtId="0" fontId="0" fillId="11" borderId="8" xfId="0" applyFill="1" applyBorder="1"/>
    <xf numFmtId="2" fontId="18" fillId="18" borderId="3" xfId="0" applyNumberFormat="1" applyFont="1" applyFill="1" applyBorder="1" applyAlignment="1">
      <alignment horizontal="center"/>
    </xf>
    <xf numFmtId="0" fontId="19" fillId="19" borderId="8" xfId="0" applyFont="1" applyFill="1" applyBorder="1" applyAlignment="1">
      <alignment horizontal="center" wrapText="1" readingOrder="1"/>
    </xf>
    <xf numFmtId="0" fontId="19" fillId="18" borderId="3" xfId="0" applyFont="1" applyFill="1" applyBorder="1" applyAlignment="1">
      <alignment horizontal="center" wrapText="1" readingOrder="1"/>
    </xf>
    <xf numFmtId="0" fontId="0" fillId="5" borderId="8" xfId="0" applyFill="1" applyBorder="1"/>
    <xf numFmtId="2" fontId="18" fillId="20" borderId="6" xfId="0" applyNumberFormat="1" applyFont="1" applyFill="1" applyBorder="1" applyAlignment="1">
      <alignment horizontal="center"/>
    </xf>
    <xf numFmtId="0" fontId="19" fillId="20" borderId="5" xfId="0" applyFont="1" applyFill="1" applyBorder="1" applyAlignment="1">
      <alignment horizontal="center" wrapText="1" readingOrder="1"/>
    </xf>
    <xf numFmtId="0" fontId="0" fillId="3" borderId="8" xfId="0" applyFill="1" applyBorder="1"/>
    <xf numFmtId="2" fontId="18" fillId="20" borderId="4" xfId="0" applyNumberFormat="1" applyFont="1" applyFill="1" applyBorder="1" applyAlignment="1">
      <alignment horizontal="center"/>
    </xf>
    <xf numFmtId="0" fontId="19" fillId="20" borderId="3" xfId="0" applyFont="1" applyFill="1" applyBorder="1" applyAlignment="1">
      <alignment horizontal="center" wrapText="1" readingOrder="1"/>
    </xf>
    <xf numFmtId="0" fontId="0" fillId="6" borderId="14" xfId="0" applyFill="1" applyBorder="1"/>
    <xf numFmtId="0" fontId="0" fillId="3" borderId="7" xfId="0" applyFill="1" applyBorder="1"/>
    <xf numFmtId="2" fontId="18" fillId="20" borderId="16" xfId="0" applyNumberFormat="1" applyFont="1" applyFill="1" applyBorder="1" applyAlignment="1">
      <alignment horizontal="center"/>
    </xf>
    <xf numFmtId="0" fontId="19" fillId="19" borderId="7" xfId="0" applyFont="1" applyFill="1" applyBorder="1" applyAlignment="1">
      <alignment horizontal="center" wrapText="1" readingOrder="1"/>
    </xf>
    <xf numFmtId="0" fontId="19" fillId="20" borderId="2" xfId="0" applyFont="1" applyFill="1" applyBorder="1" applyAlignment="1">
      <alignment horizontal="center" wrapText="1" readingOrder="1"/>
    </xf>
    <xf numFmtId="0" fontId="18" fillId="18" borderId="0" xfId="0" applyFont="1" applyFill="1"/>
    <xf numFmtId="0" fontId="18" fillId="18" borderId="1" xfId="0" applyFont="1" applyFill="1" applyBorder="1" applyAlignment="1">
      <alignment horizontal="center"/>
    </xf>
    <xf numFmtId="0" fontId="18" fillId="18" borderId="11" xfId="0" applyFont="1" applyFill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2271.1999999999998</c:v>
                </c:pt>
                <c:pt idx="3" formatCode="0">
                  <c:v>2422.8000000000002</c:v>
                </c:pt>
                <c:pt idx="4" formatCode="0">
                  <c:v>2559.8000000000002</c:v>
                </c:pt>
                <c:pt idx="5" formatCode="0">
                  <c:v>2845.8</c:v>
                </c:pt>
                <c:pt idx="6" formatCode="0">
                  <c:v>3034.6</c:v>
                </c:pt>
                <c:pt idx="7" formatCode="0">
                  <c:v>3277.6</c:v>
                </c:pt>
                <c:pt idx="8" formatCode="0">
                  <c:v>3400.2</c:v>
                </c:pt>
                <c:pt idx="9" formatCode="0">
                  <c:v>3516.2</c:v>
                </c:pt>
                <c:pt idx="10" formatCode="0">
                  <c:v>3651.2</c:v>
                </c:pt>
                <c:pt idx="11" formatCode="0">
                  <c:v>3858</c:v>
                </c:pt>
                <c:pt idx="12" formatCode="0">
                  <c:v>4070.2</c:v>
                </c:pt>
                <c:pt idx="13" formatCode="0">
                  <c:v>4243.2</c:v>
                </c:pt>
                <c:pt idx="14" formatCode="0">
                  <c:v>4451.8</c:v>
                </c:pt>
                <c:pt idx="15" formatCode="0">
                  <c:v>4687</c:v>
                </c:pt>
                <c:pt idx="16" formatCode="0">
                  <c:v>4842.6000000000004</c:v>
                </c:pt>
                <c:pt idx="17" formatCode="0">
                  <c:v>4920</c:v>
                </c:pt>
                <c:pt idx="18" formatCode="0">
                  <c:v>5034.3999999999996</c:v>
                </c:pt>
                <c:pt idx="19" formatCode="0">
                  <c:v>5223.3999999999996</c:v>
                </c:pt>
                <c:pt idx="20" formatCode="0">
                  <c:v>5364</c:v>
                </c:pt>
                <c:pt idx="21" formatCode="0">
                  <c:v>5512.8</c:v>
                </c:pt>
                <c:pt idx="22" formatCode="0">
                  <c:v>5848.6</c:v>
                </c:pt>
                <c:pt idx="23" formatCode="0">
                  <c:v>6154</c:v>
                </c:pt>
                <c:pt idx="24" formatCode="0">
                  <c:v>6309</c:v>
                </c:pt>
                <c:pt idx="25" formatCode="0">
                  <c:v>6427.8</c:v>
                </c:pt>
                <c:pt idx="26" formatCode="0">
                  <c:v>6675</c:v>
                </c:pt>
                <c:pt idx="27" formatCode="0">
                  <c:v>6739.4</c:v>
                </c:pt>
                <c:pt idx="28" formatCode="0">
                  <c:v>6838.8</c:v>
                </c:pt>
                <c:pt idx="29" formatCode="0">
                  <c:v>7045.6</c:v>
                </c:pt>
                <c:pt idx="30" formatCode="0">
                  <c:v>7202.6</c:v>
                </c:pt>
                <c:pt idx="31" formatCode="0">
                  <c:v>7338</c:v>
                </c:pt>
                <c:pt idx="32" formatCode="0">
                  <c:v>7756.2</c:v>
                </c:pt>
                <c:pt idx="33" formatCode="0">
                  <c:v>7808.2</c:v>
                </c:pt>
                <c:pt idx="34" formatCode="0">
                  <c:v>8095.2</c:v>
                </c:pt>
                <c:pt idx="35" formatCode="0">
                  <c:v>8295.7999999999993</c:v>
                </c:pt>
                <c:pt idx="36" formatCode="0">
                  <c:v>8447.7999999999993</c:v>
                </c:pt>
                <c:pt idx="37" formatCode="0">
                  <c:v>8541.6</c:v>
                </c:pt>
                <c:pt idx="38" formatCode="0">
                  <c:v>8950.2000000000007</c:v>
                </c:pt>
                <c:pt idx="39" formatCode="0">
                  <c:v>9000</c:v>
                </c:pt>
                <c:pt idx="40" formatCode="0">
                  <c:v>9344.6</c:v>
                </c:pt>
                <c:pt idx="41" formatCode="0">
                  <c:v>9561.6</c:v>
                </c:pt>
                <c:pt idx="42" formatCode="0">
                  <c:v>9674.2000000000007</c:v>
                </c:pt>
                <c:pt idx="43" formatCode="0">
                  <c:v>9844.4</c:v>
                </c:pt>
                <c:pt idx="44" formatCode="0">
                  <c:v>9758.7999999999993</c:v>
                </c:pt>
                <c:pt idx="45" formatCode="0">
                  <c:v>9652</c:v>
                </c:pt>
                <c:pt idx="46" formatCode="0">
                  <c:v>9867.2000000000007</c:v>
                </c:pt>
                <c:pt idx="47" formatCode="0">
                  <c:v>10139.4</c:v>
                </c:pt>
                <c:pt idx="48" formatCode="0">
                  <c:v>10297.4</c:v>
                </c:pt>
                <c:pt idx="49" formatCode="0">
                  <c:v>10579</c:v>
                </c:pt>
                <c:pt idx="50" formatCode="0">
                  <c:v>10899</c:v>
                </c:pt>
                <c:pt idx="51" formatCode="0">
                  <c:v>11155.6</c:v>
                </c:pt>
                <c:pt idx="52" formatCode="0">
                  <c:v>11263.4</c:v>
                </c:pt>
                <c:pt idx="53" formatCode="0">
                  <c:v>11328.8</c:v>
                </c:pt>
                <c:pt idx="54" formatCode="0">
                  <c:v>11331.2</c:v>
                </c:pt>
                <c:pt idx="55" formatCode="0">
                  <c:v>11388</c:v>
                </c:pt>
                <c:pt idx="56" formatCode="0">
                  <c:v>11828.6</c:v>
                </c:pt>
                <c:pt idx="57" formatCode="0">
                  <c:v>12354.6</c:v>
                </c:pt>
                <c:pt idx="58" formatCode="0">
                  <c:v>12180.2</c:v>
                </c:pt>
                <c:pt idx="59" formatCode="0">
                  <c:v>12693</c:v>
                </c:pt>
                <c:pt idx="60" formatCode="0">
                  <c:v>13073.4</c:v>
                </c:pt>
                <c:pt idx="61" formatCode="0">
                  <c:v>13102.8</c:v>
                </c:pt>
                <c:pt idx="62" formatCode="0">
                  <c:v>13036.4</c:v>
                </c:pt>
                <c:pt idx="63" formatCode="0">
                  <c:v>13399.2</c:v>
                </c:pt>
                <c:pt idx="64" formatCode="0">
                  <c:v>13736.8</c:v>
                </c:pt>
                <c:pt idx="65" formatCode="0">
                  <c:v>13894</c:v>
                </c:pt>
                <c:pt idx="66" formatCode="0">
                  <c:v>14130.2</c:v>
                </c:pt>
                <c:pt idx="67" formatCode="0">
                  <c:v>14704</c:v>
                </c:pt>
                <c:pt idx="68" formatCode="0">
                  <c:v>14771.4</c:v>
                </c:pt>
                <c:pt idx="69" formatCode="0">
                  <c:v>14716.8</c:v>
                </c:pt>
                <c:pt idx="70" formatCode="0">
                  <c:v>14915.2</c:v>
                </c:pt>
                <c:pt idx="71" formatCode="0">
                  <c:v>14936.2</c:v>
                </c:pt>
                <c:pt idx="72" formatCode="0">
                  <c:v>15019.4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1816.4256472166362</c:v>
                </c:pt>
                <c:pt idx="1">
                  <c:v>2000.0081287726389</c:v>
                </c:pt>
                <c:pt idx="2">
                  <c:v>2183.5906103286416</c:v>
                </c:pt>
                <c:pt idx="3">
                  <c:v>2367.1730918846442</c:v>
                </c:pt>
                <c:pt idx="4">
                  <c:v>2550.7555734406469</c:v>
                </c:pt>
                <c:pt idx="5">
                  <c:v>2734.3380549966496</c:v>
                </c:pt>
                <c:pt idx="6">
                  <c:v>2917.9205365526523</c:v>
                </c:pt>
                <c:pt idx="7">
                  <c:v>3101.5030181086549</c:v>
                </c:pt>
                <c:pt idx="8">
                  <c:v>3285.0854996646576</c:v>
                </c:pt>
                <c:pt idx="9">
                  <c:v>3468.6679812206603</c:v>
                </c:pt>
                <c:pt idx="10">
                  <c:v>3652.250462776663</c:v>
                </c:pt>
                <c:pt idx="11">
                  <c:v>3835.8329443326656</c:v>
                </c:pt>
                <c:pt idx="12">
                  <c:v>4019.4154258886683</c:v>
                </c:pt>
                <c:pt idx="13">
                  <c:v>4202.997907444671</c:v>
                </c:pt>
                <c:pt idx="14">
                  <c:v>4386.5803890006737</c:v>
                </c:pt>
                <c:pt idx="15">
                  <c:v>4570.1628705566764</c:v>
                </c:pt>
                <c:pt idx="16">
                  <c:v>4753.745352112679</c:v>
                </c:pt>
                <c:pt idx="17">
                  <c:v>4937.3278336686817</c:v>
                </c:pt>
                <c:pt idx="18">
                  <c:v>5120.9103152246844</c:v>
                </c:pt>
                <c:pt idx="19">
                  <c:v>5304.4927967806871</c:v>
                </c:pt>
                <c:pt idx="20">
                  <c:v>5488.0752783366897</c:v>
                </c:pt>
                <c:pt idx="21">
                  <c:v>5671.6577598926924</c:v>
                </c:pt>
                <c:pt idx="22">
                  <c:v>5855.2402414486951</c:v>
                </c:pt>
                <c:pt idx="23">
                  <c:v>6038.8227230046978</c:v>
                </c:pt>
                <c:pt idx="24">
                  <c:v>6222.4052045607004</c:v>
                </c:pt>
                <c:pt idx="25">
                  <c:v>6405.9876861167031</c:v>
                </c:pt>
                <c:pt idx="26">
                  <c:v>6589.5701676727058</c:v>
                </c:pt>
                <c:pt idx="27">
                  <c:v>6773.1526492287085</c:v>
                </c:pt>
                <c:pt idx="28">
                  <c:v>6956.7351307847111</c:v>
                </c:pt>
                <c:pt idx="29">
                  <c:v>7140.3176123407138</c:v>
                </c:pt>
                <c:pt idx="30">
                  <c:v>7323.9000938967165</c:v>
                </c:pt>
                <c:pt idx="31">
                  <c:v>7507.4825754527192</c:v>
                </c:pt>
                <c:pt idx="32">
                  <c:v>7691.0650570087219</c:v>
                </c:pt>
                <c:pt idx="33">
                  <c:v>7874.6475385647245</c:v>
                </c:pt>
                <c:pt idx="34">
                  <c:v>8058.2300201207272</c:v>
                </c:pt>
                <c:pt idx="35">
                  <c:v>8241.8125016767299</c:v>
                </c:pt>
                <c:pt idx="36">
                  <c:v>8425.3949832327326</c:v>
                </c:pt>
                <c:pt idx="37">
                  <c:v>8608.9774647887352</c:v>
                </c:pt>
                <c:pt idx="38">
                  <c:v>8792.5599463447379</c:v>
                </c:pt>
                <c:pt idx="39">
                  <c:v>8976.1424279007406</c:v>
                </c:pt>
                <c:pt idx="40">
                  <c:v>9159.7249094567433</c:v>
                </c:pt>
                <c:pt idx="41">
                  <c:v>9343.3073910127459</c:v>
                </c:pt>
                <c:pt idx="42">
                  <c:v>9526.8898725687486</c:v>
                </c:pt>
                <c:pt idx="43">
                  <c:v>9710.4723541247513</c:v>
                </c:pt>
                <c:pt idx="44">
                  <c:v>9894.054835680754</c:v>
                </c:pt>
                <c:pt idx="45">
                  <c:v>10077.637317236757</c:v>
                </c:pt>
                <c:pt idx="46">
                  <c:v>10261.219798792759</c:v>
                </c:pt>
                <c:pt idx="47">
                  <c:v>10444.802280348762</c:v>
                </c:pt>
                <c:pt idx="48">
                  <c:v>10628.384761904765</c:v>
                </c:pt>
                <c:pt idx="49">
                  <c:v>10811.967243460767</c:v>
                </c:pt>
                <c:pt idx="50">
                  <c:v>10995.54972501677</c:v>
                </c:pt>
                <c:pt idx="51">
                  <c:v>11179.132206572773</c:v>
                </c:pt>
                <c:pt idx="52">
                  <c:v>11362.714688128775</c:v>
                </c:pt>
                <c:pt idx="53">
                  <c:v>11546.297169684778</c:v>
                </c:pt>
                <c:pt idx="54">
                  <c:v>11729.879651240781</c:v>
                </c:pt>
                <c:pt idx="55">
                  <c:v>11913.462132796783</c:v>
                </c:pt>
                <c:pt idx="56">
                  <c:v>12097.044614352786</c:v>
                </c:pt>
                <c:pt idx="57">
                  <c:v>12280.627095908789</c:v>
                </c:pt>
                <c:pt idx="58">
                  <c:v>12464.209577464791</c:v>
                </c:pt>
                <c:pt idx="59">
                  <c:v>12647.792059020794</c:v>
                </c:pt>
                <c:pt idx="60">
                  <c:v>12831.374540576797</c:v>
                </c:pt>
                <c:pt idx="61">
                  <c:v>13014.957022132799</c:v>
                </c:pt>
                <c:pt idx="62">
                  <c:v>13198.539503688802</c:v>
                </c:pt>
                <c:pt idx="63">
                  <c:v>13382.121985244805</c:v>
                </c:pt>
                <c:pt idx="64">
                  <c:v>13565.704466800807</c:v>
                </c:pt>
                <c:pt idx="65">
                  <c:v>13749.28694835681</c:v>
                </c:pt>
                <c:pt idx="66">
                  <c:v>13932.869429912813</c:v>
                </c:pt>
                <c:pt idx="67">
                  <c:v>14116.451911468816</c:v>
                </c:pt>
                <c:pt idx="68">
                  <c:v>14300.034393024818</c:v>
                </c:pt>
                <c:pt idx="69">
                  <c:v>14483.616874580821</c:v>
                </c:pt>
                <c:pt idx="70">
                  <c:v>14667.199356136824</c:v>
                </c:pt>
                <c:pt idx="71">
                  <c:v>14850.781837692826</c:v>
                </c:pt>
                <c:pt idx="72">
                  <c:v>15034.364319248829</c:v>
                </c:pt>
                <c:pt idx="73">
                  <c:v>15217.946800804832</c:v>
                </c:pt>
                <c:pt idx="74">
                  <c:v>15401.529282360834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1616.3086113680972</c:v>
                </c:pt>
                <c:pt idx="1">
                  <c:v>1815.3065228027885</c:v>
                </c:pt>
                <c:pt idx="2">
                  <c:v>2190.7801318629145</c:v>
                </c:pt>
                <c:pt idx="3">
                  <c:v>2549.1636124366873</c:v>
                </c:pt>
                <c:pt idx="4">
                  <c:v>2862.8347432886812</c:v>
                </c:pt>
                <c:pt idx="5">
                  <c:v>2433.0938904406926</c:v>
                </c:pt>
                <c:pt idx="6">
                  <c:v>2648.4493271909082</c:v>
                </c:pt>
                <c:pt idx="7">
                  <c:v>3111.7147870326608</c:v>
                </c:pt>
                <c:pt idx="8">
                  <c:v>3537.6459998627879</c:v>
                </c:pt>
                <c:pt idx="9">
                  <c:v>3893.051656132187</c:v>
                </c:pt>
                <c:pt idx="10">
                  <c:v>3249.8791695132882</c:v>
                </c:pt>
                <c:pt idx="11">
                  <c:v>3481.5921315790274</c:v>
                </c:pt>
                <c:pt idx="12">
                  <c:v>4032.6494422024066</c:v>
                </c:pt>
                <c:pt idx="13">
                  <c:v>4526.128387288888</c:v>
                </c:pt>
                <c:pt idx="14">
                  <c:v>4923.2685689756927</c:v>
                </c:pt>
                <c:pt idx="15">
                  <c:v>4066.6644485858833</c:v>
                </c:pt>
                <c:pt idx="16">
                  <c:v>4314.7349359671471</c:v>
                </c:pt>
                <c:pt idx="17">
                  <c:v>4953.5840973721524</c:v>
                </c:pt>
                <c:pt idx="18">
                  <c:v>5514.6107747149881</c:v>
                </c:pt>
                <c:pt idx="19">
                  <c:v>5953.4854818191989</c:v>
                </c:pt>
                <c:pt idx="20">
                  <c:v>4883.4497276584789</c:v>
                </c:pt>
                <c:pt idx="21">
                  <c:v>5147.8777403552667</c:v>
                </c:pt>
                <c:pt idx="22">
                  <c:v>5874.5187525418987</c:v>
                </c:pt>
                <c:pt idx="23">
                  <c:v>6503.0931621410891</c:v>
                </c:pt>
                <c:pt idx="24">
                  <c:v>6983.702394662705</c:v>
                </c:pt>
                <c:pt idx="25">
                  <c:v>5700.2350067310745</c:v>
                </c:pt>
                <c:pt idx="26">
                  <c:v>5981.0205447433855</c:v>
                </c:pt>
                <c:pt idx="27">
                  <c:v>6795.453407711645</c:v>
                </c:pt>
                <c:pt idx="28">
                  <c:v>7491.5755495671892</c:v>
                </c:pt>
                <c:pt idx="29">
                  <c:v>8013.9193075062103</c:v>
                </c:pt>
                <c:pt idx="30">
                  <c:v>6517.02028580367</c:v>
                </c:pt>
                <c:pt idx="31">
                  <c:v>6814.1633491315051</c:v>
                </c:pt>
                <c:pt idx="32">
                  <c:v>7716.3880628813913</c:v>
                </c:pt>
                <c:pt idx="33">
                  <c:v>8480.0579369932893</c:v>
                </c:pt>
                <c:pt idx="34">
                  <c:v>9044.1362203497174</c:v>
                </c:pt>
                <c:pt idx="35">
                  <c:v>7333.8055648762656</c:v>
                </c:pt>
                <c:pt idx="36">
                  <c:v>7647.3061535196248</c:v>
                </c:pt>
                <c:pt idx="37">
                  <c:v>8637.3227180511367</c:v>
                </c:pt>
                <c:pt idx="38">
                  <c:v>9468.5403244193894</c:v>
                </c:pt>
                <c:pt idx="39">
                  <c:v>10074.353133193223</c:v>
                </c:pt>
                <c:pt idx="40">
                  <c:v>8150.5908439488603</c:v>
                </c:pt>
                <c:pt idx="41">
                  <c:v>8480.4489579077435</c:v>
                </c:pt>
                <c:pt idx="42">
                  <c:v>9558.2573732208839</c:v>
                </c:pt>
                <c:pt idx="43">
                  <c:v>10457.02271184549</c:v>
                </c:pt>
                <c:pt idx="44">
                  <c:v>11104.570046036728</c:v>
                </c:pt>
                <c:pt idx="45">
                  <c:v>8967.3761230214568</c:v>
                </c:pt>
                <c:pt idx="46">
                  <c:v>9313.5917622958641</c:v>
                </c:pt>
                <c:pt idx="47">
                  <c:v>10479.192028390629</c:v>
                </c:pt>
                <c:pt idx="48">
                  <c:v>11445.50509927159</c:v>
                </c:pt>
                <c:pt idx="49">
                  <c:v>12134.786958880235</c:v>
                </c:pt>
                <c:pt idx="50">
                  <c:v>9784.1614020940524</c:v>
                </c:pt>
                <c:pt idx="51">
                  <c:v>10146.734566683983</c:v>
                </c:pt>
                <c:pt idx="52">
                  <c:v>11400.126683560376</c:v>
                </c:pt>
                <c:pt idx="53">
                  <c:v>12433.98748669769</c:v>
                </c:pt>
                <c:pt idx="54">
                  <c:v>13165.00387172374</c:v>
                </c:pt>
                <c:pt idx="55">
                  <c:v>10600.946681166646</c:v>
                </c:pt>
                <c:pt idx="56">
                  <c:v>10979.877371072103</c:v>
                </c:pt>
                <c:pt idx="57">
                  <c:v>12321.061338730122</c:v>
                </c:pt>
                <c:pt idx="58">
                  <c:v>13422.469874123792</c:v>
                </c:pt>
                <c:pt idx="59">
                  <c:v>14195.220784567246</c:v>
                </c:pt>
                <c:pt idx="60">
                  <c:v>11417.731960239242</c:v>
                </c:pt>
                <c:pt idx="61">
                  <c:v>11813.020175460222</c:v>
                </c:pt>
                <c:pt idx="62">
                  <c:v>13241.995993899867</c:v>
                </c:pt>
                <c:pt idx="63">
                  <c:v>14410.952261549892</c:v>
                </c:pt>
                <c:pt idx="64">
                  <c:v>15225.437697410753</c:v>
                </c:pt>
                <c:pt idx="65">
                  <c:v>12234.517239311837</c:v>
                </c:pt>
                <c:pt idx="66">
                  <c:v>12646.162979848341</c:v>
                </c:pt>
                <c:pt idx="67">
                  <c:v>14162.930649069614</c:v>
                </c:pt>
                <c:pt idx="68">
                  <c:v>15399.434648975992</c:v>
                </c:pt>
                <c:pt idx="69">
                  <c:v>16255.654610254258</c:v>
                </c:pt>
                <c:pt idx="70">
                  <c:v>13051.302518384433</c:v>
                </c:pt>
                <c:pt idx="71">
                  <c:v>13479.305784236461</c:v>
                </c:pt>
                <c:pt idx="72">
                  <c:v>15083.86530423936</c:v>
                </c:pt>
                <c:pt idx="73">
                  <c:v>16387.91703640209</c:v>
                </c:pt>
                <c:pt idx="74">
                  <c:v>17285.871523097765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227086</xdr:colOff>
      <xdr:row>8</xdr:row>
      <xdr:rowOff>16655</xdr:rowOff>
    </xdr:from>
    <xdr:to>
      <xdr:col>15</xdr:col>
      <xdr:colOff>79124</xdr:colOff>
      <xdr:row>23</xdr:row>
      <xdr:rowOff>138110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277945</xdr:colOff>
      <xdr:row>8</xdr:row>
      <xdr:rowOff>39568</xdr:rowOff>
    </xdr:from>
    <xdr:to>
      <xdr:col>22</xdr:col>
      <xdr:colOff>482109</xdr:colOff>
      <xdr:row>23</xdr:row>
      <xdr:rowOff>177994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259444</xdr:colOff>
      <xdr:row>21</xdr:row>
      <xdr:rowOff>2065</xdr:rowOff>
    </xdr:from>
    <xdr:to>
      <xdr:col>15</xdr:col>
      <xdr:colOff>114968</xdr:colOff>
      <xdr:row>36</xdr:row>
      <xdr:rowOff>145710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21</xdr:row>
      <xdr:rowOff>57150</xdr:rowOff>
    </xdr:from>
    <xdr:to>
      <xdr:col>23</xdr:col>
      <xdr:colOff>161925</xdr:colOff>
      <xdr:row>37</xdr:row>
      <xdr:rowOff>15240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ameItSh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rendAndSeasonalityExpoSmooPrac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&amp;b1"/>
      <sheetName val="Trend&amp;Season"/>
      <sheetName val="TrendAndSeas"/>
      <sheetName val="1.Trend&amp;Season"/>
      <sheetName val="0.Regression"/>
      <sheetName val="TrAdES"/>
      <sheetName val="TrAdES2"/>
      <sheetName val="Sheet1"/>
    </sheetNames>
    <sheetDataSet>
      <sheetData sheetId="0">
        <row r="17">
          <cell r="B17">
            <v>7.0357142857142856</v>
          </cell>
        </row>
        <row r="18">
          <cell r="B18">
            <v>1.0714285714285714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91B8-8A0F-42CF-BF9D-F9E43D0A3D43}">
  <dimension ref="A1:E17"/>
  <sheetViews>
    <sheetView workbookViewId="0">
      <selection activeCell="D16" sqref="D16"/>
    </sheetView>
  </sheetViews>
  <sheetFormatPr defaultRowHeight="15" x14ac:dyDescent="0.25"/>
  <cols>
    <col min="2" max="2" width="8.7109375" bestFit="1" customWidth="1"/>
    <col min="3" max="3" width="9.42578125" customWidth="1"/>
    <col min="4" max="4" width="11.28515625" bestFit="1" customWidth="1"/>
    <col min="5" max="5" width="12" bestFit="1" customWidth="1"/>
  </cols>
  <sheetData>
    <row r="1" spans="1:5" ht="18.75" customHeight="1" thickBot="1" x14ac:dyDescent="0.3">
      <c r="A1" s="128" t="s">
        <v>88</v>
      </c>
      <c r="B1" s="129" t="s">
        <v>87</v>
      </c>
      <c r="C1" s="128" t="s">
        <v>86</v>
      </c>
      <c r="D1" s="129" t="s">
        <v>24</v>
      </c>
      <c r="E1" s="128" t="s">
        <v>85</v>
      </c>
    </row>
    <row r="2" spans="1:5" ht="15.75" x14ac:dyDescent="0.25">
      <c r="A2" s="115">
        <v>1</v>
      </c>
      <c r="B2" s="125">
        <v>4</v>
      </c>
      <c r="C2" s="127"/>
      <c r="D2" s="113">
        <f>$D$14+$D$15*A2</f>
        <v>8.1071428571428577</v>
      </c>
      <c r="E2" s="123">
        <f>B2/D2</f>
        <v>0.49339207048458145</v>
      </c>
    </row>
    <row r="3" spans="1:5" ht="16.5" thickBot="1" x14ac:dyDescent="0.3">
      <c r="A3" s="115">
        <v>2</v>
      </c>
      <c r="B3" s="114">
        <v>9</v>
      </c>
      <c r="C3" s="127"/>
      <c r="D3" s="113">
        <f>$D$14+$D$15*A3</f>
        <v>9.1785714285714288</v>
      </c>
      <c r="E3" s="116">
        <f>B3/D3</f>
        <v>0.98054474708171202</v>
      </c>
    </row>
    <row r="4" spans="1:5" ht="15.75" x14ac:dyDescent="0.25">
      <c r="A4" s="126">
        <v>3</v>
      </c>
      <c r="B4" s="125">
        <v>15</v>
      </c>
      <c r="C4" s="124">
        <f>(B2+2*SUM(B3:B5)+B6)/8</f>
        <v>10</v>
      </c>
      <c r="D4" s="113">
        <f>$D$14+$D$15*A4</f>
        <v>10.25</v>
      </c>
      <c r="E4" s="112">
        <f>B4/D4</f>
        <v>1.4634146341463414</v>
      </c>
    </row>
    <row r="5" spans="1:5" ht="16.5" thickBot="1" x14ac:dyDescent="0.3">
      <c r="A5" s="121">
        <v>4</v>
      </c>
      <c r="B5" s="114">
        <v>11</v>
      </c>
      <c r="C5" s="120">
        <f>(B3+2*SUM(B4:B6)+B7)/8</f>
        <v>10.875</v>
      </c>
      <c r="D5" s="113">
        <f>$D$14+$D$15*A5</f>
        <v>11.321428571428571</v>
      </c>
      <c r="E5" s="122">
        <f>B5/D5</f>
        <v>0.97160883280757104</v>
      </c>
    </row>
    <row r="6" spans="1:5" ht="15.75" x14ac:dyDescent="0.25">
      <c r="A6" s="121">
        <v>5</v>
      </c>
      <c r="B6" s="114">
        <v>6</v>
      </c>
      <c r="C6" s="120">
        <f>(B4+2*SUM(B5:B7)+B8)/8</f>
        <v>12.5</v>
      </c>
      <c r="D6" s="113">
        <f>$D$14+$D$15*A6</f>
        <v>12.392857142857142</v>
      </c>
      <c r="E6" s="123">
        <f>B6/D6</f>
        <v>0.48414985590778098</v>
      </c>
    </row>
    <row r="7" spans="1:5" ht="15.75" x14ac:dyDescent="0.25">
      <c r="A7" s="121">
        <v>6</v>
      </c>
      <c r="B7" s="114">
        <v>14</v>
      </c>
      <c r="C7" s="120">
        <f>(B5+2*SUM(B6:B8)+B9)/8</f>
        <v>14.125</v>
      </c>
      <c r="D7" s="113">
        <f>$D$14+$D$15*A7</f>
        <v>13.464285714285715</v>
      </c>
      <c r="E7" s="116">
        <f>B7/D7</f>
        <v>1.039787798408488</v>
      </c>
    </row>
    <row r="8" spans="1:5" ht="15.75" x14ac:dyDescent="0.25">
      <c r="A8" s="121">
        <v>7</v>
      </c>
      <c r="B8" s="114">
        <v>23</v>
      </c>
      <c r="C8" s="120">
        <f>(B6+2*SUM(B7:B9)+B10)/8</f>
        <v>15</v>
      </c>
      <c r="D8" s="113">
        <f>$D$14+$D$15*A8</f>
        <v>14.535714285714285</v>
      </c>
      <c r="E8" s="112">
        <f>B8/D8</f>
        <v>1.5823095823095825</v>
      </c>
    </row>
    <row r="9" spans="1:5" ht="16.5" thickBot="1" x14ac:dyDescent="0.3">
      <c r="A9" s="121">
        <v>8</v>
      </c>
      <c r="B9" s="114">
        <v>16</v>
      </c>
      <c r="C9" s="120">
        <f>(B7+2*SUM(B8:B10)+B11)/8</f>
        <v>15.625</v>
      </c>
      <c r="D9" s="113">
        <f>$D$14+$D$15*A9</f>
        <v>15.607142857142858</v>
      </c>
      <c r="E9" s="122">
        <f>B9/D9</f>
        <v>1.0251716247139588</v>
      </c>
    </row>
    <row r="10" spans="1:5" ht="15.75" x14ac:dyDescent="0.25">
      <c r="A10" s="121">
        <v>9</v>
      </c>
      <c r="B10" s="114">
        <v>8</v>
      </c>
      <c r="C10" s="120">
        <f>(B8+2*SUM(B9:B11)+B12)/8</f>
        <v>16.5</v>
      </c>
      <c r="D10" s="113">
        <f>$D$14+$D$15*A10</f>
        <v>16.678571428571427</v>
      </c>
      <c r="E10" s="119">
        <f>B10/D10</f>
        <v>0.47965738758029985</v>
      </c>
    </row>
    <row r="11" spans="1:5" ht="16.5" thickBot="1" x14ac:dyDescent="0.3">
      <c r="A11" s="118">
        <v>10</v>
      </c>
      <c r="B11" s="110">
        <v>17</v>
      </c>
      <c r="C11" s="117">
        <f>(B9+2*SUM(B10:B12)+B13)/8</f>
        <v>17.375</v>
      </c>
      <c r="D11" s="113">
        <f>$D$14+$D$15*A11</f>
        <v>17.75</v>
      </c>
      <c r="E11" s="116">
        <f>B11/D11</f>
        <v>0.95774647887323938</v>
      </c>
    </row>
    <row r="12" spans="1:5" ht="15.75" x14ac:dyDescent="0.25">
      <c r="A12" s="115">
        <v>11</v>
      </c>
      <c r="B12" s="114">
        <v>27</v>
      </c>
      <c r="C12" s="109"/>
      <c r="D12" s="113">
        <f>$D$14+$D$15*A12</f>
        <v>18.821428571428569</v>
      </c>
      <c r="E12" s="112">
        <f>B12/D12</f>
        <v>1.4345351043643266</v>
      </c>
    </row>
    <row r="13" spans="1:5" ht="16.5" thickBot="1" x14ac:dyDescent="0.3">
      <c r="A13" s="111">
        <v>12</v>
      </c>
      <c r="B13" s="110">
        <v>19</v>
      </c>
      <c r="C13" s="109"/>
      <c r="D13" s="108">
        <f>$D$14+$D$15*A13</f>
        <v>19.892857142857142</v>
      </c>
      <c r="E13" s="107">
        <f>B13/D13</f>
        <v>0.955116696588869</v>
      </c>
    </row>
    <row r="14" spans="1:5" ht="15.75" thickBot="1" x14ac:dyDescent="0.3">
      <c r="A14" s="103"/>
      <c r="B14" s="103"/>
      <c r="C14" s="106" t="s">
        <v>84</v>
      </c>
      <c r="D14" s="105">
        <f>'[4]b0&amp;b1'!B17</f>
        <v>7.0357142857142856</v>
      </c>
      <c r="E14" s="104">
        <f>ROUND((E2+E6+E10)/3,1)</f>
        <v>0.5</v>
      </c>
    </row>
    <row r="15" spans="1:5" ht="15.75" thickBot="1" x14ac:dyDescent="0.3">
      <c r="A15" s="103"/>
      <c r="B15" s="103"/>
      <c r="C15" s="106" t="s">
        <v>83</v>
      </c>
      <c r="D15" s="105">
        <f>'[4]b0&amp;b1'!B18</f>
        <v>1.0714285714285714</v>
      </c>
      <c r="E15" s="104">
        <f>ROUND((E3+E7+E11)/3,1)</f>
        <v>1</v>
      </c>
    </row>
    <row r="16" spans="1:5" ht="15.75" thickBot="1" x14ac:dyDescent="0.3">
      <c r="A16" s="103"/>
      <c r="B16" s="103"/>
      <c r="C16" s="103"/>
      <c r="D16" s="103"/>
      <c r="E16" s="104">
        <f>ROUND((E4+E8+E12)/3,1)</f>
        <v>1.5</v>
      </c>
    </row>
    <row r="17" spans="1:5" ht="15.75" thickBot="1" x14ac:dyDescent="0.3">
      <c r="A17" s="103"/>
      <c r="B17" s="103"/>
      <c r="C17" s="103"/>
      <c r="D17" s="103"/>
      <c r="E17" s="102">
        <f>ROUND((E5+E9+E13)/3,1)</f>
        <v>1</v>
      </c>
    </row>
  </sheetData>
  <conditionalFormatting sqref="E14:E17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83"/>
  <sheetViews>
    <sheetView tabSelected="1" zoomScale="202" zoomScaleNormal="202" workbookViewId="0">
      <selection activeCell="I7" sqref="I7"/>
    </sheetView>
  </sheetViews>
  <sheetFormatPr defaultColWidth="9.140625" defaultRowHeight="13.5" x14ac:dyDescent="0.25"/>
  <cols>
    <col min="1" max="1" width="6.7109375" style="84" bestFit="1" customWidth="1"/>
    <col min="2" max="2" width="6.7109375" style="84" customWidth="1"/>
    <col min="3" max="3" width="8.140625" style="86" bestFit="1" customWidth="1"/>
    <col min="4" max="4" width="12.140625" style="86" bestFit="1" customWidth="1"/>
    <col min="5" max="5" width="11.5703125" style="86" bestFit="1" customWidth="1"/>
    <col min="6" max="6" width="11.5703125" style="84" bestFit="1" customWidth="1"/>
    <col min="7" max="7" width="9.5703125" style="84" bestFit="1" customWidth="1"/>
    <col min="8" max="8" width="9.7109375" style="84" bestFit="1" customWidth="1"/>
    <col min="9" max="10" width="9.140625" style="84"/>
    <col min="11" max="11" width="9.140625" style="84" customWidth="1"/>
    <col min="12" max="12" width="14.5703125" style="84" bestFit="1" customWidth="1"/>
    <col min="13" max="16384" width="9.140625" style="84"/>
  </cols>
  <sheetData>
    <row r="1" spans="1:25" ht="18.75" x14ac:dyDescent="0.3">
      <c r="E1" s="87" t="s">
        <v>32</v>
      </c>
      <c r="F1" s="87" t="s">
        <v>34</v>
      </c>
      <c r="G1" s="87" t="s">
        <v>69</v>
      </c>
      <c r="H1" s="87" t="s">
        <v>8</v>
      </c>
      <c r="J1" s="100" t="s">
        <v>75</v>
      </c>
      <c r="K1" s="99"/>
      <c r="L1" s="100" t="s">
        <v>76</v>
      </c>
      <c r="M1" s="100"/>
      <c r="N1" s="100"/>
      <c r="O1" s="100"/>
      <c r="P1" s="100"/>
      <c r="Q1" s="99"/>
      <c r="R1" s="100"/>
      <c r="S1" s="100"/>
      <c r="T1" s="101"/>
    </row>
    <row r="2" spans="1:25" ht="15" x14ac:dyDescent="0.25">
      <c r="E2" s="88">
        <f>INTERCEPT($D$6:$D$76,$A$6:$A$76)</f>
        <v>1632.8431656606335</v>
      </c>
      <c r="F2" s="88">
        <f>SLOPE($D$6:$D$76,$A$6:$A$76)</f>
        <v>183.58248155600268</v>
      </c>
      <c r="G2" s="89">
        <f>RSQ($D$6:$D$76,$A$6:$A$76)</f>
        <v>0.99744263110748199</v>
      </c>
      <c r="H2" s="88">
        <f>STEYX($D$6:$D$76,$A$6:$A$76)</f>
        <v>193.24721166440082</v>
      </c>
      <c r="J2" s="86" t="s">
        <v>72</v>
      </c>
      <c r="K2" s="86" t="s">
        <v>71</v>
      </c>
      <c r="L2" s="86" t="s">
        <v>73</v>
      </c>
      <c r="M2" s="84" t="s">
        <v>77</v>
      </c>
    </row>
    <row r="3" spans="1:25" x14ac:dyDescent="0.25">
      <c r="A3" s="90" t="str">
        <f>[1]ArdiData!A2</f>
        <v>Per.</v>
      </c>
      <c r="B3" s="90"/>
      <c r="C3" s="85" t="str">
        <f>[1]ArdiData!D2</f>
        <v>Trend&amp;S</v>
      </c>
      <c r="D3" s="86" t="s">
        <v>68</v>
      </c>
      <c r="E3" s="84" t="s">
        <v>70</v>
      </c>
      <c r="F3" s="84" t="s">
        <v>71</v>
      </c>
      <c r="G3" s="84" t="s">
        <v>72</v>
      </c>
      <c r="H3" s="84" t="s">
        <v>74</v>
      </c>
      <c r="J3" s="86">
        <v>1</v>
      </c>
      <c r="K3" s="91">
        <f>AVERAGEIF($G$4:$G$78,J3,$F$4:$F$78)</f>
        <v>0.89330400921186581</v>
      </c>
      <c r="L3" s="86">
        <f>K3/$K$8</f>
        <v>0.88982921698161199</v>
      </c>
      <c r="M3" s="84" t="s">
        <v>78</v>
      </c>
    </row>
    <row r="4" spans="1:25" ht="15" x14ac:dyDescent="0.3">
      <c r="A4" s="90">
        <f>[1]ArdiData!A3</f>
        <v>1</v>
      </c>
      <c r="B4" s="92" t="e">
        <f>#REF!</f>
        <v>#REF!</v>
      </c>
      <c r="C4" s="93">
        <f>Y4</f>
        <v>1756</v>
      </c>
      <c r="E4" s="94">
        <f>$E$2+$F$2*A4</f>
        <v>1816.4256472166362</v>
      </c>
      <c r="F4" s="98">
        <f>C4/E4</f>
        <v>0.96673376237049491</v>
      </c>
      <c r="G4" s="98">
        <f>IF(MOD(A4,5)&lt;&gt;0,MOD(A4,5),5)</f>
        <v>1</v>
      </c>
      <c r="H4" s="95">
        <f>VLOOKUP(G4,$J$3:$L$7,3)*E4</f>
        <v>1616.3086113680972</v>
      </c>
      <c r="J4" s="86">
        <v>2</v>
      </c>
      <c r="K4" s="91">
        <f t="shared" ref="K4:K7" si="0">AVERAGEIF($G$4:$G$78,J4,$F$4:$F$78)</f>
        <v>0.91119395326391028</v>
      </c>
      <c r="L4" s="86">
        <f t="shared" ref="L4:L7" si="1">K4/$K$8</f>
        <v>0.90764957236288957</v>
      </c>
      <c r="M4" s="84" t="s">
        <v>79</v>
      </c>
      <c r="Y4" s="93">
        <v>1756</v>
      </c>
    </row>
    <row r="5" spans="1:25" ht="15" x14ac:dyDescent="0.3">
      <c r="A5" s="90">
        <f>[1]ArdiData!A4</f>
        <v>2</v>
      </c>
      <c r="B5" s="92" t="e">
        <f>#REF!</f>
        <v>#REF!</v>
      </c>
      <c r="C5" s="93">
        <f t="shared" ref="C5:C68" si="2">Y5</f>
        <v>1962</v>
      </c>
      <c r="E5" s="94">
        <f t="shared" ref="E5:E68" si="3">$E$2+$F$2*A5</f>
        <v>2000.0081287726389</v>
      </c>
      <c r="F5" s="98">
        <f t="shared" ref="F5:F68" si="4">C5/E5</f>
        <v>0.98099601285322591</v>
      </c>
      <c r="G5" s="98">
        <f t="shared" ref="G5:G68" si="5">IF(MOD(A5,5)&lt;&gt;0,MOD(A5,5),5)</f>
        <v>2</v>
      </c>
      <c r="H5" s="95">
        <f t="shared" ref="H5:H68" si="6">VLOOKUP(G5,$J$3:$L$7,3)*E5</f>
        <v>1815.3065228027885</v>
      </c>
      <c r="J5" s="86">
        <v>3</v>
      </c>
      <c r="K5" s="91">
        <f t="shared" si="0"/>
        <v>1.0072103902501437</v>
      </c>
      <c r="L5" s="86">
        <f t="shared" si="1"/>
        <v>1.0032925226460792</v>
      </c>
      <c r="M5" s="84" t="s">
        <v>80</v>
      </c>
      <c r="Y5" s="93">
        <v>1962</v>
      </c>
    </row>
    <row r="6" spans="1:25" ht="15" x14ac:dyDescent="0.3">
      <c r="A6" s="90">
        <f>[1]ArdiData!A5</f>
        <v>3</v>
      </c>
      <c r="B6" s="92" t="e">
        <f>#REF!</f>
        <v>#REF!</v>
      </c>
      <c r="C6" s="93">
        <f t="shared" si="2"/>
        <v>2071</v>
      </c>
      <c r="D6" s="96">
        <f>AVERAGE(C4:C8)</f>
        <v>2271.1999999999998</v>
      </c>
      <c r="E6" s="94">
        <f t="shared" si="3"/>
        <v>2183.5906103286416</v>
      </c>
      <c r="F6" s="98">
        <f t="shared" si="4"/>
        <v>0.94843785744632048</v>
      </c>
      <c r="G6" s="98">
        <f t="shared" si="5"/>
        <v>3</v>
      </c>
      <c r="H6" s="95">
        <f t="shared" si="6"/>
        <v>2190.7801318629145</v>
      </c>
      <c r="J6" s="86">
        <v>4</v>
      </c>
      <c r="K6" s="91">
        <f t="shared" si="0"/>
        <v>1.0810861830488137</v>
      </c>
      <c r="L6" s="86">
        <f t="shared" si="1"/>
        <v>1.0768809518729152</v>
      </c>
      <c r="M6" s="84" t="s">
        <v>81</v>
      </c>
      <c r="Y6" s="93">
        <v>2071</v>
      </c>
    </row>
    <row r="7" spans="1:25" ht="15" x14ac:dyDescent="0.3">
      <c r="A7" s="90">
        <f>[1]ArdiData!A6</f>
        <v>4</v>
      </c>
      <c r="B7" s="92" t="e">
        <f>#REF!</f>
        <v>#REF!</v>
      </c>
      <c r="C7" s="93">
        <f t="shared" si="2"/>
        <v>2746</v>
      </c>
      <c r="D7" s="96">
        <f t="shared" ref="D7:D70" si="7">AVERAGE(C5:C9)</f>
        <v>2422.8000000000002</v>
      </c>
      <c r="E7" s="94">
        <f t="shared" si="3"/>
        <v>2367.1730918846442</v>
      </c>
      <c r="F7" s="98">
        <f t="shared" si="4"/>
        <v>1.1600334632959812</v>
      </c>
      <c r="G7" s="98">
        <f t="shared" si="5"/>
        <v>4</v>
      </c>
      <c r="H7" s="95">
        <f t="shared" si="6"/>
        <v>2549.1636124366873</v>
      </c>
      <c r="J7" s="86">
        <v>5</v>
      </c>
      <c r="K7" s="91">
        <f t="shared" si="0"/>
        <v>1.1267305155718652</v>
      </c>
      <c r="L7" s="86">
        <f t="shared" si="1"/>
        <v>1.1223477361365044</v>
      </c>
      <c r="M7" s="84" t="s">
        <v>82</v>
      </c>
      <c r="Y7" s="93">
        <v>2746</v>
      </c>
    </row>
    <row r="8" spans="1:25" ht="15" x14ac:dyDescent="0.3">
      <c r="A8" s="90">
        <f>[1]ArdiData!A7</f>
        <v>5</v>
      </c>
      <c r="B8" s="92" t="e">
        <f>#REF!</f>
        <v>#REF!</v>
      </c>
      <c r="C8" s="93">
        <f t="shared" si="2"/>
        <v>2821</v>
      </c>
      <c r="D8" s="96">
        <f t="shared" si="7"/>
        <v>2559.8000000000002</v>
      </c>
      <c r="E8" s="94">
        <f t="shared" si="3"/>
        <v>2550.7555734406469</v>
      </c>
      <c r="F8" s="98">
        <f t="shared" si="4"/>
        <v>1.1059468141021553</v>
      </c>
      <c r="G8" s="98">
        <f t="shared" si="5"/>
        <v>5</v>
      </c>
      <c r="H8" s="95">
        <f t="shared" si="6"/>
        <v>2862.8347432886812</v>
      </c>
      <c r="J8" s="86"/>
      <c r="K8" s="97">
        <f>AVERAGE(K3:K7)</f>
        <v>1.0039050102693197</v>
      </c>
      <c r="L8" s="97">
        <f>AVERAGE(L3:L7)</f>
        <v>1.0000000000000002</v>
      </c>
      <c r="Y8" s="93">
        <v>2821</v>
      </c>
    </row>
    <row r="9" spans="1:25" ht="15" x14ac:dyDescent="0.3">
      <c r="A9" s="90">
        <f>[1]ArdiData!A8</f>
        <v>6</v>
      </c>
      <c r="B9" s="92" t="e">
        <f>#REF!</f>
        <v>#REF!</v>
      </c>
      <c r="C9" s="93">
        <f t="shared" si="2"/>
        <v>2514</v>
      </c>
      <c r="D9" s="96">
        <f t="shared" si="7"/>
        <v>2845.8</v>
      </c>
      <c r="E9" s="94">
        <f t="shared" si="3"/>
        <v>2734.3380549966496</v>
      </c>
      <c r="F9" s="98">
        <f t="shared" si="4"/>
        <v>0.91941813683424756</v>
      </c>
      <c r="G9" s="98">
        <f t="shared" si="5"/>
        <v>1</v>
      </c>
      <c r="H9" s="95">
        <f t="shared" si="6"/>
        <v>2433.0938904406926</v>
      </c>
      <c r="Y9" s="93">
        <v>2514</v>
      </c>
    </row>
    <row r="10" spans="1:25" ht="15" x14ac:dyDescent="0.3">
      <c r="A10" s="90">
        <f>[1]ArdiData!A9</f>
        <v>7</v>
      </c>
      <c r="B10" s="92" t="e">
        <f>#REF!</f>
        <v>#REF!</v>
      </c>
      <c r="C10" s="93">
        <f t="shared" si="2"/>
        <v>2647</v>
      </c>
      <c r="D10" s="96">
        <f t="shared" si="7"/>
        <v>3034.6</v>
      </c>
      <c r="E10" s="94">
        <f t="shared" si="3"/>
        <v>2917.9205365526523</v>
      </c>
      <c r="F10" s="98">
        <f t="shared" si="4"/>
        <v>0.90715287371302833</v>
      </c>
      <c r="G10" s="98">
        <f t="shared" si="5"/>
        <v>2</v>
      </c>
      <c r="H10" s="95">
        <f t="shared" si="6"/>
        <v>2648.4493271909082</v>
      </c>
      <c r="Y10" s="93">
        <v>2647</v>
      </c>
    </row>
    <row r="11" spans="1:25" ht="15" x14ac:dyDescent="0.3">
      <c r="A11" s="90">
        <f>[1]ArdiData!A10</f>
        <v>8</v>
      </c>
      <c r="B11" s="92" t="e">
        <f>#REF!</f>
        <v>#REF!</v>
      </c>
      <c r="C11" s="93">
        <f t="shared" si="2"/>
        <v>3501</v>
      </c>
      <c r="D11" s="96">
        <f t="shared" si="7"/>
        <v>3277.6</v>
      </c>
      <c r="E11" s="94">
        <f t="shared" si="3"/>
        <v>3101.5030181086549</v>
      </c>
      <c r="F11" s="98">
        <f t="shared" si="4"/>
        <v>1.1288075425233552</v>
      </c>
      <c r="G11" s="98">
        <f t="shared" si="5"/>
        <v>3</v>
      </c>
      <c r="H11" s="95">
        <f t="shared" si="6"/>
        <v>3111.7147870326608</v>
      </c>
      <c r="Y11" s="93">
        <v>3501</v>
      </c>
    </row>
    <row r="12" spans="1:25" ht="15" x14ac:dyDescent="0.3">
      <c r="A12" s="90">
        <f>[1]ArdiData!A11</f>
        <v>9</v>
      </c>
      <c r="B12" s="92" t="e">
        <f>#REF!</f>
        <v>#REF!</v>
      </c>
      <c r="C12" s="93">
        <f t="shared" si="2"/>
        <v>3690</v>
      </c>
      <c r="D12" s="96">
        <f t="shared" si="7"/>
        <v>3400.2</v>
      </c>
      <c r="E12" s="94">
        <f t="shared" si="3"/>
        <v>3285.0854996646576</v>
      </c>
      <c r="F12" s="98">
        <f t="shared" si="4"/>
        <v>1.1232584358540063</v>
      </c>
      <c r="G12" s="98">
        <f t="shared" si="5"/>
        <v>4</v>
      </c>
      <c r="H12" s="95">
        <f t="shared" si="6"/>
        <v>3537.6459998627879</v>
      </c>
      <c r="Y12" s="93">
        <v>3690</v>
      </c>
    </row>
    <row r="13" spans="1:25" ht="15" x14ac:dyDescent="0.3">
      <c r="A13" s="90">
        <f>[1]ArdiData!A12</f>
        <v>10</v>
      </c>
      <c r="B13" s="92" t="e">
        <f>#REF!</f>
        <v>#REF!</v>
      </c>
      <c r="C13" s="93">
        <f t="shared" si="2"/>
        <v>4036</v>
      </c>
      <c r="D13" s="96">
        <f t="shared" si="7"/>
        <v>3516.2</v>
      </c>
      <c r="E13" s="94">
        <f t="shared" si="3"/>
        <v>3468.6679812206603</v>
      </c>
      <c r="F13" s="98">
        <f t="shared" si="4"/>
        <v>1.16355904394738</v>
      </c>
      <c r="G13" s="98">
        <f t="shared" si="5"/>
        <v>5</v>
      </c>
      <c r="H13" s="95">
        <f t="shared" si="6"/>
        <v>3893.051656132187</v>
      </c>
      <c r="Y13" s="93">
        <v>4036</v>
      </c>
    </row>
    <row r="14" spans="1:25" ht="15" x14ac:dyDescent="0.3">
      <c r="A14" s="90">
        <f>[1]ArdiData!A13</f>
        <v>11</v>
      </c>
      <c r="B14" s="92" t="e">
        <f>#REF!</f>
        <v>#REF!</v>
      </c>
      <c r="C14" s="93">
        <f t="shared" si="2"/>
        <v>3127</v>
      </c>
      <c r="D14" s="96">
        <f t="shared" si="7"/>
        <v>3651.2</v>
      </c>
      <c r="E14" s="94">
        <f t="shared" si="3"/>
        <v>3652.250462776663</v>
      </c>
      <c r="F14" s="98">
        <f t="shared" si="4"/>
        <v>0.85618443528724053</v>
      </c>
      <c r="G14" s="98">
        <f t="shared" si="5"/>
        <v>1</v>
      </c>
      <c r="H14" s="95">
        <f t="shared" si="6"/>
        <v>3249.8791695132882</v>
      </c>
      <c r="Y14" s="93">
        <v>3127</v>
      </c>
    </row>
    <row r="15" spans="1:25" ht="15" x14ac:dyDescent="0.3">
      <c r="A15" s="90">
        <f>[1]ArdiData!A14</f>
        <v>12</v>
      </c>
      <c r="B15" s="92" t="e">
        <f>#REF!</f>
        <v>#REF!</v>
      </c>
      <c r="C15" s="93">
        <f t="shared" si="2"/>
        <v>3227</v>
      </c>
      <c r="D15" s="96">
        <f t="shared" si="7"/>
        <v>3858</v>
      </c>
      <c r="E15" s="94">
        <f t="shared" si="3"/>
        <v>3835.8329443326656</v>
      </c>
      <c r="F15" s="98">
        <f t="shared" si="4"/>
        <v>0.84127751308038612</v>
      </c>
      <c r="G15" s="98">
        <f t="shared" si="5"/>
        <v>2</v>
      </c>
      <c r="H15" s="95">
        <f t="shared" si="6"/>
        <v>3481.5921315790274</v>
      </c>
      <c r="Y15" s="93">
        <v>3227</v>
      </c>
    </row>
    <row r="16" spans="1:25" ht="15" x14ac:dyDescent="0.3">
      <c r="A16" s="90">
        <f>[1]ArdiData!A15</f>
        <v>13</v>
      </c>
      <c r="B16" s="92" t="e">
        <f>#REF!</f>
        <v>#REF!</v>
      </c>
      <c r="C16" s="93">
        <f t="shared" si="2"/>
        <v>4176</v>
      </c>
      <c r="D16" s="96">
        <f t="shared" si="7"/>
        <v>4070.2</v>
      </c>
      <c r="E16" s="94">
        <f t="shared" si="3"/>
        <v>4019.4154258886683</v>
      </c>
      <c r="F16" s="98">
        <f t="shared" si="4"/>
        <v>1.0389570515908322</v>
      </c>
      <c r="G16" s="98">
        <f t="shared" si="5"/>
        <v>3</v>
      </c>
      <c r="H16" s="95">
        <f t="shared" si="6"/>
        <v>4032.6494422024066</v>
      </c>
      <c r="Y16" s="93">
        <v>4176</v>
      </c>
    </row>
    <row r="17" spans="1:25" ht="15" x14ac:dyDescent="0.3">
      <c r="A17" s="90">
        <f>[1]ArdiData!A16</f>
        <v>14</v>
      </c>
      <c r="B17" s="92" t="e">
        <f>#REF!</f>
        <v>#REF!</v>
      </c>
      <c r="C17" s="93">
        <f t="shared" si="2"/>
        <v>4724</v>
      </c>
      <c r="D17" s="96">
        <f t="shared" si="7"/>
        <v>4243.2</v>
      </c>
      <c r="E17" s="94">
        <f t="shared" si="3"/>
        <v>4202.997907444671</v>
      </c>
      <c r="F17" s="98">
        <f t="shared" si="4"/>
        <v>1.1239596364377176</v>
      </c>
      <c r="G17" s="98">
        <f t="shared" si="5"/>
        <v>4</v>
      </c>
      <c r="H17" s="95">
        <f t="shared" si="6"/>
        <v>4526.128387288888</v>
      </c>
      <c r="Y17" s="93">
        <v>4724</v>
      </c>
    </row>
    <row r="18" spans="1:25" ht="15" x14ac:dyDescent="0.3">
      <c r="A18" s="90">
        <f>[1]ArdiData!A17</f>
        <v>15</v>
      </c>
      <c r="B18" s="92" t="e">
        <f>#REF!</f>
        <v>#REF!</v>
      </c>
      <c r="C18" s="93">
        <f t="shared" si="2"/>
        <v>5097</v>
      </c>
      <c r="D18" s="96">
        <f t="shared" si="7"/>
        <v>4451.8</v>
      </c>
      <c r="E18" s="94">
        <f t="shared" si="3"/>
        <v>4386.5803890006737</v>
      </c>
      <c r="F18" s="98">
        <f t="shared" si="4"/>
        <v>1.1619529446629315</v>
      </c>
      <c r="G18" s="98">
        <f t="shared" si="5"/>
        <v>5</v>
      </c>
      <c r="H18" s="95">
        <f t="shared" si="6"/>
        <v>4923.2685689756927</v>
      </c>
      <c r="Y18" s="93">
        <v>5097</v>
      </c>
    </row>
    <row r="19" spans="1:25" ht="15" x14ac:dyDescent="0.3">
      <c r="A19" s="90">
        <f>[1]ArdiData!A18</f>
        <v>16</v>
      </c>
      <c r="B19" s="92" t="e">
        <f>#REF!</f>
        <v>#REF!</v>
      </c>
      <c r="C19" s="93">
        <f t="shared" si="2"/>
        <v>3992</v>
      </c>
      <c r="D19" s="96">
        <f t="shared" si="7"/>
        <v>4687</v>
      </c>
      <c r="E19" s="94">
        <f t="shared" si="3"/>
        <v>4570.1628705566764</v>
      </c>
      <c r="F19" s="98">
        <f t="shared" si="4"/>
        <v>0.87349184549165704</v>
      </c>
      <c r="G19" s="98">
        <f t="shared" si="5"/>
        <v>1</v>
      </c>
      <c r="H19" s="95">
        <f t="shared" si="6"/>
        <v>4066.6644485858833</v>
      </c>
      <c r="Y19" s="93">
        <v>3992</v>
      </c>
    </row>
    <row r="20" spans="1:25" ht="15" x14ac:dyDescent="0.3">
      <c r="A20" s="90">
        <f>[1]ArdiData!A19</f>
        <v>17</v>
      </c>
      <c r="B20" s="92" t="e">
        <f>#REF!</f>
        <v>#REF!</v>
      </c>
      <c r="C20" s="93">
        <f t="shared" si="2"/>
        <v>4270</v>
      </c>
      <c r="D20" s="96">
        <f t="shared" si="7"/>
        <v>4842.6000000000004</v>
      </c>
      <c r="E20" s="94">
        <f t="shared" si="3"/>
        <v>4753.745352112679</v>
      </c>
      <c r="F20" s="98">
        <f t="shared" si="4"/>
        <v>0.89823911120992395</v>
      </c>
      <c r="G20" s="98">
        <f t="shared" si="5"/>
        <v>2</v>
      </c>
      <c r="H20" s="95">
        <f t="shared" si="6"/>
        <v>4314.7349359671471</v>
      </c>
      <c r="Y20" s="93">
        <v>4270</v>
      </c>
    </row>
    <row r="21" spans="1:25" ht="15" x14ac:dyDescent="0.3">
      <c r="A21" s="90">
        <f>[1]ArdiData!A20</f>
        <v>18</v>
      </c>
      <c r="B21" s="92" t="e">
        <f>#REF!</f>
        <v>#REF!</v>
      </c>
      <c r="C21" s="93">
        <f t="shared" si="2"/>
        <v>5352</v>
      </c>
      <c r="D21" s="96">
        <f t="shared" si="7"/>
        <v>4920</v>
      </c>
      <c r="E21" s="94">
        <f t="shared" si="3"/>
        <v>4937.3278336686817</v>
      </c>
      <c r="F21" s="98">
        <f t="shared" si="4"/>
        <v>1.0839871647784012</v>
      </c>
      <c r="G21" s="98">
        <f t="shared" si="5"/>
        <v>3</v>
      </c>
      <c r="H21" s="95">
        <f t="shared" si="6"/>
        <v>4953.5840973721524</v>
      </c>
      <c r="Y21" s="93">
        <v>5352</v>
      </c>
    </row>
    <row r="22" spans="1:25" ht="15" x14ac:dyDescent="0.3">
      <c r="A22" s="90">
        <f>[1]ArdiData!A21</f>
        <v>19</v>
      </c>
      <c r="B22" s="92" t="e">
        <f>#REF!</f>
        <v>#REF!</v>
      </c>
      <c r="C22" s="93">
        <f t="shared" si="2"/>
        <v>5502</v>
      </c>
      <c r="D22" s="96">
        <f t="shared" si="7"/>
        <v>5034.3999999999996</v>
      </c>
      <c r="E22" s="94">
        <f t="shared" si="3"/>
        <v>5120.9103152246844</v>
      </c>
      <c r="F22" s="98">
        <f t="shared" si="4"/>
        <v>1.0744183477774099</v>
      </c>
      <c r="G22" s="98">
        <f t="shared" si="5"/>
        <v>4</v>
      </c>
      <c r="H22" s="95">
        <f t="shared" si="6"/>
        <v>5514.6107747149881</v>
      </c>
      <c r="Y22" s="93">
        <v>5502</v>
      </c>
    </row>
    <row r="23" spans="1:25" ht="15" x14ac:dyDescent="0.3">
      <c r="A23" s="90">
        <f>[1]ArdiData!A22</f>
        <v>20</v>
      </c>
      <c r="B23" s="92" t="e">
        <f>#REF!</f>
        <v>#REF!</v>
      </c>
      <c r="C23" s="93">
        <f t="shared" si="2"/>
        <v>5484</v>
      </c>
      <c r="D23" s="96">
        <f t="shared" si="7"/>
        <v>5223.3999999999996</v>
      </c>
      <c r="E23" s="94">
        <f t="shared" si="3"/>
        <v>5304.4927967806871</v>
      </c>
      <c r="F23" s="98">
        <f t="shared" si="4"/>
        <v>1.0338405970365832</v>
      </c>
      <c r="G23" s="98">
        <f t="shared" si="5"/>
        <v>5</v>
      </c>
      <c r="H23" s="95">
        <f t="shared" si="6"/>
        <v>5953.4854818191989</v>
      </c>
      <c r="Y23" s="93">
        <v>5484</v>
      </c>
    </row>
    <row r="24" spans="1:25" ht="15" x14ac:dyDescent="0.3">
      <c r="A24" s="90">
        <f>[1]ArdiData!A23</f>
        <v>21</v>
      </c>
      <c r="B24" s="92" t="e">
        <f>#REF!</f>
        <v>#REF!</v>
      </c>
      <c r="C24" s="93">
        <f t="shared" si="2"/>
        <v>4564</v>
      </c>
      <c r="D24" s="96">
        <f t="shared" si="7"/>
        <v>5364</v>
      </c>
      <c r="E24" s="94">
        <f t="shared" si="3"/>
        <v>5488.0752783366897</v>
      </c>
      <c r="F24" s="98">
        <f t="shared" si="4"/>
        <v>0.83162124579735064</v>
      </c>
      <c r="G24" s="98">
        <f t="shared" si="5"/>
        <v>1</v>
      </c>
      <c r="H24" s="95">
        <f t="shared" si="6"/>
        <v>4883.4497276584789</v>
      </c>
      <c r="Y24" s="93">
        <v>4564</v>
      </c>
    </row>
    <row r="25" spans="1:25" ht="15" x14ac:dyDescent="0.3">
      <c r="A25" s="90">
        <f>[1]ArdiData!A24</f>
        <v>22</v>
      </c>
      <c r="B25" s="92" t="e">
        <f>#REF!</f>
        <v>#REF!</v>
      </c>
      <c r="C25" s="93">
        <f t="shared" si="2"/>
        <v>5215</v>
      </c>
      <c r="D25" s="96">
        <f t="shared" si="7"/>
        <v>5512.8</v>
      </c>
      <c r="E25" s="94">
        <f t="shared" si="3"/>
        <v>5671.6577598926924</v>
      </c>
      <c r="F25" s="98">
        <f t="shared" si="4"/>
        <v>0.91948425324215399</v>
      </c>
      <c r="G25" s="98">
        <f t="shared" si="5"/>
        <v>2</v>
      </c>
      <c r="H25" s="95">
        <f t="shared" si="6"/>
        <v>5147.8777403552667</v>
      </c>
      <c r="Y25" s="93">
        <v>5215</v>
      </c>
    </row>
    <row r="26" spans="1:25" ht="15" x14ac:dyDescent="0.3">
      <c r="A26" s="90">
        <f>[1]ArdiData!A25</f>
        <v>23</v>
      </c>
      <c r="B26" s="92" t="e">
        <f>#REF!</f>
        <v>#REF!</v>
      </c>
      <c r="C26" s="93">
        <f t="shared" si="2"/>
        <v>6055</v>
      </c>
      <c r="D26" s="96">
        <f t="shared" si="7"/>
        <v>5848.6</v>
      </c>
      <c r="E26" s="94">
        <f t="shared" si="3"/>
        <v>5855.2402414486951</v>
      </c>
      <c r="F26" s="98">
        <f t="shared" si="4"/>
        <v>1.0341164068960356</v>
      </c>
      <c r="G26" s="98">
        <f t="shared" si="5"/>
        <v>3</v>
      </c>
      <c r="H26" s="95">
        <f t="shared" si="6"/>
        <v>5874.5187525418987</v>
      </c>
      <c r="Y26" s="93">
        <v>6055</v>
      </c>
    </row>
    <row r="27" spans="1:25" ht="15" x14ac:dyDescent="0.3">
      <c r="A27" s="90">
        <f>[1]ArdiData!A26</f>
        <v>24</v>
      </c>
      <c r="B27" s="92" t="e">
        <f>#REF!</f>
        <v>#REF!</v>
      </c>
      <c r="C27" s="93">
        <f t="shared" si="2"/>
        <v>6246</v>
      </c>
      <c r="D27" s="96">
        <f t="shared" si="7"/>
        <v>6154</v>
      </c>
      <c r="E27" s="94">
        <f t="shared" si="3"/>
        <v>6038.8227230046978</v>
      </c>
      <c r="F27" s="98">
        <f t="shared" si="4"/>
        <v>1.0343075606783534</v>
      </c>
      <c r="G27" s="98">
        <f t="shared" si="5"/>
        <v>4</v>
      </c>
      <c r="H27" s="95">
        <f t="shared" si="6"/>
        <v>6503.0931621410891</v>
      </c>
      <c r="Y27" s="93">
        <v>6246</v>
      </c>
    </row>
    <row r="28" spans="1:25" ht="15" x14ac:dyDescent="0.3">
      <c r="A28" s="90">
        <f>[1]ArdiData!A27</f>
        <v>25</v>
      </c>
      <c r="B28" s="92" t="e">
        <f>#REF!</f>
        <v>#REF!</v>
      </c>
      <c r="C28" s="93">
        <f t="shared" si="2"/>
        <v>7163</v>
      </c>
      <c r="D28" s="96">
        <f t="shared" si="7"/>
        <v>6309</v>
      </c>
      <c r="E28" s="94">
        <f t="shared" si="3"/>
        <v>6222.4052045607004</v>
      </c>
      <c r="F28" s="98">
        <f t="shared" si="4"/>
        <v>1.1511625753253569</v>
      </c>
      <c r="G28" s="98">
        <f t="shared" si="5"/>
        <v>5</v>
      </c>
      <c r="H28" s="95">
        <f t="shared" si="6"/>
        <v>6983.702394662705</v>
      </c>
      <c r="Y28" s="93">
        <v>7163</v>
      </c>
    </row>
    <row r="29" spans="1:25" ht="15" x14ac:dyDescent="0.3">
      <c r="A29" s="90">
        <f>[1]ArdiData!A28</f>
        <v>26</v>
      </c>
      <c r="B29" s="92" t="e">
        <f>#REF!</f>
        <v>#REF!</v>
      </c>
      <c r="C29" s="93">
        <f t="shared" si="2"/>
        <v>6091</v>
      </c>
      <c r="D29" s="96">
        <f t="shared" si="7"/>
        <v>6427.8</v>
      </c>
      <c r="E29" s="94">
        <f t="shared" si="3"/>
        <v>6405.9876861167031</v>
      </c>
      <c r="F29" s="98">
        <f t="shared" si="4"/>
        <v>0.95082917708390913</v>
      </c>
      <c r="G29" s="98">
        <f t="shared" si="5"/>
        <v>1</v>
      </c>
      <c r="H29" s="95">
        <f t="shared" si="6"/>
        <v>5700.2350067310745</v>
      </c>
      <c r="Y29" s="93">
        <v>6091</v>
      </c>
    </row>
    <row r="30" spans="1:25" ht="15" x14ac:dyDescent="0.3">
      <c r="A30" s="90">
        <f>[1]ArdiData!A29</f>
        <v>27</v>
      </c>
      <c r="B30" s="92" t="e">
        <f>#REF!</f>
        <v>#REF!</v>
      </c>
      <c r="C30" s="93">
        <f t="shared" si="2"/>
        <v>5990</v>
      </c>
      <c r="D30" s="96">
        <f t="shared" si="7"/>
        <v>6675</v>
      </c>
      <c r="E30" s="94">
        <f t="shared" si="3"/>
        <v>6589.5701676727058</v>
      </c>
      <c r="F30" s="98">
        <f t="shared" si="4"/>
        <v>0.90901224929448454</v>
      </c>
      <c r="G30" s="98">
        <f t="shared" si="5"/>
        <v>2</v>
      </c>
      <c r="H30" s="95">
        <f t="shared" si="6"/>
        <v>5981.0205447433855</v>
      </c>
      <c r="Y30" s="93">
        <v>5990</v>
      </c>
    </row>
    <row r="31" spans="1:25" ht="15" x14ac:dyDescent="0.3">
      <c r="A31" s="90">
        <f>[1]ArdiData!A30</f>
        <v>28</v>
      </c>
      <c r="B31" s="92" t="e">
        <f>#REF!</f>
        <v>#REF!</v>
      </c>
      <c r="C31" s="93">
        <f t="shared" si="2"/>
        <v>6649</v>
      </c>
      <c r="D31" s="96">
        <f t="shared" si="7"/>
        <v>6739.4</v>
      </c>
      <c r="E31" s="94">
        <f t="shared" si="3"/>
        <v>6773.1526492287085</v>
      </c>
      <c r="F31" s="98">
        <f t="shared" si="4"/>
        <v>0.98166988761978569</v>
      </c>
      <c r="G31" s="98">
        <f t="shared" si="5"/>
        <v>3</v>
      </c>
      <c r="H31" s="95">
        <f t="shared" si="6"/>
        <v>6795.453407711645</v>
      </c>
      <c r="Y31" s="93">
        <v>6649</v>
      </c>
    </row>
    <row r="32" spans="1:25" ht="15" x14ac:dyDescent="0.3">
      <c r="A32" s="90">
        <f>[1]ArdiData!A31</f>
        <v>29</v>
      </c>
      <c r="B32" s="92" t="e">
        <f>#REF!</f>
        <v>#REF!</v>
      </c>
      <c r="C32" s="93">
        <f t="shared" si="2"/>
        <v>7482</v>
      </c>
      <c r="D32" s="96">
        <f t="shared" si="7"/>
        <v>6838.8</v>
      </c>
      <c r="E32" s="94">
        <f t="shared" si="3"/>
        <v>6956.7351307847111</v>
      </c>
      <c r="F32" s="98">
        <f t="shared" si="4"/>
        <v>1.075504508845091</v>
      </c>
      <c r="G32" s="98">
        <f t="shared" si="5"/>
        <v>4</v>
      </c>
      <c r="H32" s="95">
        <f t="shared" si="6"/>
        <v>7491.5755495671892</v>
      </c>
      <c r="Y32" s="93">
        <v>7482</v>
      </c>
    </row>
    <row r="33" spans="1:25" ht="15" x14ac:dyDescent="0.3">
      <c r="A33" s="90">
        <f>[1]ArdiData!A32</f>
        <v>30</v>
      </c>
      <c r="B33" s="92" t="e">
        <f>#REF!</f>
        <v>#REF!</v>
      </c>
      <c r="C33" s="93">
        <f t="shared" si="2"/>
        <v>7485</v>
      </c>
      <c r="D33" s="96">
        <f t="shared" si="7"/>
        <v>7045.6</v>
      </c>
      <c r="E33" s="94">
        <f t="shared" si="3"/>
        <v>7140.3176123407138</v>
      </c>
      <c r="F33" s="98">
        <f t="shared" si="4"/>
        <v>1.0482726968704539</v>
      </c>
      <c r="G33" s="98">
        <f t="shared" si="5"/>
        <v>5</v>
      </c>
      <c r="H33" s="95">
        <f t="shared" si="6"/>
        <v>8013.9193075062103</v>
      </c>
      <c r="Y33" s="93">
        <v>7485</v>
      </c>
    </row>
    <row r="34" spans="1:25" ht="15" x14ac:dyDescent="0.3">
      <c r="A34" s="90">
        <f>[1]ArdiData!A33</f>
        <v>31</v>
      </c>
      <c r="B34" s="92" t="e">
        <f>#REF!</f>
        <v>#REF!</v>
      </c>
      <c r="C34" s="93">
        <f t="shared" si="2"/>
        <v>6588</v>
      </c>
      <c r="D34" s="96">
        <f t="shared" si="7"/>
        <v>7202.6</v>
      </c>
      <c r="E34" s="94">
        <f t="shared" si="3"/>
        <v>7323.9000938967165</v>
      </c>
      <c r="F34" s="98">
        <f t="shared" si="4"/>
        <v>0.89952073561052948</v>
      </c>
      <c r="G34" s="98">
        <f t="shared" si="5"/>
        <v>1</v>
      </c>
      <c r="H34" s="95">
        <f t="shared" si="6"/>
        <v>6517.02028580367</v>
      </c>
      <c r="Y34" s="93">
        <v>6588</v>
      </c>
    </row>
    <row r="35" spans="1:25" ht="15" x14ac:dyDescent="0.3">
      <c r="A35" s="90">
        <f>[1]ArdiData!A34</f>
        <v>32</v>
      </c>
      <c r="B35" s="92" t="e">
        <f>#REF!</f>
        <v>#REF!</v>
      </c>
      <c r="C35" s="93">
        <f t="shared" si="2"/>
        <v>7024</v>
      </c>
      <c r="D35" s="96">
        <f t="shared" si="7"/>
        <v>7338</v>
      </c>
      <c r="E35" s="94">
        <f t="shared" si="3"/>
        <v>7507.4825754527192</v>
      </c>
      <c r="F35" s="98">
        <f t="shared" si="4"/>
        <v>0.93559990708022867</v>
      </c>
      <c r="G35" s="98">
        <f t="shared" si="5"/>
        <v>2</v>
      </c>
      <c r="H35" s="95">
        <f t="shared" si="6"/>
        <v>6814.1633491315051</v>
      </c>
      <c r="Y35" s="93">
        <v>7024</v>
      </c>
    </row>
    <row r="36" spans="1:25" ht="15" x14ac:dyDescent="0.3">
      <c r="A36" s="90">
        <f>[1]ArdiData!A35</f>
        <v>33</v>
      </c>
      <c r="B36" s="92" t="e">
        <f>#REF!</f>
        <v>#REF!</v>
      </c>
      <c r="C36" s="93">
        <f t="shared" si="2"/>
        <v>7434</v>
      </c>
      <c r="D36" s="96">
        <f t="shared" si="7"/>
        <v>7756.2</v>
      </c>
      <c r="E36" s="94">
        <f t="shared" si="3"/>
        <v>7691.0650570087219</v>
      </c>
      <c r="F36" s="98">
        <f t="shared" si="4"/>
        <v>0.96657614321251084</v>
      </c>
      <c r="G36" s="98">
        <f t="shared" si="5"/>
        <v>3</v>
      </c>
      <c r="H36" s="95">
        <f t="shared" si="6"/>
        <v>7716.3880628813913</v>
      </c>
      <c r="Y36" s="93">
        <v>7434</v>
      </c>
    </row>
    <row r="37" spans="1:25" ht="15" x14ac:dyDescent="0.3">
      <c r="A37" s="90">
        <f>[1]ArdiData!A36</f>
        <v>34</v>
      </c>
      <c r="B37" s="92" t="e">
        <f>#REF!</f>
        <v>#REF!</v>
      </c>
      <c r="C37" s="93">
        <f t="shared" si="2"/>
        <v>8159</v>
      </c>
      <c r="D37" s="96">
        <f t="shared" si="7"/>
        <v>7808.2</v>
      </c>
      <c r="E37" s="94">
        <f t="shared" si="3"/>
        <v>7874.6475385647245</v>
      </c>
      <c r="F37" s="98">
        <f t="shared" si="4"/>
        <v>1.0361098652406611</v>
      </c>
      <c r="G37" s="98">
        <f t="shared" si="5"/>
        <v>4</v>
      </c>
      <c r="H37" s="95">
        <f t="shared" si="6"/>
        <v>8480.0579369932893</v>
      </c>
      <c r="Y37" s="93">
        <v>8159</v>
      </c>
    </row>
    <row r="38" spans="1:25" ht="15" x14ac:dyDescent="0.3">
      <c r="A38" s="90">
        <f>[1]ArdiData!A37</f>
        <v>35</v>
      </c>
      <c r="B38" s="92" t="e">
        <f>#REF!</f>
        <v>#REF!</v>
      </c>
      <c r="C38" s="93">
        <f t="shared" si="2"/>
        <v>9576</v>
      </c>
      <c r="D38" s="96">
        <f t="shared" si="7"/>
        <v>8095.2</v>
      </c>
      <c r="E38" s="94">
        <f t="shared" si="3"/>
        <v>8058.2300201207272</v>
      </c>
      <c r="F38" s="98">
        <f t="shared" si="4"/>
        <v>1.1883502923209599</v>
      </c>
      <c r="G38" s="98">
        <f t="shared" si="5"/>
        <v>5</v>
      </c>
      <c r="H38" s="95">
        <f t="shared" si="6"/>
        <v>9044.1362203497174</v>
      </c>
      <c r="Y38" s="93">
        <v>9576</v>
      </c>
    </row>
    <row r="39" spans="1:25" ht="15" x14ac:dyDescent="0.3">
      <c r="A39" s="90">
        <f>[1]ArdiData!A38</f>
        <v>36</v>
      </c>
      <c r="B39" s="92" t="e">
        <f>#REF!</f>
        <v>#REF!</v>
      </c>
      <c r="C39" s="93">
        <f t="shared" si="2"/>
        <v>6848</v>
      </c>
      <c r="D39" s="96">
        <f t="shared" si="7"/>
        <v>8295.7999999999993</v>
      </c>
      <c r="E39" s="94">
        <f t="shared" si="3"/>
        <v>8241.8125016767299</v>
      </c>
      <c r="F39" s="98">
        <f t="shared" si="4"/>
        <v>0.83088519650341841</v>
      </c>
      <c r="G39" s="98">
        <f t="shared" si="5"/>
        <v>1</v>
      </c>
      <c r="H39" s="95">
        <f t="shared" si="6"/>
        <v>7333.8055648762656</v>
      </c>
      <c r="Y39" s="93">
        <v>6848</v>
      </c>
    </row>
    <row r="40" spans="1:25" ht="15" x14ac:dyDescent="0.3">
      <c r="A40" s="90">
        <f>[1]ArdiData!A39</f>
        <v>37</v>
      </c>
      <c r="B40" s="92" t="e">
        <f>#REF!</f>
        <v>#REF!</v>
      </c>
      <c r="C40" s="93">
        <f t="shared" si="2"/>
        <v>8459</v>
      </c>
      <c r="D40" s="96">
        <f t="shared" si="7"/>
        <v>8447.7999999999993</v>
      </c>
      <c r="E40" s="94">
        <f t="shared" si="3"/>
        <v>8425.3949832327326</v>
      </c>
      <c r="F40" s="98">
        <f t="shared" si="4"/>
        <v>1.0039885390339733</v>
      </c>
      <c r="G40" s="98">
        <f t="shared" si="5"/>
        <v>2</v>
      </c>
      <c r="H40" s="95">
        <f t="shared" si="6"/>
        <v>7647.3061535196248</v>
      </c>
      <c r="Y40" s="93">
        <v>8459</v>
      </c>
    </row>
    <row r="41" spans="1:25" ht="15" x14ac:dyDescent="0.3">
      <c r="A41" s="90">
        <f>[1]ArdiData!A40</f>
        <v>38</v>
      </c>
      <c r="B41" s="92" t="e">
        <f>#REF!</f>
        <v>#REF!</v>
      </c>
      <c r="C41" s="93">
        <f t="shared" si="2"/>
        <v>8437</v>
      </c>
      <c r="D41" s="96">
        <f t="shared" si="7"/>
        <v>8541.6</v>
      </c>
      <c r="E41" s="94">
        <f t="shared" si="3"/>
        <v>8608.9774647887352</v>
      </c>
      <c r="F41" s="98">
        <f t="shared" si="4"/>
        <v>0.9800234736945086</v>
      </c>
      <c r="G41" s="98">
        <f t="shared" si="5"/>
        <v>3</v>
      </c>
      <c r="H41" s="95">
        <f t="shared" si="6"/>
        <v>8637.3227180511367</v>
      </c>
      <c r="Y41" s="93">
        <v>8437</v>
      </c>
    </row>
    <row r="42" spans="1:25" ht="15" x14ac:dyDescent="0.3">
      <c r="A42" s="90">
        <f>[1]ArdiData!A41</f>
        <v>39</v>
      </c>
      <c r="B42" s="92" t="e">
        <f>#REF!</f>
        <v>#REF!</v>
      </c>
      <c r="C42" s="93">
        <f t="shared" si="2"/>
        <v>8919</v>
      </c>
      <c r="D42" s="96">
        <f t="shared" si="7"/>
        <v>8950.2000000000007</v>
      </c>
      <c r="E42" s="94">
        <f t="shared" si="3"/>
        <v>8792.5599463447379</v>
      </c>
      <c r="F42" s="98">
        <f t="shared" si="4"/>
        <v>1.0143803459318836</v>
      </c>
      <c r="G42" s="98">
        <f t="shared" si="5"/>
        <v>4</v>
      </c>
      <c r="H42" s="95">
        <f t="shared" si="6"/>
        <v>9468.5403244193894</v>
      </c>
      <c r="Y42" s="93">
        <v>8919</v>
      </c>
    </row>
    <row r="43" spans="1:25" ht="15" x14ac:dyDescent="0.3">
      <c r="A43" s="90">
        <f>[1]ArdiData!A42</f>
        <v>40</v>
      </c>
      <c r="B43" s="92" t="e">
        <f>#REF!</f>
        <v>#REF!</v>
      </c>
      <c r="C43" s="93">
        <f t="shared" si="2"/>
        <v>10045</v>
      </c>
      <c r="D43" s="96">
        <f t="shared" si="7"/>
        <v>9000</v>
      </c>
      <c r="E43" s="94">
        <f t="shared" si="3"/>
        <v>8976.1424279007406</v>
      </c>
      <c r="F43" s="98">
        <f t="shared" si="4"/>
        <v>1.11907760830275</v>
      </c>
      <c r="G43" s="98">
        <f t="shared" si="5"/>
        <v>5</v>
      </c>
      <c r="H43" s="95">
        <f t="shared" si="6"/>
        <v>10074.353133193223</v>
      </c>
      <c r="Y43" s="93">
        <v>10045</v>
      </c>
    </row>
    <row r="44" spans="1:25" ht="15" x14ac:dyDescent="0.3">
      <c r="A44" s="90">
        <f>[1]ArdiData!A43</f>
        <v>41</v>
      </c>
      <c r="B44" s="92" t="e">
        <f>#REF!</f>
        <v>#REF!</v>
      </c>
      <c r="C44" s="93">
        <f t="shared" si="2"/>
        <v>8891</v>
      </c>
      <c r="D44" s="96">
        <f t="shared" si="7"/>
        <v>9344.6</v>
      </c>
      <c r="E44" s="94">
        <f t="shared" si="3"/>
        <v>9159.7249094567433</v>
      </c>
      <c r="F44" s="98">
        <f t="shared" si="4"/>
        <v>0.97066233843122252</v>
      </c>
      <c r="G44" s="98">
        <f t="shared" si="5"/>
        <v>1</v>
      </c>
      <c r="H44" s="95">
        <f t="shared" si="6"/>
        <v>8150.5908439488603</v>
      </c>
      <c r="Y44" s="93">
        <v>8891</v>
      </c>
    </row>
    <row r="45" spans="1:25" ht="15" x14ac:dyDescent="0.3">
      <c r="A45" s="90">
        <f>[1]ArdiData!A44</f>
        <v>42</v>
      </c>
      <c r="B45" s="92" t="e">
        <f>#REF!</f>
        <v>#REF!</v>
      </c>
      <c r="C45" s="93">
        <f t="shared" si="2"/>
        <v>8708</v>
      </c>
      <c r="D45" s="96">
        <f t="shared" si="7"/>
        <v>9561.6</v>
      </c>
      <c r="E45" s="94">
        <f t="shared" si="3"/>
        <v>9343.3073910127459</v>
      </c>
      <c r="F45" s="98">
        <f t="shared" si="4"/>
        <v>0.93200401480702189</v>
      </c>
      <c r="G45" s="98">
        <f t="shared" si="5"/>
        <v>2</v>
      </c>
      <c r="H45" s="95">
        <f t="shared" si="6"/>
        <v>8480.4489579077435</v>
      </c>
      <c r="Y45" s="93">
        <v>8708</v>
      </c>
    </row>
    <row r="46" spans="1:25" ht="15" x14ac:dyDescent="0.3">
      <c r="A46" s="90">
        <f>[1]ArdiData!A45</f>
        <v>43</v>
      </c>
      <c r="B46" s="92" t="e">
        <f>#REF!</f>
        <v>#REF!</v>
      </c>
      <c r="C46" s="93">
        <f t="shared" si="2"/>
        <v>10160</v>
      </c>
      <c r="D46" s="96">
        <f t="shared" si="7"/>
        <v>9674.2000000000007</v>
      </c>
      <c r="E46" s="94">
        <f t="shared" si="3"/>
        <v>9526.8898725687486</v>
      </c>
      <c r="F46" s="98">
        <f t="shared" si="4"/>
        <v>1.0664550693772787</v>
      </c>
      <c r="G46" s="98">
        <f t="shared" si="5"/>
        <v>3</v>
      </c>
      <c r="H46" s="95">
        <f t="shared" si="6"/>
        <v>9558.2573732208839</v>
      </c>
      <c r="Y46" s="93">
        <v>10160</v>
      </c>
    </row>
    <row r="47" spans="1:25" ht="15" x14ac:dyDescent="0.3">
      <c r="A47" s="90">
        <f>[1]ArdiData!A46</f>
        <v>44</v>
      </c>
      <c r="B47" s="92" t="e">
        <f>#REF!</f>
        <v>#REF!</v>
      </c>
      <c r="C47" s="93">
        <f t="shared" si="2"/>
        <v>10004</v>
      </c>
      <c r="D47" s="96">
        <f t="shared" si="7"/>
        <v>9844.4</v>
      </c>
      <c r="E47" s="94">
        <f t="shared" si="3"/>
        <v>9710.4723541247513</v>
      </c>
      <c r="F47" s="98">
        <f t="shared" si="4"/>
        <v>1.0302279472275688</v>
      </c>
      <c r="G47" s="98">
        <f t="shared" si="5"/>
        <v>4</v>
      </c>
      <c r="H47" s="95">
        <f t="shared" si="6"/>
        <v>10457.02271184549</v>
      </c>
      <c r="Y47" s="93">
        <v>10004</v>
      </c>
    </row>
    <row r="48" spans="1:25" ht="15" x14ac:dyDescent="0.3">
      <c r="A48" s="90">
        <f>[1]ArdiData!A47</f>
        <v>45</v>
      </c>
      <c r="B48" s="92" t="e">
        <f>#REF!</f>
        <v>#REF!</v>
      </c>
      <c r="C48" s="93">
        <f t="shared" si="2"/>
        <v>10608</v>
      </c>
      <c r="D48" s="96">
        <f t="shared" si="7"/>
        <v>9758.7999999999993</v>
      </c>
      <c r="E48" s="94">
        <f t="shared" si="3"/>
        <v>9894.054835680754</v>
      </c>
      <c r="F48" s="98">
        <f t="shared" si="4"/>
        <v>1.0721590062089164</v>
      </c>
      <c r="G48" s="98">
        <f t="shared" si="5"/>
        <v>5</v>
      </c>
      <c r="H48" s="95">
        <f t="shared" si="6"/>
        <v>11104.570046036728</v>
      </c>
      <c r="Y48" s="93">
        <v>10608</v>
      </c>
    </row>
    <row r="49" spans="1:25" ht="15" x14ac:dyDescent="0.3">
      <c r="A49" s="90">
        <f>[1]ArdiData!A48</f>
        <v>46</v>
      </c>
      <c r="B49" s="92" t="e">
        <f>#REF!</f>
        <v>#REF!</v>
      </c>
      <c r="C49" s="93">
        <f t="shared" si="2"/>
        <v>9742</v>
      </c>
      <c r="D49" s="96">
        <f t="shared" si="7"/>
        <v>9652</v>
      </c>
      <c r="E49" s="94">
        <f t="shared" si="3"/>
        <v>10077.637317236757</v>
      </c>
      <c r="F49" s="98">
        <f t="shared" si="4"/>
        <v>0.96669484059892852</v>
      </c>
      <c r="G49" s="98">
        <f t="shared" si="5"/>
        <v>1</v>
      </c>
      <c r="H49" s="95">
        <f t="shared" si="6"/>
        <v>8967.3761230214568</v>
      </c>
      <c r="Y49" s="93">
        <v>9742</v>
      </c>
    </row>
    <row r="50" spans="1:25" ht="15" x14ac:dyDescent="0.3">
      <c r="A50" s="90">
        <f>[1]ArdiData!A49</f>
        <v>47</v>
      </c>
      <c r="B50" s="92" t="e">
        <f>#REF!</f>
        <v>#REF!</v>
      </c>
      <c r="C50" s="93">
        <f t="shared" si="2"/>
        <v>8280</v>
      </c>
      <c r="D50" s="96">
        <f t="shared" si="7"/>
        <v>9867.2000000000007</v>
      </c>
      <c r="E50" s="94">
        <f t="shared" si="3"/>
        <v>10261.219798792759</v>
      </c>
      <c r="F50" s="98">
        <f t="shared" si="4"/>
        <v>0.80692160994096906</v>
      </c>
      <c r="G50" s="98">
        <f t="shared" si="5"/>
        <v>2</v>
      </c>
      <c r="H50" s="95">
        <f t="shared" si="6"/>
        <v>9313.5917622958641</v>
      </c>
      <c r="Y50" s="93">
        <v>8280</v>
      </c>
    </row>
    <row r="51" spans="1:25" ht="15" x14ac:dyDescent="0.3">
      <c r="A51" s="90">
        <f>[1]ArdiData!A50</f>
        <v>48</v>
      </c>
      <c r="B51" s="92" t="e">
        <f>#REF!</f>
        <v>#REF!</v>
      </c>
      <c r="C51" s="93">
        <f t="shared" si="2"/>
        <v>9626</v>
      </c>
      <c r="D51" s="96">
        <f t="shared" si="7"/>
        <v>10139.4</v>
      </c>
      <c r="E51" s="94">
        <f t="shared" si="3"/>
        <v>10444.802280348762</v>
      </c>
      <c r="F51" s="98">
        <f t="shared" si="4"/>
        <v>0.92160672281089639</v>
      </c>
      <c r="G51" s="98">
        <f t="shared" si="5"/>
        <v>3</v>
      </c>
      <c r="H51" s="95">
        <f t="shared" si="6"/>
        <v>10479.192028390629</v>
      </c>
      <c r="Y51" s="93">
        <v>9626</v>
      </c>
    </row>
    <row r="52" spans="1:25" ht="15" x14ac:dyDescent="0.3">
      <c r="A52" s="90">
        <f>[1]ArdiData!A51</f>
        <v>49</v>
      </c>
      <c r="B52" s="92" t="e">
        <f>#REF!</f>
        <v>#REF!</v>
      </c>
      <c r="C52" s="93">
        <f t="shared" si="2"/>
        <v>11080</v>
      </c>
      <c r="D52" s="96">
        <f t="shared" si="7"/>
        <v>10297.4</v>
      </c>
      <c r="E52" s="94">
        <f t="shared" si="3"/>
        <v>10628.384761904765</v>
      </c>
      <c r="F52" s="98">
        <f t="shared" si="4"/>
        <v>1.042491427268794</v>
      </c>
      <c r="G52" s="98">
        <f t="shared" si="5"/>
        <v>4</v>
      </c>
      <c r="H52" s="95">
        <f t="shared" si="6"/>
        <v>11445.50509927159</v>
      </c>
      <c r="Y52" s="93">
        <v>11080</v>
      </c>
    </row>
    <row r="53" spans="1:25" ht="15" x14ac:dyDescent="0.3">
      <c r="A53" s="90">
        <f>[1]ArdiData!A52</f>
        <v>50</v>
      </c>
      <c r="B53" s="92" t="e">
        <f>#REF!</f>
        <v>#REF!</v>
      </c>
      <c r="C53" s="93">
        <f t="shared" si="2"/>
        <v>11969</v>
      </c>
      <c r="D53" s="96">
        <f t="shared" si="7"/>
        <v>10579</v>
      </c>
      <c r="E53" s="94">
        <f t="shared" si="3"/>
        <v>10811.967243460767</v>
      </c>
      <c r="F53" s="98">
        <f t="shared" si="4"/>
        <v>1.1070140826813013</v>
      </c>
      <c r="G53" s="98">
        <f t="shared" si="5"/>
        <v>5</v>
      </c>
      <c r="H53" s="95">
        <f t="shared" si="6"/>
        <v>12134.786958880235</v>
      </c>
      <c r="Y53" s="93">
        <v>11969</v>
      </c>
    </row>
    <row r="54" spans="1:25" ht="15" x14ac:dyDescent="0.3">
      <c r="A54" s="90">
        <f>[1]ArdiData!A53</f>
        <v>51</v>
      </c>
      <c r="B54" s="92" t="e">
        <f>#REF!</f>
        <v>#REF!</v>
      </c>
      <c r="C54" s="93">
        <f t="shared" si="2"/>
        <v>10532</v>
      </c>
      <c r="D54" s="96">
        <f t="shared" si="7"/>
        <v>10899</v>
      </c>
      <c r="E54" s="94">
        <f t="shared" si="3"/>
        <v>10995.54972501677</v>
      </c>
      <c r="F54" s="98">
        <f t="shared" si="4"/>
        <v>0.9578420600507026</v>
      </c>
      <c r="G54" s="98">
        <f t="shared" si="5"/>
        <v>1</v>
      </c>
      <c r="H54" s="95">
        <f t="shared" si="6"/>
        <v>9784.1614020940524</v>
      </c>
      <c r="Y54" s="93">
        <v>10532</v>
      </c>
    </row>
    <row r="55" spans="1:25" ht="15" x14ac:dyDescent="0.3">
      <c r="A55" s="90">
        <f>[1]ArdiData!A54</f>
        <v>52</v>
      </c>
      <c r="B55" s="92" t="e">
        <f>#REF!</f>
        <v>#REF!</v>
      </c>
      <c r="C55" s="93">
        <f t="shared" si="2"/>
        <v>9688</v>
      </c>
      <c r="D55" s="96">
        <f t="shared" si="7"/>
        <v>11155.6</v>
      </c>
      <c r="E55" s="94">
        <f t="shared" si="3"/>
        <v>11179.132206572773</v>
      </c>
      <c r="F55" s="98">
        <f t="shared" si="4"/>
        <v>0.86661467285483385</v>
      </c>
      <c r="G55" s="98">
        <f t="shared" si="5"/>
        <v>2</v>
      </c>
      <c r="H55" s="95">
        <f t="shared" si="6"/>
        <v>10146.734566683983</v>
      </c>
      <c r="Y55" s="93">
        <v>9688</v>
      </c>
    </row>
    <row r="56" spans="1:25" ht="15" x14ac:dyDescent="0.3">
      <c r="A56" s="90">
        <f>[1]ArdiData!A55</f>
        <v>53</v>
      </c>
      <c r="B56" s="92" t="e">
        <f>#REF!</f>
        <v>#REF!</v>
      </c>
      <c r="C56" s="93">
        <f t="shared" si="2"/>
        <v>11226</v>
      </c>
      <c r="D56" s="96">
        <f t="shared" si="7"/>
        <v>11263.4</v>
      </c>
      <c r="E56" s="94">
        <f t="shared" si="3"/>
        <v>11362.714688128775</v>
      </c>
      <c r="F56" s="98">
        <f t="shared" si="4"/>
        <v>0.98796813157056484</v>
      </c>
      <c r="G56" s="98">
        <f t="shared" si="5"/>
        <v>3</v>
      </c>
      <c r="H56" s="95">
        <f t="shared" si="6"/>
        <v>11400.126683560376</v>
      </c>
      <c r="Y56" s="93">
        <v>11226</v>
      </c>
    </row>
    <row r="57" spans="1:25" ht="15" x14ac:dyDescent="0.3">
      <c r="A57" s="90">
        <f>[1]ArdiData!A56</f>
        <v>54</v>
      </c>
      <c r="B57" s="92" t="e">
        <f>#REF!</f>
        <v>#REF!</v>
      </c>
      <c r="C57" s="93">
        <f t="shared" si="2"/>
        <v>12363</v>
      </c>
      <c r="D57" s="96">
        <f t="shared" si="7"/>
        <v>11328.8</v>
      </c>
      <c r="E57" s="94">
        <f t="shared" si="3"/>
        <v>11546.297169684778</v>
      </c>
      <c r="F57" s="98">
        <f t="shared" si="4"/>
        <v>1.0707328781091401</v>
      </c>
      <c r="G57" s="98">
        <f t="shared" si="5"/>
        <v>4</v>
      </c>
      <c r="H57" s="95">
        <f t="shared" si="6"/>
        <v>12433.98748669769</v>
      </c>
      <c r="Y57" s="93">
        <v>12363</v>
      </c>
    </row>
    <row r="58" spans="1:25" ht="15" x14ac:dyDescent="0.3">
      <c r="A58" s="90">
        <f>[1]ArdiData!A57</f>
        <v>55</v>
      </c>
      <c r="B58" s="92" t="e">
        <f>#REF!</f>
        <v>#REF!</v>
      </c>
      <c r="C58" s="93">
        <f t="shared" si="2"/>
        <v>12508</v>
      </c>
      <c r="D58" s="96">
        <f t="shared" si="7"/>
        <v>11331.2</v>
      </c>
      <c r="E58" s="94">
        <f t="shared" si="3"/>
        <v>11729.879651240781</v>
      </c>
      <c r="F58" s="98">
        <f t="shared" si="4"/>
        <v>1.0663366012179767</v>
      </c>
      <c r="G58" s="98">
        <f t="shared" si="5"/>
        <v>5</v>
      </c>
      <c r="H58" s="95">
        <f t="shared" si="6"/>
        <v>13165.00387172374</v>
      </c>
      <c r="Y58" s="93">
        <v>12508</v>
      </c>
    </row>
    <row r="59" spans="1:25" ht="15" x14ac:dyDescent="0.3">
      <c r="A59" s="90">
        <f>[1]ArdiData!A58</f>
        <v>56</v>
      </c>
      <c r="B59" s="92" t="e">
        <f>#REF!</f>
        <v>#REF!</v>
      </c>
      <c r="C59" s="93">
        <f t="shared" si="2"/>
        <v>10859</v>
      </c>
      <c r="D59" s="96">
        <f t="shared" si="7"/>
        <v>11388</v>
      </c>
      <c r="E59" s="94">
        <f t="shared" si="3"/>
        <v>11913.462132796783</v>
      </c>
      <c r="F59" s="98">
        <f t="shared" si="4"/>
        <v>0.91148986574658797</v>
      </c>
      <c r="G59" s="98">
        <f t="shared" si="5"/>
        <v>1</v>
      </c>
      <c r="H59" s="95">
        <f t="shared" si="6"/>
        <v>10600.946681166646</v>
      </c>
      <c r="Y59" s="93">
        <v>10859</v>
      </c>
    </row>
    <row r="60" spans="1:25" ht="15" x14ac:dyDescent="0.3">
      <c r="A60" s="90">
        <f>[1]ArdiData!A59</f>
        <v>57</v>
      </c>
      <c r="B60" s="92" t="e">
        <f>#REF!</f>
        <v>#REF!</v>
      </c>
      <c r="C60" s="93">
        <f t="shared" si="2"/>
        <v>9700</v>
      </c>
      <c r="D60" s="96">
        <f t="shared" si="7"/>
        <v>11828.6</v>
      </c>
      <c r="E60" s="94">
        <f t="shared" si="3"/>
        <v>12097.044614352786</v>
      </c>
      <c r="F60" s="98">
        <f t="shared" si="4"/>
        <v>0.80184874150924734</v>
      </c>
      <c r="G60" s="98">
        <f t="shared" si="5"/>
        <v>2</v>
      </c>
      <c r="H60" s="95">
        <f t="shared" si="6"/>
        <v>10979.877371072103</v>
      </c>
      <c r="Y60" s="93">
        <v>9700</v>
      </c>
    </row>
    <row r="61" spans="1:25" ht="15" x14ac:dyDescent="0.3">
      <c r="A61" s="90">
        <f>[1]ArdiData!A60</f>
        <v>58</v>
      </c>
      <c r="B61" s="92" t="e">
        <f>#REF!</f>
        <v>#REF!</v>
      </c>
      <c r="C61" s="93">
        <f t="shared" si="2"/>
        <v>11510</v>
      </c>
      <c r="D61" s="96">
        <f t="shared" si="7"/>
        <v>12354.6</v>
      </c>
      <c r="E61" s="94">
        <f t="shared" si="3"/>
        <v>12280.627095908789</v>
      </c>
      <c r="F61" s="98">
        <f t="shared" si="4"/>
        <v>0.93724855498905935</v>
      </c>
      <c r="G61" s="98">
        <f t="shared" si="5"/>
        <v>3</v>
      </c>
      <c r="H61" s="95">
        <f t="shared" si="6"/>
        <v>12321.061338730122</v>
      </c>
      <c r="Y61" s="93">
        <v>11510</v>
      </c>
    </row>
    <row r="62" spans="1:25" ht="15" x14ac:dyDescent="0.3">
      <c r="A62" s="90">
        <f>[1]ArdiData!A61</f>
        <v>59</v>
      </c>
      <c r="B62" s="92" t="e">
        <f>#REF!</f>
        <v>#REF!</v>
      </c>
      <c r="C62" s="93">
        <f t="shared" si="2"/>
        <v>14566</v>
      </c>
      <c r="D62" s="96">
        <f t="shared" si="7"/>
        <v>12180.2</v>
      </c>
      <c r="E62" s="94">
        <f t="shared" si="3"/>
        <v>12464.209577464791</v>
      </c>
      <c r="F62" s="98">
        <f t="shared" si="4"/>
        <v>1.16862604960809</v>
      </c>
      <c r="G62" s="98">
        <f t="shared" si="5"/>
        <v>4</v>
      </c>
      <c r="H62" s="95">
        <f t="shared" si="6"/>
        <v>13422.469874123792</v>
      </c>
      <c r="Y62" s="93">
        <v>14566</v>
      </c>
    </row>
    <row r="63" spans="1:25" ht="15" x14ac:dyDescent="0.3">
      <c r="A63" s="90">
        <f>[1]ArdiData!A62</f>
        <v>60</v>
      </c>
      <c r="B63" s="92" t="e">
        <f>#REF!</f>
        <v>#REF!</v>
      </c>
      <c r="C63" s="93">
        <f t="shared" si="2"/>
        <v>15138</v>
      </c>
      <c r="D63" s="96">
        <f t="shared" si="7"/>
        <v>12693</v>
      </c>
      <c r="E63" s="94">
        <f t="shared" si="3"/>
        <v>12647.792059020794</v>
      </c>
      <c r="F63" s="98">
        <f t="shared" si="4"/>
        <v>1.1968887478034644</v>
      </c>
      <c r="G63" s="98">
        <f t="shared" si="5"/>
        <v>5</v>
      </c>
      <c r="H63" s="95">
        <f t="shared" si="6"/>
        <v>14195.220784567246</v>
      </c>
      <c r="Y63" s="93">
        <v>15138</v>
      </c>
    </row>
    <row r="64" spans="1:25" ht="15" x14ac:dyDescent="0.3">
      <c r="A64" s="90">
        <f>[1]ArdiData!A63</f>
        <v>61</v>
      </c>
      <c r="B64" s="92" t="e">
        <f>#REF!</f>
        <v>#REF!</v>
      </c>
      <c r="C64" s="93">
        <f t="shared" si="2"/>
        <v>9987</v>
      </c>
      <c r="D64" s="96">
        <f t="shared" si="7"/>
        <v>13073.4</v>
      </c>
      <c r="E64" s="94">
        <f t="shared" si="3"/>
        <v>12831.374540576797</v>
      </c>
      <c r="F64" s="98">
        <f t="shared" si="4"/>
        <v>0.77832659068738119</v>
      </c>
      <c r="G64" s="98">
        <f t="shared" si="5"/>
        <v>1</v>
      </c>
      <c r="H64" s="95">
        <f t="shared" si="6"/>
        <v>11417.731960239242</v>
      </c>
      <c r="Y64" s="93">
        <v>9987</v>
      </c>
    </row>
    <row r="65" spans="1:25" ht="15" x14ac:dyDescent="0.3">
      <c r="A65" s="90">
        <f>[1]ArdiData!A64</f>
        <v>62</v>
      </c>
      <c r="B65" s="92" t="e">
        <f>#REF!</f>
        <v>#REF!</v>
      </c>
      <c r="C65" s="93">
        <f t="shared" si="2"/>
        <v>12264</v>
      </c>
      <c r="D65" s="96">
        <f t="shared" si="7"/>
        <v>13102.8</v>
      </c>
      <c r="E65" s="94">
        <f t="shared" si="3"/>
        <v>13014.957022132799</v>
      </c>
      <c r="F65" s="98">
        <f t="shared" si="4"/>
        <v>0.94230046085778485</v>
      </c>
      <c r="G65" s="98">
        <f t="shared" si="5"/>
        <v>2</v>
      </c>
      <c r="H65" s="95">
        <f t="shared" si="6"/>
        <v>11813.020175460222</v>
      </c>
      <c r="Y65" s="93">
        <v>12264</v>
      </c>
    </row>
    <row r="66" spans="1:25" ht="15" x14ac:dyDescent="0.3">
      <c r="A66" s="90">
        <f>[1]ArdiData!A65</f>
        <v>63</v>
      </c>
      <c r="B66" s="92" t="e">
        <f>#REF!</f>
        <v>#REF!</v>
      </c>
      <c r="C66" s="93">
        <f t="shared" si="2"/>
        <v>13412</v>
      </c>
      <c r="D66" s="96">
        <f t="shared" si="7"/>
        <v>13036.4</v>
      </c>
      <c r="E66" s="94">
        <f t="shared" si="3"/>
        <v>13198.539503688802</v>
      </c>
      <c r="F66" s="98">
        <f t="shared" si="4"/>
        <v>1.0161730391647907</v>
      </c>
      <c r="G66" s="98">
        <f t="shared" si="5"/>
        <v>3</v>
      </c>
      <c r="H66" s="95">
        <f t="shared" si="6"/>
        <v>13241.995993899867</v>
      </c>
      <c r="Y66" s="93">
        <v>13412</v>
      </c>
    </row>
    <row r="67" spans="1:25" ht="15" x14ac:dyDescent="0.3">
      <c r="A67" s="90">
        <f>[1]ArdiData!A66</f>
        <v>64</v>
      </c>
      <c r="B67" s="92" t="e">
        <f>#REF!</f>
        <v>#REF!</v>
      </c>
      <c r="C67" s="93">
        <f t="shared" si="2"/>
        <v>14713</v>
      </c>
      <c r="D67" s="96">
        <f t="shared" si="7"/>
        <v>13399.2</v>
      </c>
      <c r="E67" s="94">
        <f t="shared" si="3"/>
        <v>13382.121985244805</v>
      </c>
      <c r="F67" s="98">
        <f t="shared" si="4"/>
        <v>1.0994519416444288</v>
      </c>
      <c r="G67" s="98">
        <f t="shared" si="5"/>
        <v>4</v>
      </c>
      <c r="H67" s="95">
        <f t="shared" si="6"/>
        <v>14410.952261549892</v>
      </c>
      <c r="Y67" s="93">
        <v>14713</v>
      </c>
    </row>
    <row r="68" spans="1:25" ht="15" x14ac:dyDescent="0.3">
      <c r="A68" s="90">
        <f>[1]ArdiData!A67</f>
        <v>65</v>
      </c>
      <c r="B68" s="92" t="e">
        <f>#REF!</f>
        <v>#REF!</v>
      </c>
      <c r="C68" s="93">
        <f t="shared" si="2"/>
        <v>14806</v>
      </c>
      <c r="D68" s="96">
        <f t="shared" si="7"/>
        <v>13736.8</v>
      </c>
      <c r="E68" s="94">
        <f t="shared" si="3"/>
        <v>13565.704466800807</v>
      </c>
      <c r="F68" s="98">
        <f t="shared" si="4"/>
        <v>1.0914287596515575</v>
      </c>
      <c r="G68" s="98">
        <f t="shared" si="5"/>
        <v>5</v>
      </c>
      <c r="H68" s="95">
        <f t="shared" si="6"/>
        <v>15225.437697410753</v>
      </c>
      <c r="Y68" s="93">
        <v>14806</v>
      </c>
    </row>
    <row r="69" spans="1:25" ht="15" x14ac:dyDescent="0.3">
      <c r="A69" s="90">
        <f>[1]ArdiData!A68</f>
        <v>66</v>
      </c>
      <c r="B69" s="92" t="e">
        <f>#REF!</f>
        <v>#REF!</v>
      </c>
      <c r="C69" s="93">
        <f t="shared" ref="C69:C78" si="8">Y69</f>
        <v>11801</v>
      </c>
      <c r="D69" s="96">
        <f t="shared" si="7"/>
        <v>13894</v>
      </c>
      <c r="E69" s="94">
        <f t="shared" ref="E69:E78" si="9">$E$2+$F$2*A69</f>
        <v>13749.28694835681</v>
      </c>
      <c r="F69" s="98">
        <f t="shared" ref="F69:F78" si="10">C69/E69</f>
        <v>0.85829905538558482</v>
      </c>
      <c r="G69" s="98">
        <f t="shared" ref="G69:G78" si="11">IF(MOD(A69,5)&lt;&gt;0,MOD(A69,5),5)</f>
        <v>1</v>
      </c>
      <c r="H69" s="95">
        <f t="shared" ref="H69:H78" si="12">VLOOKUP(G69,$J$3:$L$7,3)*E69</f>
        <v>12234.517239311837</v>
      </c>
      <c r="Y69" s="93">
        <v>11801</v>
      </c>
    </row>
    <row r="70" spans="1:25" ht="15" x14ac:dyDescent="0.3">
      <c r="A70" s="90">
        <f>[1]ArdiData!A69</f>
        <v>67</v>
      </c>
      <c r="B70" s="92" t="e">
        <f>#REF!</f>
        <v>#REF!</v>
      </c>
      <c r="C70" s="93">
        <f t="shared" si="8"/>
        <v>13952</v>
      </c>
      <c r="D70" s="96">
        <f t="shared" si="7"/>
        <v>14130.2</v>
      </c>
      <c r="E70" s="94">
        <f t="shared" si="9"/>
        <v>13932.869429912813</v>
      </c>
      <c r="F70" s="98">
        <f t="shared" si="10"/>
        <v>1.0013730531376484</v>
      </c>
      <c r="G70" s="98">
        <f t="shared" si="11"/>
        <v>2</v>
      </c>
      <c r="H70" s="95">
        <f t="shared" si="12"/>
        <v>12646.162979848341</v>
      </c>
      <c r="Y70" s="93">
        <v>13952</v>
      </c>
    </row>
    <row r="71" spans="1:25" ht="15" x14ac:dyDescent="0.3">
      <c r="A71" s="90">
        <f>[1]ArdiData!A70</f>
        <v>68</v>
      </c>
      <c r="B71" s="92" t="e">
        <f>#REF!</f>
        <v>#REF!</v>
      </c>
      <c r="C71" s="93">
        <f t="shared" si="8"/>
        <v>14198</v>
      </c>
      <c r="D71" s="96">
        <f t="shared" ref="D71:D76" si="13">AVERAGE(C69:C73)</f>
        <v>14704</v>
      </c>
      <c r="E71" s="94">
        <f t="shared" si="9"/>
        <v>14116.451911468816</v>
      </c>
      <c r="F71" s="98">
        <f t="shared" si="10"/>
        <v>1.005776811980986</v>
      </c>
      <c r="G71" s="98">
        <f t="shared" si="11"/>
        <v>3</v>
      </c>
      <c r="H71" s="95">
        <f t="shared" si="12"/>
        <v>14162.930649069614</v>
      </c>
      <c r="Y71" s="93">
        <v>14198</v>
      </c>
    </row>
    <row r="72" spans="1:25" ht="15" x14ac:dyDescent="0.3">
      <c r="A72" s="90">
        <f>[1]ArdiData!A71</f>
        <v>69</v>
      </c>
      <c r="B72" s="92" t="e">
        <f>#REF!</f>
        <v>#REF!</v>
      </c>
      <c r="C72" s="93">
        <f t="shared" si="8"/>
        <v>15894</v>
      </c>
      <c r="D72" s="96">
        <f t="shared" si="13"/>
        <v>14771.4</v>
      </c>
      <c r="E72" s="94">
        <f t="shared" si="9"/>
        <v>14300.034393024818</v>
      </c>
      <c r="F72" s="98">
        <f t="shared" si="10"/>
        <v>1.111465858274626</v>
      </c>
      <c r="G72" s="98">
        <f t="shared" si="11"/>
        <v>4</v>
      </c>
      <c r="H72" s="95">
        <f t="shared" si="12"/>
        <v>15399.434648975992</v>
      </c>
      <c r="Y72" s="93">
        <v>15894</v>
      </c>
    </row>
    <row r="73" spans="1:25" ht="15" x14ac:dyDescent="0.3">
      <c r="A73" s="90">
        <f>[1]ArdiData!A72</f>
        <v>70</v>
      </c>
      <c r="B73" s="92" t="e">
        <f>#REF!</f>
        <v>#REF!</v>
      </c>
      <c r="C73" s="93">
        <f t="shared" si="8"/>
        <v>17675</v>
      </c>
      <c r="D73" s="96">
        <f t="shared" si="13"/>
        <v>14716.8</v>
      </c>
      <c r="E73" s="94">
        <f t="shared" si="9"/>
        <v>14483.616874580821</v>
      </c>
      <c r="F73" s="98">
        <f t="shared" si="10"/>
        <v>1.2203443485874135</v>
      </c>
      <c r="G73" s="98">
        <f t="shared" si="11"/>
        <v>5</v>
      </c>
      <c r="H73" s="95">
        <f t="shared" si="12"/>
        <v>16255.654610254258</v>
      </c>
      <c r="Y73" s="93">
        <v>17675</v>
      </c>
    </row>
    <row r="74" spans="1:25" ht="15" x14ac:dyDescent="0.3">
      <c r="A74" s="90">
        <f>[1]ArdiData!A73</f>
        <v>71</v>
      </c>
      <c r="B74" s="92" t="e">
        <f>#REF!</f>
        <v>#REF!</v>
      </c>
      <c r="C74" s="93">
        <f t="shared" si="8"/>
        <v>12138</v>
      </c>
      <c r="D74" s="96">
        <f t="shared" si="13"/>
        <v>14915.2</v>
      </c>
      <c r="E74" s="94">
        <f t="shared" si="9"/>
        <v>14667.199356136824</v>
      </c>
      <c r="F74" s="98">
        <f t="shared" si="10"/>
        <v>0.82756085229873178</v>
      </c>
      <c r="G74" s="98">
        <f t="shared" si="11"/>
        <v>1</v>
      </c>
      <c r="H74" s="95">
        <f t="shared" si="12"/>
        <v>13051.302518384433</v>
      </c>
      <c r="Y74" s="93">
        <v>12138</v>
      </c>
    </row>
    <row r="75" spans="1:25" ht="15" x14ac:dyDescent="0.3">
      <c r="A75" s="90">
        <f>[1]ArdiData!A74</f>
        <v>72</v>
      </c>
      <c r="B75" s="92" t="e">
        <f>#REF!</f>
        <v>#REF!</v>
      </c>
      <c r="C75" s="93">
        <f t="shared" si="8"/>
        <v>13679</v>
      </c>
      <c r="D75" s="96">
        <f t="shared" si="13"/>
        <v>14936.2</v>
      </c>
      <c r="E75" s="94">
        <f t="shared" si="9"/>
        <v>14850.781837692826</v>
      </c>
      <c r="F75" s="98">
        <f t="shared" si="10"/>
        <v>0.92109628634374507</v>
      </c>
      <c r="G75" s="98">
        <f t="shared" si="11"/>
        <v>2</v>
      </c>
      <c r="H75" s="95">
        <f t="shared" si="12"/>
        <v>13479.305784236461</v>
      </c>
      <c r="Y75" s="93">
        <v>13679</v>
      </c>
    </row>
    <row r="76" spans="1:25" ht="15" x14ac:dyDescent="0.3">
      <c r="A76" s="90">
        <f>[1]ArdiData!A75</f>
        <v>73</v>
      </c>
      <c r="B76" s="92" t="e">
        <f>#REF!</f>
        <v>#REF!</v>
      </c>
      <c r="C76" s="93">
        <f t="shared" si="8"/>
        <v>15190</v>
      </c>
      <c r="D76" s="96">
        <f t="shared" si="13"/>
        <v>15019.4</v>
      </c>
      <c r="E76" s="94">
        <f t="shared" si="9"/>
        <v>15034.364319248829</v>
      </c>
      <c r="F76" s="98">
        <f t="shared" si="10"/>
        <v>1.0103519960968292</v>
      </c>
      <c r="G76" s="98">
        <f t="shared" si="11"/>
        <v>3</v>
      </c>
      <c r="H76" s="95">
        <f t="shared" si="12"/>
        <v>15083.86530423936</v>
      </c>
      <c r="Y76" s="93">
        <v>15190</v>
      </c>
    </row>
    <row r="77" spans="1:25" ht="15" x14ac:dyDescent="0.3">
      <c r="A77" s="90">
        <f>[1]ArdiData!A76</f>
        <v>74</v>
      </c>
      <c r="B77" s="92" t="e">
        <f>#REF!</f>
        <v>#REF!</v>
      </c>
      <c r="C77" s="93">
        <f t="shared" si="8"/>
        <v>15999</v>
      </c>
      <c r="D77" s="96"/>
      <c r="E77" s="94">
        <f t="shared" si="9"/>
        <v>15217.946800804832</v>
      </c>
      <c r="F77" s="98">
        <f t="shared" si="10"/>
        <v>1.0513244795384526</v>
      </c>
      <c r="G77" s="98">
        <f t="shared" si="11"/>
        <v>4</v>
      </c>
      <c r="H77" s="95">
        <f t="shared" si="12"/>
        <v>16387.91703640209</v>
      </c>
      <c r="Y77" s="93">
        <v>15999</v>
      </c>
    </row>
    <row r="78" spans="1:25" ht="15" x14ac:dyDescent="0.3">
      <c r="A78" s="90">
        <f>[1]ArdiData!A77</f>
        <v>75</v>
      </c>
      <c r="B78" s="92" t="e">
        <f>#REF!</f>
        <v>#REF!</v>
      </c>
      <c r="C78" s="93">
        <f t="shared" si="8"/>
        <v>18091</v>
      </c>
      <c r="D78" s="96"/>
      <c r="E78" s="94">
        <f t="shared" si="9"/>
        <v>15401.529282360834</v>
      </c>
      <c r="F78" s="98">
        <f t="shared" si="10"/>
        <v>1.1746236148587776</v>
      </c>
      <c r="G78" s="98">
        <f t="shared" si="11"/>
        <v>5</v>
      </c>
      <c r="H78" s="95">
        <f t="shared" si="12"/>
        <v>17285.871523097765</v>
      </c>
      <c r="Y78" s="93">
        <v>18091</v>
      </c>
    </row>
    <row r="79" spans="1:25" ht="15" x14ac:dyDescent="0.3">
      <c r="A79" s="90">
        <v>76</v>
      </c>
      <c r="B79" s="92"/>
      <c r="C79" s="93"/>
      <c r="D79" s="96"/>
      <c r="E79" s="94"/>
      <c r="F79" s="98"/>
      <c r="G79" s="98"/>
      <c r="H79" s="95"/>
    </row>
    <row r="80" spans="1:25" ht="15" x14ac:dyDescent="0.3">
      <c r="A80" s="90">
        <v>77</v>
      </c>
      <c r="B80" s="92"/>
      <c r="C80" s="93"/>
      <c r="D80" s="96"/>
      <c r="E80" s="94"/>
      <c r="F80" s="98"/>
      <c r="G80" s="98"/>
      <c r="H80" s="95"/>
    </row>
    <row r="81" spans="1:8" ht="15" x14ac:dyDescent="0.3">
      <c r="A81" s="90">
        <v>78</v>
      </c>
      <c r="B81" s="92"/>
      <c r="C81" s="93"/>
      <c r="D81" s="96"/>
      <c r="E81" s="94"/>
      <c r="F81" s="98"/>
      <c r="G81" s="98"/>
      <c r="H81" s="95"/>
    </row>
    <row r="82" spans="1:8" ht="15" x14ac:dyDescent="0.3">
      <c r="A82" s="90">
        <v>79</v>
      </c>
      <c r="B82" s="92"/>
      <c r="C82" s="93"/>
      <c r="D82" s="96"/>
      <c r="E82" s="94"/>
      <c r="F82" s="98"/>
      <c r="G82" s="98"/>
      <c r="H82" s="95"/>
    </row>
    <row r="83" spans="1:8" ht="15" x14ac:dyDescent="0.3">
      <c r="A83" s="90">
        <v>80</v>
      </c>
      <c r="B83" s="92"/>
      <c r="C83" s="93"/>
      <c r="D83" s="96"/>
      <c r="E83" s="94"/>
      <c r="F83" s="98"/>
      <c r="G83" s="98"/>
      <c r="H83" s="95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zoomScale="96" zoomScaleNormal="96" workbookViewId="0">
      <selection activeCell="G29" sqref="G29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10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36" t="s">
        <v>38</v>
      </c>
      <c r="H1" s="36" t="s">
        <v>39</v>
      </c>
      <c r="I1" s="36" t="s">
        <v>40</v>
      </c>
      <c r="J1" s="36" t="s">
        <v>41</v>
      </c>
    </row>
    <row r="2" spans="1:17" ht="15.75" thickBot="1" x14ac:dyDescent="0.3">
      <c r="A2" s="9" t="s">
        <v>36</v>
      </c>
      <c r="B2" s="23" t="s">
        <v>6</v>
      </c>
      <c r="C2" s="25" t="s">
        <v>0</v>
      </c>
      <c r="D2" s="25" t="s">
        <v>7</v>
      </c>
      <c r="E2" s="24" t="s">
        <v>8</v>
      </c>
      <c r="F2" s="25" t="s">
        <v>37</v>
      </c>
      <c r="G2" s="1">
        <f>AVERAGE(C3:C52)</f>
        <v>29.88</v>
      </c>
      <c r="H2" s="33">
        <f>SUM(E3:E52)</f>
        <v>15075.296710684273</v>
      </c>
      <c r="I2" s="33">
        <f>SUM(F3:F52)</f>
        <v>16831.280000000006</v>
      </c>
      <c r="J2">
        <f>1-H2/I2</f>
        <v>0.10432856498826781</v>
      </c>
      <c r="K2" t="s">
        <v>9</v>
      </c>
      <c r="Q2" t="s">
        <v>24</v>
      </c>
    </row>
    <row r="3" spans="1:17" ht="15.75" thickBot="1" x14ac:dyDescent="0.3">
      <c r="A3" s="26" t="e">
        <f>#REF!</f>
        <v>#REF!</v>
      </c>
      <c r="B3" s="27">
        <v>1</v>
      </c>
      <c r="C3" s="74">
        <v>26</v>
      </c>
      <c r="D3" s="76">
        <f>$L$20+$L$21*B3</f>
        <v>19.818823529411763</v>
      </c>
      <c r="E3" s="28">
        <f>(C3-D3)^2</f>
        <v>38.206942560553664</v>
      </c>
      <c r="F3" s="77">
        <f>(C3-$G$2)^2</f>
        <v>15.054399999999992</v>
      </c>
      <c r="G3"/>
      <c r="H3"/>
      <c r="I3"/>
    </row>
    <row r="4" spans="1:17" x14ac:dyDescent="0.25">
      <c r="A4" s="26" t="e">
        <f>#REF!</f>
        <v>#REF!</v>
      </c>
      <c r="B4" s="27">
        <v>2</v>
      </c>
      <c r="C4" s="74">
        <v>22</v>
      </c>
      <c r="D4" s="76">
        <f t="shared" ref="D4:D52" si="0">$L$20+$L$21*B4</f>
        <v>20.229483793517407</v>
      </c>
      <c r="E4" s="28">
        <f t="shared" ref="E4:E34" si="1">(C4-D4)^2</f>
        <v>3.1347276374175133</v>
      </c>
      <c r="F4" s="77">
        <f t="shared" ref="F4:F34" si="2">(C4-$G$2)^2</f>
        <v>62.094399999999986</v>
      </c>
      <c r="G4" s="34"/>
      <c r="H4" s="34"/>
      <c r="I4" s="34"/>
      <c r="K4" s="12" t="s">
        <v>10</v>
      </c>
      <c r="L4" s="12"/>
    </row>
    <row r="5" spans="1:17" x14ac:dyDescent="0.25">
      <c r="A5" s="26" t="e">
        <f>#REF!</f>
        <v>#REF!</v>
      </c>
      <c r="B5" s="27">
        <v>3</v>
      </c>
      <c r="C5" s="74">
        <v>11</v>
      </c>
      <c r="D5" s="76">
        <f t="shared" si="0"/>
        <v>20.640144057623047</v>
      </c>
      <c r="E5" s="28">
        <f t="shared" si="1"/>
        <v>92.932377451724946</v>
      </c>
      <c r="F5" s="77">
        <f t="shared" si="2"/>
        <v>356.45439999999996</v>
      </c>
      <c r="G5" s="34"/>
      <c r="H5" s="34"/>
      <c r="I5" s="34"/>
      <c r="J5" s="13" t="s">
        <v>11</v>
      </c>
      <c r="K5" s="14" t="s">
        <v>12</v>
      </c>
      <c r="L5" s="15">
        <v>0.32299932660652342</v>
      </c>
      <c r="M5" s="16">
        <f>CORREL(B3:B52,C3:C52)</f>
        <v>0.32299932660652309</v>
      </c>
    </row>
    <row r="6" spans="1:17" x14ac:dyDescent="0.25">
      <c r="A6" s="26" t="e">
        <f>#REF!</f>
        <v>#REF!</v>
      </c>
      <c r="B6" s="27">
        <v>4</v>
      </c>
      <c r="C6" s="74">
        <v>3</v>
      </c>
      <c r="D6" s="76">
        <f t="shared" si="0"/>
        <v>21.050804321728691</v>
      </c>
      <c r="E6" s="28">
        <f t="shared" si="1"/>
        <v>325.83153666133921</v>
      </c>
      <c r="F6" s="77">
        <f t="shared" si="2"/>
        <v>722.53439999999989</v>
      </c>
      <c r="G6" s="34"/>
      <c r="H6" s="34"/>
      <c r="I6" s="34"/>
      <c r="J6" s="13" t="s">
        <v>13</v>
      </c>
      <c r="K6" s="14" t="s">
        <v>14</v>
      </c>
      <c r="L6" s="15">
        <v>0.10432856498826758</v>
      </c>
      <c r="M6" s="16">
        <f>M5^2</f>
        <v>0.10432856498826737</v>
      </c>
      <c r="N6" s="82">
        <f>1-H2/I2</f>
        <v>0.10432856498826781</v>
      </c>
    </row>
    <row r="7" spans="1:17" x14ac:dyDescent="0.25">
      <c r="A7" s="26" t="e">
        <f>#REF!</f>
        <v>#REF!</v>
      </c>
      <c r="B7" s="27">
        <v>5</v>
      </c>
      <c r="C7" s="74">
        <v>28</v>
      </c>
      <c r="D7" s="76">
        <f t="shared" si="0"/>
        <v>21.461464585834332</v>
      </c>
      <c r="E7" s="28">
        <f t="shared" si="1"/>
        <v>42.752445362298609</v>
      </c>
      <c r="F7" s="77">
        <f t="shared" si="2"/>
        <v>3.5343999999999962</v>
      </c>
      <c r="G7" s="34"/>
      <c r="H7" s="34"/>
      <c r="I7" s="34"/>
      <c r="K7" s="17" t="s">
        <v>15</v>
      </c>
      <c r="L7" s="18">
        <v>8.566874342552315E-2</v>
      </c>
    </row>
    <row r="8" spans="1:17" x14ac:dyDescent="0.25">
      <c r="A8" s="26" t="e">
        <f>#REF!</f>
        <v>#REF!</v>
      </c>
      <c r="B8" s="27">
        <v>6</v>
      </c>
      <c r="C8" s="74">
        <v>13</v>
      </c>
      <c r="D8" s="76">
        <f t="shared" si="0"/>
        <v>21.872124849939976</v>
      </c>
      <c r="E8" s="28">
        <f t="shared" si="1"/>
        <v>78.714599352922434</v>
      </c>
      <c r="F8" s="77">
        <f t="shared" si="2"/>
        <v>284.93439999999998</v>
      </c>
      <c r="G8" s="34"/>
      <c r="H8" s="34"/>
      <c r="I8" s="34"/>
      <c r="K8" s="14" t="s">
        <v>16</v>
      </c>
      <c r="L8" s="15">
        <v>17.721983000572738</v>
      </c>
      <c r="M8" s="16">
        <f>SQRT(SUM(E3:E52)/(COUNT(E3:E52)-2))</f>
        <v>17.721983000572738</v>
      </c>
    </row>
    <row r="9" spans="1:17" ht="15.75" thickBot="1" x14ac:dyDescent="0.3">
      <c r="A9" s="26" t="e">
        <f>#REF!</f>
        <v>#REF!</v>
      </c>
      <c r="B9" s="27">
        <v>7</v>
      </c>
      <c r="C9" s="74">
        <v>8</v>
      </c>
      <c r="D9" s="76">
        <f t="shared" si="0"/>
        <v>22.282785114045616</v>
      </c>
      <c r="E9" s="28">
        <f t="shared" si="1"/>
        <v>203.99795061400303</v>
      </c>
      <c r="F9" s="77">
        <f t="shared" si="2"/>
        <v>478.73439999999994</v>
      </c>
      <c r="G9" s="34"/>
      <c r="H9" s="34"/>
      <c r="I9" s="34"/>
      <c r="K9" s="19" t="s">
        <v>17</v>
      </c>
      <c r="L9" s="19">
        <v>50</v>
      </c>
      <c r="M9" s="16">
        <f>COUNT(C3:C52)</f>
        <v>50</v>
      </c>
    </row>
    <row r="10" spans="1:17" x14ac:dyDescent="0.25">
      <c r="A10" s="26" t="e">
        <f>#REF!</f>
        <v>#REF!</v>
      </c>
      <c r="B10" s="27">
        <v>8</v>
      </c>
      <c r="C10" s="74">
        <v>7</v>
      </c>
      <c r="D10" s="76">
        <f t="shared" si="0"/>
        <v>22.69344537815126</v>
      </c>
      <c r="E10" s="28">
        <f t="shared" si="1"/>
        <v>246.28422783701714</v>
      </c>
      <c r="F10" s="77">
        <f t="shared" si="2"/>
        <v>523.49439999999993</v>
      </c>
      <c r="G10" s="34"/>
      <c r="H10" s="34"/>
      <c r="I10" s="34"/>
    </row>
    <row r="11" spans="1:17" ht="15.75" thickBot="1" x14ac:dyDescent="0.3">
      <c r="A11" s="26" t="e">
        <f>#REF!</f>
        <v>#REF!</v>
      </c>
      <c r="B11" s="27">
        <v>9</v>
      </c>
      <c r="C11" s="74">
        <v>32</v>
      </c>
      <c r="D11" s="76">
        <f t="shared" si="0"/>
        <v>23.104105642256901</v>
      </c>
      <c r="E11" s="28">
        <f t="shared" si="1"/>
        <v>79.136936424125508</v>
      </c>
      <c r="F11" s="77">
        <f t="shared" si="2"/>
        <v>4.4944000000000042</v>
      </c>
      <c r="G11" s="34"/>
      <c r="H11" s="34"/>
      <c r="I11" s="34"/>
      <c r="K11" t="s">
        <v>18</v>
      </c>
    </row>
    <row r="12" spans="1:17" x14ac:dyDescent="0.25">
      <c r="A12" s="26" t="e">
        <f>#REF!</f>
        <v>#REF!</v>
      </c>
      <c r="B12" s="27">
        <v>10</v>
      </c>
      <c r="C12" s="74">
        <v>41</v>
      </c>
      <c r="D12" s="76">
        <f t="shared" si="0"/>
        <v>23.514765906362545</v>
      </c>
      <c r="E12" s="28">
        <f t="shared" si="1"/>
        <v>305.73341130930163</v>
      </c>
      <c r="F12" s="77">
        <f t="shared" si="2"/>
        <v>123.65440000000002</v>
      </c>
      <c r="G12" s="34"/>
      <c r="H12" s="34"/>
      <c r="I12" s="34"/>
      <c r="K12" s="20"/>
      <c r="L12" s="20" t="s">
        <v>19</v>
      </c>
      <c r="M12" s="20" t="s">
        <v>20</v>
      </c>
      <c r="N12" s="20" t="s">
        <v>21</v>
      </c>
      <c r="O12" s="20" t="s">
        <v>22</v>
      </c>
      <c r="P12" s="20" t="s">
        <v>23</v>
      </c>
    </row>
    <row r="13" spans="1:17" x14ac:dyDescent="0.25">
      <c r="A13" s="26" t="e">
        <f>#REF!</f>
        <v>#REF!</v>
      </c>
      <c r="B13" s="27">
        <v>11</v>
      </c>
      <c r="C13" s="74">
        <v>9</v>
      </c>
      <c r="D13" s="76">
        <f t="shared" si="0"/>
        <v>23.925426170468185</v>
      </c>
      <c r="E13" s="28">
        <f t="shared" si="1"/>
        <v>222.76834637009659</v>
      </c>
      <c r="F13" s="77">
        <f t="shared" si="2"/>
        <v>435.97439999999995</v>
      </c>
      <c r="G13" s="34"/>
      <c r="H13" s="34"/>
      <c r="I13" s="34"/>
      <c r="K13" s="17" t="s">
        <v>24</v>
      </c>
      <c r="L13" s="57">
        <v>1</v>
      </c>
      <c r="M13" s="79">
        <v>1755.9832893157291</v>
      </c>
      <c r="N13" s="79">
        <v>1755.9832893157291</v>
      </c>
      <c r="O13" s="79">
        <v>5.5910805276169686</v>
      </c>
      <c r="P13" s="79">
        <v>2.2144150363479678E-2</v>
      </c>
    </row>
    <row r="14" spans="1:17" x14ac:dyDescent="0.25">
      <c r="A14" s="26" t="e">
        <f>#REF!</f>
        <v>#REF!</v>
      </c>
      <c r="B14" s="27">
        <v>12</v>
      </c>
      <c r="C14" s="74">
        <v>14</v>
      </c>
      <c r="D14" s="76">
        <f t="shared" si="0"/>
        <v>24.336086434573829</v>
      </c>
      <c r="E14" s="28">
        <f t="shared" si="1"/>
        <v>106.83468278298113</v>
      </c>
      <c r="F14" s="77">
        <f t="shared" si="2"/>
        <v>252.17439999999996</v>
      </c>
      <c r="G14" s="34"/>
      <c r="H14" s="34"/>
      <c r="I14" s="34"/>
      <c r="K14" s="17" t="s">
        <v>25</v>
      </c>
      <c r="L14" s="57">
        <v>48</v>
      </c>
      <c r="M14" s="79">
        <v>15075.296710684277</v>
      </c>
      <c r="N14" s="79">
        <v>314.06868147258911</v>
      </c>
      <c r="O14" s="79"/>
      <c r="P14" s="79"/>
    </row>
    <row r="15" spans="1:17" ht="15.75" thickBot="1" x14ac:dyDescent="0.3">
      <c r="A15" s="26" t="e">
        <f>#REF!</f>
        <v>#REF!</v>
      </c>
      <c r="B15" s="27">
        <v>13</v>
      </c>
      <c r="C15" s="74">
        <v>35</v>
      </c>
      <c r="D15" s="76">
        <f t="shared" si="0"/>
        <v>24.74674669867947</v>
      </c>
      <c r="E15" s="28">
        <f t="shared" si="1"/>
        <v>105.12920326104035</v>
      </c>
      <c r="F15" s="77">
        <f t="shared" si="2"/>
        <v>26.214400000000012</v>
      </c>
      <c r="G15" s="34"/>
      <c r="H15" s="34"/>
      <c r="I15" s="34"/>
      <c r="K15" s="21" t="s">
        <v>26</v>
      </c>
      <c r="L15" s="80">
        <v>49</v>
      </c>
      <c r="M15" s="81">
        <v>16831.280000000006</v>
      </c>
      <c r="N15" s="81"/>
      <c r="O15" s="81"/>
      <c r="P15" s="81"/>
    </row>
    <row r="16" spans="1:17" ht="15.75" thickBot="1" x14ac:dyDescent="0.3">
      <c r="A16" s="26" t="e">
        <f>#REF!</f>
        <v>#REF!</v>
      </c>
      <c r="B16" s="27">
        <v>14</v>
      </c>
      <c r="C16" s="74">
        <v>39</v>
      </c>
      <c r="D16" s="76">
        <f t="shared" si="0"/>
        <v>25.15740696278511</v>
      </c>
      <c r="E16" s="28">
        <f t="shared" si="1"/>
        <v>191.61738199395015</v>
      </c>
      <c r="F16" s="77">
        <f t="shared" si="2"/>
        <v>83.17440000000002</v>
      </c>
      <c r="G16" s="34"/>
      <c r="H16" s="34"/>
      <c r="I16" s="34"/>
    </row>
    <row r="17" spans="1:17" x14ac:dyDescent="0.25">
      <c r="A17" s="26" t="e">
        <f>#REF!</f>
        <v>#REF!</v>
      </c>
      <c r="B17" s="27">
        <v>15</v>
      </c>
      <c r="C17" s="74">
        <v>28</v>
      </c>
      <c r="D17" s="76">
        <f t="shared" si="0"/>
        <v>25.568067226890754</v>
      </c>
      <c r="E17" s="28">
        <f t="shared" si="1"/>
        <v>5.9142970129228258</v>
      </c>
      <c r="F17" s="77">
        <f t="shared" si="2"/>
        <v>3.5343999999999962</v>
      </c>
      <c r="G17" s="34"/>
      <c r="H17" s="34"/>
      <c r="I17" s="34"/>
      <c r="K17" s="20"/>
      <c r="L17" s="20" t="s">
        <v>27</v>
      </c>
      <c r="M17" s="20" t="s">
        <v>16</v>
      </c>
      <c r="N17" s="20" t="s">
        <v>28</v>
      </c>
      <c r="O17" s="20" t="s">
        <v>29</v>
      </c>
      <c r="P17" s="20" t="s">
        <v>30</v>
      </c>
      <c r="Q17" s="20" t="s">
        <v>31</v>
      </c>
    </row>
    <row r="18" spans="1:17" x14ac:dyDescent="0.25">
      <c r="A18" s="26" t="e">
        <f>#REF!</f>
        <v>#REF!</v>
      </c>
      <c r="B18" s="27">
        <v>16</v>
      </c>
      <c r="C18" s="74">
        <v>19</v>
      </c>
      <c r="D18" s="76">
        <f t="shared" si="0"/>
        <v>25.978727490996398</v>
      </c>
      <c r="E18" s="28">
        <f t="shared" si="1"/>
        <v>48.702637393588887</v>
      </c>
      <c r="F18" s="77">
        <f t="shared" si="2"/>
        <v>118.37439999999998</v>
      </c>
      <c r="G18" s="34"/>
      <c r="H18" s="34"/>
      <c r="I18" s="34"/>
      <c r="J18" s="13" t="s">
        <v>32</v>
      </c>
      <c r="K18" s="14" t="s">
        <v>33</v>
      </c>
      <c r="L18" s="18">
        <v>19.408163265306122</v>
      </c>
      <c r="M18" s="79">
        <v>5.0886778547249945</v>
      </c>
      <c r="N18" s="79">
        <v>3.8139893739363053</v>
      </c>
      <c r="O18" s="79">
        <v>3.9045739200275012E-4</v>
      </c>
      <c r="P18" s="79">
        <v>9.1766907002433395</v>
      </c>
      <c r="Q18" s="79">
        <v>29.639635830368903</v>
      </c>
    </row>
    <row r="19" spans="1:17" ht="15.75" thickBot="1" x14ac:dyDescent="0.3">
      <c r="A19" s="26" t="e">
        <f>#REF!</f>
        <v>#REF!</v>
      </c>
      <c r="B19" s="27">
        <v>17</v>
      </c>
      <c r="C19" s="74">
        <v>68</v>
      </c>
      <c r="D19" s="76">
        <f t="shared" si="0"/>
        <v>26.389387755102039</v>
      </c>
      <c r="E19" s="28">
        <f t="shared" si="1"/>
        <v>1731.4430513952525</v>
      </c>
      <c r="F19" s="77">
        <f t="shared" si="2"/>
        <v>1453.1344000000004</v>
      </c>
      <c r="G19" s="34"/>
      <c r="H19" s="34"/>
      <c r="I19" s="34"/>
      <c r="J19" s="13" t="s">
        <v>34</v>
      </c>
      <c r="K19" s="19" t="s">
        <v>35</v>
      </c>
      <c r="L19" s="22">
        <v>0.41066026410564221</v>
      </c>
      <c r="M19" s="81">
        <v>0.17367400060101817</v>
      </c>
      <c r="N19" s="81">
        <v>2.3645465797097249</v>
      </c>
      <c r="O19" s="83">
        <v>2.2144150363479765E-2</v>
      </c>
      <c r="P19" s="83">
        <v>6.146528200158341E-2</v>
      </c>
      <c r="Q19" s="83">
        <v>0.75985524620970102</v>
      </c>
    </row>
    <row r="20" spans="1:17" x14ac:dyDescent="0.25">
      <c r="A20" s="26" t="e">
        <f>#REF!</f>
        <v>#REF!</v>
      </c>
      <c r="B20" s="27">
        <v>18</v>
      </c>
      <c r="C20" s="74">
        <v>16</v>
      </c>
      <c r="D20" s="76">
        <f t="shared" si="0"/>
        <v>26.800048019207679</v>
      </c>
      <c r="E20" s="28">
        <f t="shared" si="1"/>
        <v>116.64103721719172</v>
      </c>
      <c r="F20" s="77">
        <f t="shared" si="2"/>
        <v>192.65439999999998</v>
      </c>
      <c r="G20" s="34"/>
      <c r="H20" s="34"/>
      <c r="I20" s="34"/>
      <c r="K20" s="16" t="s">
        <v>33</v>
      </c>
      <c r="L20" s="16">
        <f>INTERCEPT(C3:C52,B3:B52)</f>
        <v>19.408163265306122</v>
      </c>
    </row>
    <row r="21" spans="1:17" x14ac:dyDescent="0.25">
      <c r="A21" s="26" t="e">
        <f>#REF!</f>
        <v>#REF!</v>
      </c>
      <c r="B21" s="27">
        <v>19</v>
      </c>
      <c r="C21" s="74">
        <v>27</v>
      </c>
      <c r="D21" s="76">
        <f t="shared" si="0"/>
        <v>27.210708283313323</v>
      </c>
      <c r="E21" s="28">
        <f t="shared" si="1"/>
        <v>4.4397980656847746E-2</v>
      </c>
      <c r="F21" s="77">
        <f t="shared" si="2"/>
        <v>8.2943999999999942</v>
      </c>
      <c r="G21" s="34"/>
      <c r="H21" s="34"/>
      <c r="I21" s="34"/>
      <c r="K21" s="16" t="s">
        <v>35</v>
      </c>
      <c r="L21" s="16">
        <f>SLOPE(C3:C52,B3:B52)</f>
        <v>0.41066026410564216</v>
      </c>
    </row>
    <row r="22" spans="1:17" x14ac:dyDescent="0.25">
      <c r="A22" s="26" t="e">
        <f>#REF!</f>
        <v>#REF!</v>
      </c>
      <c r="B22" s="27">
        <v>20</v>
      </c>
      <c r="C22" s="74">
        <v>10</v>
      </c>
      <c r="D22" s="76">
        <f t="shared" si="0"/>
        <v>27.621368547418967</v>
      </c>
      <c r="E22" s="28">
        <f t="shared" si="1"/>
        <v>310.51262948396646</v>
      </c>
      <c r="F22" s="77">
        <f t="shared" si="2"/>
        <v>395.21439999999996</v>
      </c>
      <c r="G22" s="34"/>
      <c r="H22" s="34"/>
      <c r="I22" s="34"/>
      <c r="M22" s="32">
        <f>H2</f>
        <v>15075.296710684273</v>
      </c>
    </row>
    <row r="23" spans="1:17" x14ac:dyDescent="0.25">
      <c r="A23" s="26" t="e">
        <f>#REF!</f>
        <v>#REF!</v>
      </c>
      <c r="B23" s="27">
        <v>21</v>
      </c>
      <c r="C23" s="74">
        <v>27</v>
      </c>
      <c r="D23" s="76">
        <f t="shared" si="0"/>
        <v>28.032028811524608</v>
      </c>
      <c r="E23" s="28">
        <f t="shared" si="1"/>
        <v>1.0650834678168946</v>
      </c>
      <c r="F23" s="77">
        <f t="shared" si="2"/>
        <v>8.2943999999999942</v>
      </c>
      <c r="G23" s="34"/>
      <c r="H23" s="34"/>
      <c r="I23" s="34"/>
    </row>
    <row r="24" spans="1:17" x14ac:dyDescent="0.25">
      <c r="A24" s="26" t="e">
        <f>#REF!</f>
        <v>#REF!</v>
      </c>
      <c r="B24" s="27">
        <v>22</v>
      </c>
      <c r="C24" s="74">
        <v>38</v>
      </c>
      <c r="D24" s="76">
        <f t="shared" si="0"/>
        <v>28.442689075630248</v>
      </c>
      <c r="E24" s="28">
        <f t="shared" si="1"/>
        <v>91.342192105077402</v>
      </c>
      <c r="F24" s="77">
        <f t="shared" si="2"/>
        <v>65.934400000000011</v>
      </c>
      <c r="G24" s="34"/>
      <c r="H24" s="34"/>
      <c r="I24" s="34"/>
    </row>
    <row r="25" spans="1:17" x14ac:dyDescent="0.25">
      <c r="A25" s="26" t="e">
        <f>#REF!</f>
        <v>#REF!</v>
      </c>
      <c r="B25" s="27">
        <v>23</v>
      </c>
      <c r="C25" s="74">
        <v>38</v>
      </c>
      <c r="D25" s="76">
        <f t="shared" si="0"/>
        <v>28.853349339735892</v>
      </c>
      <c r="E25" s="28">
        <f t="shared" si="1"/>
        <v>83.661218300909837</v>
      </c>
      <c r="F25" s="77">
        <f t="shared" si="2"/>
        <v>65.934400000000011</v>
      </c>
      <c r="G25" s="34"/>
      <c r="H25" s="34"/>
      <c r="I25" s="34"/>
    </row>
    <row r="26" spans="1:17" x14ac:dyDescent="0.25">
      <c r="A26" s="26" t="e">
        <f>#REF!</f>
        <v>#REF!</v>
      </c>
      <c r="B26" s="27">
        <v>24</v>
      </c>
      <c r="C26" s="74">
        <v>32</v>
      </c>
      <c r="D26" s="76">
        <f t="shared" si="0"/>
        <v>29.264009603841533</v>
      </c>
      <c r="E26" s="28">
        <f t="shared" si="1"/>
        <v>7.4856434478713654</v>
      </c>
      <c r="F26" s="77">
        <f t="shared" si="2"/>
        <v>4.4944000000000042</v>
      </c>
      <c r="G26" s="34"/>
      <c r="H26" s="34"/>
      <c r="I26" s="34"/>
    </row>
    <row r="27" spans="1:17" x14ac:dyDescent="0.25">
      <c r="A27" s="26" t="e">
        <f>#REF!</f>
        <v>#REF!</v>
      </c>
      <c r="B27" s="27">
        <v>25</v>
      </c>
      <c r="C27" s="74">
        <v>36</v>
      </c>
      <c r="D27" s="76">
        <f t="shared" si="0"/>
        <v>29.674669867947173</v>
      </c>
      <c r="E27" s="28">
        <f t="shared" si="1"/>
        <v>40.009801279455431</v>
      </c>
      <c r="F27" s="77">
        <f t="shared" si="2"/>
        <v>37.454400000000014</v>
      </c>
      <c r="G27" s="34"/>
      <c r="H27" s="34"/>
      <c r="I27" s="34"/>
    </row>
    <row r="28" spans="1:17" x14ac:dyDescent="0.25">
      <c r="A28" s="26" t="e">
        <f>#REF!</f>
        <v>#REF!</v>
      </c>
      <c r="B28" s="27">
        <v>26</v>
      </c>
      <c r="C28" s="74">
        <v>53</v>
      </c>
      <c r="D28" s="76">
        <f t="shared" si="0"/>
        <v>30.085330132052817</v>
      </c>
      <c r="E28" s="28">
        <f t="shared" si="1"/>
        <v>525.08209515700651</v>
      </c>
      <c r="F28" s="77">
        <f t="shared" si="2"/>
        <v>534.53440000000001</v>
      </c>
      <c r="G28" s="34"/>
      <c r="H28" s="34"/>
      <c r="I28" s="34"/>
    </row>
    <row r="29" spans="1:17" x14ac:dyDescent="0.25">
      <c r="A29" s="26" t="e">
        <f>#REF!</f>
        <v>#REF!</v>
      </c>
      <c r="B29" s="27">
        <v>27</v>
      </c>
      <c r="C29" s="74">
        <v>45</v>
      </c>
      <c r="D29" s="76">
        <f t="shared" si="0"/>
        <v>30.495990396158462</v>
      </c>
      <c r="E29" s="28">
        <f t="shared" si="1"/>
        <v>210.36629458832758</v>
      </c>
      <c r="F29" s="77">
        <f t="shared" si="2"/>
        <v>228.61440000000002</v>
      </c>
      <c r="G29" s="34"/>
      <c r="H29" s="34"/>
      <c r="I29" s="34"/>
    </row>
    <row r="30" spans="1:17" x14ac:dyDescent="0.25">
      <c r="A30" s="26" t="e">
        <f>#REF!</f>
        <v>#REF!</v>
      </c>
      <c r="B30" s="27">
        <v>28</v>
      </c>
      <c r="C30" s="74">
        <v>23</v>
      </c>
      <c r="D30" s="76">
        <f t="shared" si="0"/>
        <v>30.906650660264102</v>
      </c>
      <c r="E30" s="28">
        <f t="shared" si="1"/>
        <v>62.515124663454763</v>
      </c>
      <c r="F30" s="77">
        <f t="shared" si="2"/>
        <v>47.334399999999988</v>
      </c>
      <c r="G30" s="34"/>
      <c r="H30" s="34"/>
      <c r="I30" s="34"/>
    </row>
    <row r="31" spans="1:17" x14ac:dyDescent="0.25">
      <c r="A31" s="26" t="e">
        <f>#REF!</f>
        <v>#REF!</v>
      </c>
      <c r="B31" s="27">
        <v>29</v>
      </c>
      <c r="C31" s="74">
        <v>16</v>
      </c>
      <c r="D31" s="76">
        <f t="shared" si="0"/>
        <v>31.317310924369743</v>
      </c>
      <c r="E31" s="28">
        <f t="shared" si="1"/>
        <v>234.62001395381665</v>
      </c>
      <c r="F31" s="77">
        <f t="shared" si="2"/>
        <v>192.65439999999998</v>
      </c>
      <c r="G31" s="34"/>
      <c r="H31" s="34"/>
      <c r="I31" s="34"/>
    </row>
    <row r="32" spans="1:17" x14ac:dyDescent="0.25">
      <c r="A32" s="26" t="e">
        <f>#REF!</f>
        <v>#REF!</v>
      </c>
      <c r="B32" s="27">
        <v>30</v>
      </c>
      <c r="C32" s="74">
        <v>20</v>
      </c>
      <c r="D32" s="76">
        <f t="shared" si="0"/>
        <v>31.727971188475387</v>
      </c>
      <c r="E32" s="28">
        <f t="shared" si="1"/>
        <v>137.54530819770878</v>
      </c>
      <c r="F32" s="77">
        <f t="shared" si="2"/>
        <v>97.614399999999975</v>
      </c>
      <c r="G32" s="34"/>
      <c r="H32" s="34"/>
      <c r="I32" s="34"/>
    </row>
    <row r="33" spans="1:9" x14ac:dyDescent="0.25">
      <c r="A33" s="26" t="e">
        <f>#REF!</f>
        <v>#REF!</v>
      </c>
      <c r="B33" s="27">
        <v>31</v>
      </c>
      <c r="C33" s="74">
        <v>29</v>
      </c>
      <c r="D33" s="76">
        <f t="shared" si="0"/>
        <v>32.138631452581031</v>
      </c>
      <c r="E33" s="28">
        <f t="shared" si="1"/>
        <v>9.8510073951309103</v>
      </c>
      <c r="F33" s="77">
        <f t="shared" si="2"/>
        <v>0.7743999999999982</v>
      </c>
      <c r="G33" s="34"/>
      <c r="H33" s="34"/>
      <c r="I33" s="34"/>
    </row>
    <row r="34" spans="1:9" x14ac:dyDescent="0.25">
      <c r="A34" s="26" t="e">
        <f>#REF!</f>
        <v>#REF!</v>
      </c>
      <c r="B34" s="27">
        <v>32</v>
      </c>
      <c r="C34" s="74">
        <v>78</v>
      </c>
      <c r="D34" s="76">
        <f t="shared" si="0"/>
        <v>32.549291716686668</v>
      </c>
      <c r="E34" s="28">
        <f t="shared" si="1"/>
        <v>2065.7668834548472</v>
      </c>
      <c r="F34" s="77">
        <f t="shared" si="2"/>
        <v>2315.5344000000005</v>
      </c>
      <c r="G34" s="34"/>
      <c r="H34" s="34"/>
      <c r="I34" s="34"/>
    </row>
    <row r="35" spans="1:9" x14ac:dyDescent="0.25">
      <c r="A35" s="26" t="e">
        <f>#REF!</f>
        <v>#REF!</v>
      </c>
      <c r="B35" s="27">
        <v>33</v>
      </c>
      <c r="C35" s="74">
        <v>3</v>
      </c>
      <c r="D35" s="76">
        <f t="shared" si="0"/>
        <v>32.959951980792312</v>
      </c>
      <c r="E35" s="28">
        <f t="shared" ref="E35:E52" si="3">(C35-D35)^2</f>
        <v>897.59872269138111</v>
      </c>
      <c r="F35" s="77">
        <f t="shared" ref="F35:F52" si="4">(C35-$G$2)^2</f>
        <v>722.53439999999989</v>
      </c>
      <c r="G35" s="34"/>
      <c r="H35" s="34"/>
      <c r="I35" s="34"/>
    </row>
    <row r="36" spans="1:9" x14ac:dyDescent="0.25">
      <c r="A36" s="26" t="e">
        <f>#REF!</f>
        <v>#REF!</v>
      </c>
      <c r="B36" s="27">
        <v>34</v>
      </c>
      <c r="C36" s="74">
        <v>31</v>
      </c>
      <c r="D36" s="76">
        <f t="shared" si="0"/>
        <v>33.370612244897956</v>
      </c>
      <c r="E36" s="28">
        <f t="shared" si="3"/>
        <v>5.619802415660125</v>
      </c>
      <c r="F36" s="77">
        <f t="shared" si="4"/>
        <v>1.2544000000000022</v>
      </c>
      <c r="G36" s="34"/>
      <c r="H36" s="34"/>
      <c r="I36" s="34"/>
    </row>
    <row r="37" spans="1:9" x14ac:dyDescent="0.25">
      <c r="A37" s="26" t="e">
        <f>#REF!</f>
        <v>#REF!</v>
      </c>
      <c r="B37" s="27">
        <v>35</v>
      </c>
      <c r="C37" s="74">
        <v>12</v>
      </c>
      <c r="D37" s="76">
        <f t="shared" si="0"/>
        <v>33.7812725090036</v>
      </c>
      <c r="E37" s="28">
        <f t="shared" si="3"/>
        <v>474.42383211147597</v>
      </c>
      <c r="F37" s="77">
        <f t="shared" si="4"/>
        <v>319.69439999999997</v>
      </c>
      <c r="G37" s="34"/>
      <c r="H37" s="34"/>
      <c r="I37" s="34"/>
    </row>
    <row r="38" spans="1:9" x14ac:dyDescent="0.25">
      <c r="A38" s="26" t="e">
        <f>#REF!</f>
        <v>#REF!</v>
      </c>
      <c r="B38" s="27">
        <v>36</v>
      </c>
      <c r="C38" s="74">
        <v>55</v>
      </c>
      <c r="D38" s="76">
        <f t="shared" si="0"/>
        <v>34.191932773109244</v>
      </c>
      <c r="E38" s="28">
        <f t="shared" si="3"/>
        <v>432.97566171880516</v>
      </c>
      <c r="F38" s="77">
        <f t="shared" si="4"/>
        <v>631.01440000000002</v>
      </c>
      <c r="G38" s="34"/>
      <c r="H38" s="34"/>
      <c r="I38" s="34"/>
    </row>
    <row r="39" spans="1:9" x14ac:dyDescent="0.25">
      <c r="A39" s="26" t="e">
        <f>#REF!</f>
        <v>#REF!</v>
      </c>
      <c r="B39" s="27">
        <v>37</v>
      </c>
      <c r="C39" s="74">
        <v>20</v>
      </c>
      <c r="D39" s="76">
        <f t="shared" si="0"/>
        <v>34.602593037214881</v>
      </c>
      <c r="E39" s="28">
        <f t="shared" si="3"/>
        <v>213.2357234105165</v>
      </c>
      <c r="F39" s="77">
        <f t="shared" si="4"/>
        <v>97.614399999999975</v>
      </c>
      <c r="G39" s="34"/>
      <c r="H39" s="34"/>
      <c r="I39" s="34"/>
    </row>
    <row r="40" spans="1:9" x14ac:dyDescent="0.25">
      <c r="A40" s="26" t="e">
        <f>#REF!</f>
        <v>#REF!</v>
      </c>
      <c r="B40" s="27">
        <v>38</v>
      </c>
      <c r="C40" s="74">
        <v>6</v>
      </c>
      <c r="D40" s="76">
        <f t="shared" si="0"/>
        <v>35.013253301320525</v>
      </c>
      <c r="E40" s="28">
        <f t="shared" si="3"/>
        <v>841.76886712658631</v>
      </c>
      <c r="F40" s="77">
        <f t="shared" si="4"/>
        <v>570.25439999999992</v>
      </c>
      <c r="G40" s="34"/>
      <c r="H40" s="34"/>
      <c r="I40" s="34"/>
    </row>
    <row r="41" spans="1:9" x14ac:dyDescent="0.25">
      <c r="A41" s="26" t="e">
        <f>#REF!</f>
        <v>#REF!</v>
      </c>
      <c r="B41" s="27">
        <v>39</v>
      </c>
      <c r="C41" s="74">
        <v>59</v>
      </c>
      <c r="D41" s="76">
        <f t="shared" si="0"/>
        <v>35.423913565426162</v>
      </c>
      <c r="E41" s="28">
        <f t="shared" si="3"/>
        <v>555.83185157049661</v>
      </c>
      <c r="F41" s="77">
        <f t="shared" si="4"/>
        <v>847.97440000000006</v>
      </c>
      <c r="G41" s="34"/>
      <c r="H41" s="34"/>
      <c r="I41" s="34"/>
    </row>
    <row r="42" spans="1:9" x14ac:dyDescent="0.25">
      <c r="A42" s="26" t="e">
        <f>#REF!</f>
        <v>#REF!</v>
      </c>
      <c r="B42" s="27">
        <v>40</v>
      </c>
      <c r="C42" s="74">
        <v>51</v>
      </c>
      <c r="D42" s="76">
        <f t="shared" si="0"/>
        <v>35.834573829531806</v>
      </c>
      <c r="E42" s="28">
        <f t="shared" si="3"/>
        <v>229.99015093192159</v>
      </c>
      <c r="F42" s="77">
        <f t="shared" si="4"/>
        <v>446.05440000000004</v>
      </c>
      <c r="G42" s="34"/>
      <c r="H42" s="34"/>
      <c r="I42" s="34"/>
    </row>
    <row r="43" spans="1:9" x14ac:dyDescent="0.25">
      <c r="A43" s="26" t="e">
        <f>#REF!</f>
        <v>#REF!</v>
      </c>
      <c r="B43" s="27">
        <v>41</v>
      </c>
      <c r="C43" s="74">
        <v>2</v>
      </c>
      <c r="D43" s="76">
        <f t="shared" si="0"/>
        <v>36.24523409363745</v>
      </c>
      <c r="E43" s="28">
        <f t="shared" si="3"/>
        <v>1172.7360581280288</v>
      </c>
      <c r="F43" s="77">
        <f t="shared" si="4"/>
        <v>777.2944</v>
      </c>
      <c r="G43" s="34"/>
      <c r="H43" s="34"/>
      <c r="I43" s="34"/>
    </row>
    <row r="44" spans="1:9" x14ac:dyDescent="0.25">
      <c r="A44" s="26" t="e">
        <f>#REF!</f>
        <v>#REF!</v>
      </c>
      <c r="B44" s="27">
        <v>42</v>
      </c>
      <c r="C44" s="74">
        <v>67</v>
      </c>
      <c r="D44" s="76">
        <f t="shared" si="0"/>
        <v>36.655894357743094</v>
      </c>
      <c r="E44" s="28">
        <f t="shared" si="3"/>
        <v>920.76474722844739</v>
      </c>
      <c r="F44" s="77">
        <f t="shared" si="4"/>
        <v>1377.8944000000004</v>
      </c>
      <c r="G44" s="34"/>
      <c r="H44" s="34"/>
      <c r="I44" s="34"/>
    </row>
    <row r="45" spans="1:9" x14ac:dyDescent="0.25">
      <c r="A45" s="26" t="e">
        <f>#REF!</f>
        <v>#REF!</v>
      </c>
      <c r="B45" s="27">
        <v>43</v>
      </c>
      <c r="C45" s="74">
        <v>65</v>
      </c>
      <c r="D45" s="76">
        <f t="shared" si="0"/>
        <v>37.066554621848738</v>
      </c>
      <c r="E45" s="28">
        <f t="shared" si="3"/>
        <v>780.27737069416014</v>
      </c>
      <c r="F45" s="77">
        <f t="shared" si="4"/>
        <v>1233.4144000000003</v>
      </c>
      <c r="G45" s="34"/>
      <c r="H45" s="34"/>
      <c r="I45" s="34"/>
    </row>
    <row r="46" spans="1:9" x14ac:dyDescent="0.25">
      <c r="A46" s="26" t="e">
        <f>#REF!</f>
        <v>#REF!</v>
      </c>
      <c r="B46" s="27">
        <v>44</v>
      </c>
      <c r="C46" s="74">
        <v>43</v>
      </c>
      <c r="D46" s="76">
        <f t="shared" si="0"/>
        <v>37.477214885954382</v>
      </c>
      <c r="E46" s="28">
        <f t="shared" si="3"/>
        <v>30.501155415923872</v>
      </c>
      <c r="F46" s="77">
        <f t="shared" si="4"/>
        <v>172.13440000000003</v>
      </c>
      <c r="G46" s="34"/>
      <c r="H46" s="34"/>
      <c r="I46" s="34"/>
    </row>
    <row r="47" spans="1:9" x14ac:dyDescent="0.25">
      <c r="A47" s="26" t="e">
        <f>#REF!</f>
        <v>#REF!</v>
      </c>
      <c r="B47" s="27">
        <v>45</v>
      </c>
      <c r="C47" s="74">
        <v>27</v>
      </c>
      <c r="D47" s="76">
        <f t="shared" si="0"/>
        <v>37.887875150060019</v>
      </c>
      <c r="E47" s="28">
        <f t="shared" si="3"/>
        <v>118.54582528329448</v>
      </c>
      <c r="F47" s="77">
        <f t="shared" si="4"/>
        <v>8.2943999999999942</v>
      </c>
      <c r="G47" s="34"/>
      <c r="H47" s="34"/>
      <c r="I47" s="34"/>
    </row>
    <row r="48" spans="1:9" x14ac:dyDescent="0.25">
      <c r="A48" s="26" t="e">
        <f>#REF!</f>
        <v>#REF!</v>
      </c>
      <c r="B48" s="27">
        <v>46</v>
      </c>
      <c r="C48" s="74">
        <v>31</v>
      </c>
      <c r="D48" s="76">
        <f t="shared" si="0"/>
        <v>38.298535414165663</v>
      </c>
      <c r="E48" s="28">
        <f t="shared" si="3"/>
        <v>53.268619191830346</v>
      </c>
      <c r="F48" s="77">
        <f t="shared" si="4"/>
        <v>1.2544000000000022</v>
      </c>
      <c r="G48" s="34"/>
      <c r="H48" s="34"/>
      <c r="I48" s="34"/>
    </row>
    <row r="49" spans="1:10" x14ac:dyDescent="0.25">
      <c r="A49" s="26" t="e">
        <f>#REF!</f>
        <v>#REF!</v>
      </c>
      <c r="B49" s="27">
        <v>47</v>
      </c>
      <c r="C49" s="74">
        <v>43</v>
      </c>
      <c r="D49" s="76">
        <f t="shared" si="0"/>
        <v>38.7091956782713</v>
      </c>
      <c r="E49" s="28">
        <f t="shared" si="3"/>
        <v>18.41100172736569</v>
      </c>
      <c r="F49" s="77">
        <f t="shared" si="4"/>
        <v>172.13440000000003</v>
      </c>
      <c r="G49" s="34"/>
      <c r="H49" s="34"/>
      <c r="I49" s="34"/>
    </row>
    <row r="50" spans="1:10" x14ac:dyDescent="0.25">
      <c r="A50" s="26" t="e">
        <f>#REF!</f>
        <v>#REF!</v>
      </c>
      <c r="B50" s="27">
        <v>48</v>
      </c>
      <c r="C50" s="74">
        <v>15</v>
      </c>
      <c r="D50" s="76">
        <f t="shared" si="0"/>
        <v>39.119855942376944</v>
      </c>
      <c r="E50" s="28">
        <f t="shared" si="3"/>
        <v>581.76745068101638</v>
      </c>
      <c r="F50" s="77">
        <f t="shared" si="4"/>
        <v>221.41439999999997</v>
      </c>
      <c r="G50" s="34"/>
      <c r="H50" s="34"/>
      <c r="I50" s="34"/>
    </row>
    <row r="51" spans="1:10" x14ac:dyDescent="0.25">
      <c r="A51" s="26" t="e">
        <f>#REF!</f>
        <v>#REF!</v>
      </c>
      <c r="B51" s="27">
        <v>49</v>
      </c>
      <c r="C51" s="74">
        <v>37</v>
      </c>
      <c r="D51" s="76">
        <f t="shared" si="0"/>
        <v>39.530516206482588</v>
      </c>
      <c r="E51" s="28">
        <f t="shared" si="3"/>
        <v>6.4035122712710271</v>
      </c>
      <c r="F51" s="77">
        <f t="shared" si="4"/>
        <v>50.694400000000016</v>
      </c>
      <c r="G51" s="34"/>
      <c r="H51" s="34"/>
      <c r="I51" s="34"/>
    </row>
    <row r="52" spans="1:10" ht="15.75" thickBot="1" x14ac:dyDescent="0.3">
      <c r="A52" s="29" t="e">
        <f>#REF!</f>
        <v>#REF!</v>
      </c>
      <c r="B52" s="30">
        <v>50</v>
      </c>
      <c r="C52" s="75">
        <v>36</v>
      </c>
      <c r="D52" s="76">
        <f t="shared" si="0"/>
        <v>39.941176470588232</v>
      </c>
      <c r="E52" s="31">
        <f t="shared" si="3"/>
        <v>15.532871972318313</v>
      </c>
      <c r="F52" s="78">
        <f t="shared" si="4"/>
        <v>37.454400000000014</v>
      </c>
      <c r="G52" s="34"/>
      <c r="H52" s="34"/>
      <c r="I52" s="34"/>
    </row>
    <row r="53" spans="1:10" ht="15.75" customHeight="1" x14ac:dyDescent="0.25">
      <c r="B53" s="11">
        <v>51</v>
      </c>
      <c r="G53" s="35"/>
      <c r="H53" s="35"/>
      <c r="I53" s="35"/>
      <c r="J53" s="33">
        <f>1-H2/I2</f>
        <v>0.10432856498826781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[2]ArdiData!A2</f>
        <v>Per.</v>
      </c>
      <c r="B1" s="48" t="s">
        <v>44</v>
      </c>
      <c r="C1" s="6" t="s">
        <v>4</v>
      </c>
      <c r="D1" s="47" t="s">
        <v>50</v>
      </c>
      <c r="E1" s="53" t="s">
        <v>49</v>
      </c>
      <c r="F1" s="53" t="s">
        <v>48</v>
      </c>
      <c r="G1" s="45" t="s">
        <v>3</v>
      </c>
      <c r="H1" s="45" t="s">
        <v>2</v>
      </c>
      <c r="I1" s="46" t="s">
        <v>1</v>
      </c>
      <c r="J1" s="46" t="s">
        <v>47</v>
      </c>
      <c r="K1" s="45" t="s">
        <v>43</v>
      </c>
      <c r="L1" s="45" t="s">
        <v>42</v>
      </c>
      <c r="M1" s="51" t="s">
        <v>46</v>
      </c>
      <c r="N1" s="44">
        <f>0.2</f>
        <v>0.2</v>
      </c>
      <c r="O1" s="3" t="str">
        <f>" F(next) ~ N ( "&amp;ROUND(F78,0)&amp;", "&amp;ROUND(1.25*I77,0)&amp;")"</f>
        <v xml:space="preserve"> F(next) ~ N ( 11080, 664)</v>
      </c>
      <c r="R1" s="43"/>
    </row>
    <row r="2" spans="1:24" x14ac:dyDescent="0.2">
      <c r="A2" s="2">
        <v>0</v>
      </c>
      <c r="B2" s="52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5"/>
      <c r="H2" s="45"/>
      <c r="I2" s="46"/>
      <c r="J2" s="46"/>
      <c r="K2" s="45"/>
      <c r="L2" s="45"/>
      <c r="M2" s="51" t="s">
        <v>45</v>
      </c>
      <c r="N2" s="44">
        <v>0.6</v>
      </c>
      <c r="R2" s="43"/>
    </row>
    <row r="3" spans="1:24" x14ac:dyDescent="0.2">
      <c r="A3" s="2">
        <f>[2]ArdiData!A3</f>
        <v>1</v>
      </c>
      <c r="B3" s="42" t="e">
        <f>#REF!</f>
        <v>#REF!</v>
      </c>
      <c r="C3" s="41">
        <v>1113.3499253558266</v>
      </c>
      <c r="D3" s="3">
        <f t="shared" ref="D3:D34" si="0">$N$1*C3+(1-$N$1)*F3</f>
        <v>1080.7567513593549</v>
      </c>
      <c r="E3" s="41">
        <f t="shared" ref="E3:E34" si="1">$N$2*(D3-D2)+(1-$N$2)*E2</f>
        <v>106.37733972243511</v>
      </c>
      <c r="F3" s="41">
        <f t="shared" ref="F3:F34" si="2">D2+E2</f>
        <v>1072.6084578602367</v>
      </c>
      <c r="G3" s="40">
        <f t="shared" ref="G3:G34" si="3">C3-F3</f>
        <v>40.741467495589859</v>
      </c>
      <c r="H3" s="40">
        <f t="shared" ref="H3:H34" si="4">ABS(G3)</f>
        <v>40.741467495589859</v>
      </c>
      <c r="I3" s="38">
        <f>SUM(H$3:H3)/COUNT(H$3:H3)</f>
        <v>40.741467495589859</v>
      </c>
      <c r="J3" s="38">
        <f>SUM(G$3:G3)/I3</f>
        <v>1</v>
      </c>
      <c r="K3" s="39">
        <f t="shared" ref="K3:K34" si="5">(G3-$G$78)^2</f>
        <v>30.869763613761691</v>
      </c>
      <c r="L3" s="38" t="e">
        <f>SQRT(SUM(K$3:K3)/(COUNT(K$3:K3)-1))</f>
        <v>#DIV/0!</v>
      </c>
    </row>
    <row r="4" spans="1:24" x14ac:dyDescent="0.2">
      <c r="A4" s="2">
        <f>[2]ArdiData!A4</f>
        <v>2</v>
      </c>
      <c r="B4" s="42" t="e">
        <f>#REF!</f>
        <v>#REF!</v>
      </c>
      <c r="C4" s="41">
        <v>1222.4509615075469</v>
      </c>
      <c r="D4" s="3">
        <f t="shared" si="0"/>
        <v>1194.1974651669416</v>
      </c>
      <c r="E4" s="41">
        <f t="shared" si="1"/>
        <v>110.61536417352605</v>
      </c>
      <c r="F4" s="41">
        <f t="shared" si="2"/>
        <v>1187.1340910817901</v>
      </c>
      <c r="G4" s="40">
        <f t="shared" si="3"/>
        <v>35.316870425756861</v>
      </c>
      <c r="H4" s="40">
        <f t="shared" si="4"/>
        <v>35.316870425756861</v>
      </c>
      <c r="I4" s="38">
        <f>SUM(H$3:H4)/COUNT(H$3:H4)</f>
        <v>38.02916896067336</v>
      </c>
      <c r="J4" s="38">
        <f>SUM(G$3:G4)/I4</f>
        <v>2</v>
      </c>
      <c r="K4" s="39">
        <f t="shared" si="5"/>
        <v>1.7281576635303535E-2</v>
      </c>
      <c r="L4" s="38">
        <f>SQRT(SUM(K$3:K4)/(COUNT(K$3:K4)-1))</f>
        <v>5.5576114645049621</v>
      </c>
    </row>
    <row r="5" spans="1:24" x14ac:dyDescent="0.2">
      <c r="A5" s="2">
        <f>[2]ArdiData!A5</f>
        <v>3</v>
      </c>
      <c r="B5" s="42" t="e">
        <f>#REF!</f>
        <v>#REF!</v>
      </c>
      <c r="C5" s="41">
        <v>1815.9308993190284</v>
      </c>
      <c r="D5" s="3">
        <f t="shared" si="0"/>
        <v>1407.0364433361801</v>
      </c>
      <c r="E5" s="41">
        <f t="shared" si="1"/>
        <v>171.94953257095355</v>
      </c>
      <c r="F5" s="41">
        <f t="shared" si="2"/>
        <v>1304.8128293404677</v>
      </c>
      <c r="G5" s="40">
        <f t="shared" si="3"/>
        <v>511.1180699785607</v>
      </c>
      <c r="H5" s="40">
        <f t="shared" si="4"/>
        <v>511.1180699785607</v>
      </c>
      <c r="I5" s="38">
        <f>SUM(H$3:H5)/COUNT(H$3:H5)</f>
        <v>195.72546929996915</v>
      </c>
      <c r="J5" s="38">
        <f>SUM(G$3:G5)/I5</f>
        <v>3</v>
      </c>
      <c r="K5" s="39">
        <f t="shared" si="5"/>
        <v>226511.89586797569</v>
      </c>
      <c r="L5" s="38">
        <f>SQRT(SUM(K$3:K5)/(COUNT(K$3:K5)-1))</f>
        <v>336.55815464282404</v>
      </c>
      <c r="M5" s="43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[2]ArdiData!A6</f>
        <v>4</v>
      </c>
      <c r="B6" s="42" t="e">
        <f>#REF!</f>
        <v>#REF!</v>
      </c>
      <c r="C6" s="41">
        <v>1877.6018297269898</v>
      </c>
      <c r="D6" s="3">
        <f t="shared" si="0"/>
        <v>1638.7091466711051</v>
      </c>
      <c r="E6" s="41">
        <f t="shared" si="1"/>
        <v>207.78343502933643</v>
      </c>
      <c r="F6" s="41">
        <f t="shared" si="2"/>
        <v>1578.9859759071337</v>
      </c>
      <c r="G6" s="40">
        <f t="shared" si="3"/>
        <v>298.61585381985606</v>
      </c>
      <c r="H6" s="40">
        <f t="shared" si="4"/>
        <v>298.61585381985606</v>
      </c>
      <c r="I6" s="38">
        <f>SUM(H$3:H6)/COUNT(H$3:H6)</f>
        <v>221.44806542994087</v>
      </c>
      <c r="J6" s="38">
        <f>SUM(G$3:G6)/I6</f>
        <v>4</v>
      </c>
      <c r="K6" s="39">
        <f t="shared" si="5"/>
        <v>69395.598196279912</v>
      </c>
      <c r="L6" s="38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[2]ArdiData!A7</f>
        <v>5</v>
      </c>
      <c r="B7" s="42" t="e">
        <f>#REF!</f>
        <v>#REF!</v>
      </c>
      <c r="C7" s="41">
        <v>1437.7413264412648</v>
      </c>
      <c r="D7" s="3">
        <f t="shared" si="0"/>
        <v>1764.7423306486062</v>
      </c>
      <c r="E7" s="41">
        <f t="shared" si="1"/>
        <v>158.73328439823518</v>
      </c>
      <c r="F7" s="41">
        <f t="shared" si="2"/>
        <v>1846.4925817004416</v>
      </c>
      <c r="G7" s="40">
        <f t="shared" si="3"/>
        <v>-408.75125525917679</v>
      </c>
      <c r="H7" s="40">
        <f t="shared" si="4"/>
        <v>408.75125525917679</v>
      </c>
      <c r="I7" s="38">
        <f>SUM(H$3:H7)/COUNT(H$3:H7)</f>
        <v>258.90870339578805</v>
      </c>
      <c r="J7" s="38">
        <f>SUM(G$3:G7)/I7</f>
        <v>1.8425066450212937</v>
      </c>
      <c r="K7" s="39">
        <f t="shared" si="5"/>
        <v>197079.76366276905</v>
      </c>
      <c r="L7" s="38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[2]ArdiData!A8</f>
        <v>6</v>
      </c>
      <c r="B8" s="42" t="e">
        <f>#REF!</f>
        <v>#REF!</v>
      </c>
      <c r="C8" s="41">
        <v>1885.961866319813</v>
      </c>
      <c r="D8" s="3">
        <f t="shared" si="0"/>
        <v>1915.9728653014358</v>
      </c>
      <c r="E8" s="41">
        <f t="shared" si="1"/>
        <v>154.23163455099186</v>
      </c>
      <c r="F8" s="41">
        <f t="shared" si="2"/>
        <v>1923.4756150468413</v>
      </c>
      <c r="G8" s="40">
        <f t="shared" si="3"/>
        <v>-37.513748727028315</v>
      </c>
      <c r="H8" s="40">
        <f t="shared" si="4"/>
        <v>37.513748727028315</v>
      </c>
      <c r="I8" s="38">
        <f>SUM(H$3:H8)/COUNT(H$3:H8)</f>
        <v>222.00954428432809</v>
      </c>
      <c r="J8" s="38">
        <f>SUM(G$3:G8)/I8</f>
        <v>1.9797673976153696</v>
      </c>
      <c r="K8" s="39">
        <f t="shared" si="5"/>
        <v>5285.1678272197551</v>
      </c>
      <c r="L8" s="38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[2]ArdiData!A9</f>
        <v>7</v>
      </c>
      <c r="B9" s="42" t="e">
        <f>#REF!</f>
        <v>#REF!</v>
      </c>
      <c r="C9" s="41">
        <v>1911.083953307721</v>
      </c>
      <c r="D9" s="3">
        <f t="shared" si="0"/>
        <v>2038.3803905434861</v>
      </c>
      <c r="E9" s="41">
        <f t="shared" si="1"/>
        <v>135.1371689656269</v>
      </c>
      <c r="F9" s="41">
        <f t="shared" si="2"/>
        <v>2070.2044998524275</v>
      </c>
      <c r="G9" s="40">
        <f t="shared" si="3"/>
        <v>-159.12054654470649</v>
      </c>
      <c r="H9" s="40">
        <f t="shared" si="4"/>
        <v>159.12054654470649</v>
      </c>
      <c r="I9" s="38">
        <f>SUM(H$3:H9)/COUNT(H$3:H9)</f>
        <v>213.02540175009645</v>
      </c>
      <c r="J9" s="38">
        <f>SUM(G$3:G9)/I9</f>
        <v>1.3163064539965124</v>
      </c>
      <c r="K9" s="39">
        <f t="shared" si="5"/>
        <v>37754.805143255406</v>
      </c>
      <c r="L9" s="38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[2]ArdiData!A10</f>
        <v>8</v>
      </c>
      <c r="B10" s="42" t="e">
        <f>#REF!</f>
        <v>#REF!</v>
      </c>
      <c r="C10" s="41">
        <v>1960.2999710554132</v>
      </c>
      <c r="D10" s="3">
        <f t="shared" si="0"/>
        <v>2130.8740418183734</v>
      </c>
      <c r="E10" s="41">
        <f t="shared" si="1"/>
        <v>109.55105835118312</v>
      </c>
      <c r="F10" s="41">
        <f t="shared" si="2"/>
        <v>2173.5175595091132</v>
      </c>
      <c r="G10" s="40">
        <f t="shared" si="3"/>
        <v>-213.21758845370005</v>
      </c>
      <c r="H10" s="40">
        <f t="shared" si="4"/>
        <v>213.21758845370005</v>
      </c>
      <c r="I10" s="38">
        <f>SUM(H$3:H10)/COUNT(H$3:H10)</f>
        <v>213.04942508804689</v>
      </c>
      <c r="J10" s="38">
        <f>SUM(G$3:G10)/I10</f>
        <v>0.31536871177842701</v>
      </c>
      <c r="K10" s="39">
        <f t="shared" si="5"/>
        <v>61704.050145124907</v>
      </c>
      <c r="L10" s="38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[2]ArdiData!A11</f>
        <v>9</v>
      </c>
      <c r="B11" s="42" t="e">
        <f>#REF!</f>
        <v>#REF!</v>
      </c>
      <c r="C11" s="41">
        <v>2414.1948755502854</v>
      </c>
      <c r="D11" s="3">
        <f t="shared" si="0"/>
        <v>2275.1790552457023</v>
      </c>
      <c r="E11" s="41">
        <f t="shared" si="1"/>
        <v>130.40343139687062</v>
      </c>
      <c r="F11" s="41">
        <f t="shared" si="2"/>
        <v>2240.4251001695566</v>
      </c>
      <c r="G11" s="40">
        <f t="shared" si="3"/>
        <v>173.76977538072879</v>
      </c>
      <c r="H11" s="40">
        <f t="shared" si="4"/>
        <v>173.76977538072879</v>
      </c>
      <c r="I11" s="38">
        <f>SUM(H$3:H11)/COUNT(H$3:H11)</f>
        <v>208.68501956501154</v>
      </c>
      <c r="J11" s="38">
        <f>SUM(G$3:G11)/I11</f>
        <v>1.154653547332442</v>
      </c>
      <c r="K11" s="39">
        <f t="shared" si="5"/>
        <v>19205.62604660961</v>
      </c>
      <c r="L11" s="38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[2]ArdiData!A12</f>
        <v>10</v>
      </c>
      <c r="B12" s="42" t="e">
        <f>#REF!</f>
        <v>#REF!</v>
      </c>
      <c r="C12" s="41">
        <v>2386.0381627363281</v>
      </c>
      <c r="D12" s="3">
        <f t="shared" si="0"/>
        <v>2401.6736218613241</v>
      </c>
      <c r="E12" s="41">
        <f t="shared" si="1"/>
        <v>128.05811252812134</v>
      </c>
      <c r="F12" s="41">
        <f t="shared" si="2"/>
        <v>2405.5824866425728</v>
      </c>
      <c r="G12" s="40">
        <f t="shared" si="3"/>
        <v>-19.544323906244699</v>
      </c>
      <c r="H12" s="40">
        <f t="shared" si="4"/>
        <v>19.544323906244699</v>
      </c>
      <c r="I12" s="38">
        <f>SUM(H$3:H12)/COUNT(H$3:H12)</f>
        <v>189.77094999913487</v>
      </c>
      <c r="J12" s="38">
        <f>SUM(G$3:G12)/I12</f>
        <v>1.1667464077649679</v>
      </c>
      <c r="K12" s="39">
        <f t="shared" si="5"/>
        <v>2995.3438845668798</v>
      </c>
      <c r="L12" s="38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[2]ArdiData!A13</f>
        <v>11</v>
      </c>
      <c r="B13" s="42" t="e">
        <f>#REF!</f>
        <v>#REF!</v>
      </c>
      <c r="C13" s="41">
        <v>2360.0321962860157</v>
      </c>
      <c r="D13" s="3">
        <f t="shared" si="0"/>
        <v>2495.7918267687596</v>
      </c>
      <c r="E13" s="41">
        <f t="shared" si="1"/>
        <v>107.69416795570982</v>
      </c>
      <c r="F13" s="41">
        <f t="shared" si="2"/>
        <v>2529.7317343894456</v>
      </c>
      <c r="G13" s="40">
        <f t="shared" si="3"/>
        <v>-169.69953810342986</v>
      </c>
      <c r="H13" s="40">
        <f t="shared" si="4"/>
        <v>169.69953810342986</v>
      </c>
      <c r="I13" s="38">
        <f>SUM(H$3:H13)/COUNT(H$3:H13)</f>
        <v>187.94627619043439</v>
      </c>
      <c r="J13" s="38">
        <f>SUM(G$3:G13)/I13</f>
        <v>0.27515860997323727</v>
      </c>
      <c r="K13" s="39">
        <f t="shared" si="5"/>
        <v>41977.842375325854</v>
      </c>
      <c r="L13" s="38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[2]ArdiData!A14</f>
        <v>12</v>
      </c>
      <c r="B14" s="42" t="e">
        <f>#REF!</f>
        <v>#REF!</v>
      </c>
      <c r="C14" s="41">
        <v>2374.8996096579372</v>
      </c>
      <c r="D14" s="3">
        <f t="shared" si="0"/>
        <v>2557.7687177111629</v>
      </c>
      <c r="E14" s="41">
        <f t="shared" si="1"/>
        <v>80.263801747725921</v>
      </c>
      <c r="F14" s="41">
        <f t="shared" si="2"/>
        <v>2603.4859947244695</v>
      </c>
      <c r="G14" s="40">
        <f t="shared" si="3"/>
        <v>-228.58638506653233</v>
      </c>
      <c r="H14" s="40">
        <f t="shared" si="4"/>
        <v>228.58638506653233</v>
      </c>
      <c r="I14" s="38">
        <f>SUM(H$3:H14)/COUNT(H$3:H14)</f>
        <v>191.3329519301092</v>
      </c>
      <c r="J14" s="38">
        <f>SUM(G$3:G14)/I14</f>
        <v>-0.92441655854938398</v>
      </c>
      <c r="K14" s="39">
        <f t="shared" si="5"/>
        <v>69575.560408160207</v>
      </c>
      <c r="L14" s="38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[2]ArdiData!A15</f>
        <v>13</v>
      </c>
      <c r="B15" s="42" t="e">
        <f>#REF!</f>
        <v>#REF!</v>
      </c>
      <c r="C15" s="41">
        <v>2837.1005129516102</v>
      </c>
      <c r="D15" s="3">
        <f t="shared" si="0"/>
        <v>2677.8461181574335</v>
      </c>
      <c r="E15" s="41">
        <f t="shared" si="1"/>
        <v>104.1519609668527</v>
      </c>
      <c r="F15" s="41">
        <f t="shared" si="2"/>
        <v>2638.0325194588891</v>
      </c>
      <c r="G15" s="40">
        <f t="shared" si="3"/>
        <v>199.06799349272114</v>
      </c>
      <c r="H15" s="40">
        <f t="shared" si="4"/>
        <v>199.06799349272114</v>
      </c>
      <c r="I15" s="38">
        <f>SUM(H$3:H15)/COUNT(H$3:H15)</f>
        <v>191.92795512723322</v>
      </c>
      <c r="J15" s="38">
        <f>SUM(G$3:G15)/I15</f>
        <v>0.11565091973016774</v>
      </c>
      <c r="K15" s="39">
        <f t="shared" si="5"/>
        <v>26857.500839515669</v>
      </c>
      <c r="L15" s="38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[2]ArdiData!A16</f>
        <v>14</v>
      </c>
      <c r="B16" s="42" t="e">
        <f>#REF!</f>
        <v>#REF!</v>
      </c>
      <c r="C16" s="41">
        <v>2930.8445360245173</v>
      </c>
      <c r="D16" s="3">
        <f t="shared" si="0"/>
        <v>2811.7673705043326</v>
      </c>
      <c r="E16" s="41">
        <f t="shared" si="1"/>
        <v>122.01353579488055</v>
      </c>
      <c r="F16" s="41">
        <f t="shared" si="2"/>
        <v>2781.9980791242861</v>
      </c>
      <c r="G16" s="40">
        <f t="shared" si="3"/>
        <v>148.84645690023126</v>
      </c>
      <c r="H16" s="40">
        <f t="shared" si="4"/>
        <v>148.84645690023126</v>
      </c>
      <c r="I16" s="38">
        <f>SUM(H$3:H16)/COUNT(H$3:H16)</f>
        <v>188.85070525387593</v>
      </c>
      <c r="J16" s="38">
        <f>SUM(G$3:G16)/I16</f>
        <v>0.90570538882917773</v>
      </c>
      <c r="K16" s="39">
        <f t="shared" si="5"/>
        <v>12918.833351688992</v>
      </c>
      <c r="L16" s="38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[2]ArdiData!A17</f>
        <v>15</v>
      </c>
      <c r="B17" s="42" t="e">
        <f>#REF!</f>
        <v>#REF!</v>
      </c>
      <c r="C17" s="41">
        <v>2610.1441965075874</v>
      </c>
      <c r="D17" s="3">
        <f t="shared" si="0"/>
        <v>2869.0535643408884</v>
      </c>
      <c r="E17" s="41">
        <f t="shared" si="1"/>
        <v>83.177130619885745</v>
      </c>
      <c r="F17" s="41">
        <f t="shared" si="2"/>
        <v>2933.7809062992133</v>
      </c>
      <c r="G17" s="40">
        <f t="shared" si="3"/>
        <v>-323.63670979162589</v>
      </c>
      <c r="H17" s="40">
        <f t="shared" si="4"/>
        <v>323.63670979162589</v>
      </c>
      <c r="I17" s="38">
        <f>SUM(H$3:H17)/COUNT(H$3:H17)</f>
        <v>197.83643888972591</v>
      </c>
      <c r="J17" s="38">
        <f>SUM(G$3:G17)/I17</f>
        <v>-0.77131194442928419</v>
      </c>
      <c r="K17" s="39">
        <f t="shared" si="5"/>
        <v>128753.31438027737</v>
      </c>
      <c r="L17" s="38">
        <f>SQRT(SUM(K$3:K17)/(COUNT(K$3:K17)-1))</f>
        <v>253.55278249789669</v>
      </c>
    </row>
    <row r="18" spans="1:12" x14ac:dyDescent="0.2">
      <c r="A18" s="2">
        <f>[2]ArdiData!A18</f>
        <v>16</v>
      </c>
      <c r="B18" s="42" t="e">
        <f>#REF!</f>
        <v>#REF!</v>
      </c>
      <c r="C18" s="41">
        <v>3135.2317628620631</v>
      </c>
      <c r="D18" s="3">
        <f t="shared" si="0"/>
        <v>2988.8309085410319</v>
      </c>
      <c r="E18" s="41">
        <f t="shared" si="1"/>
        <v>105.1372587680404</v>
      </c>
      <c r="F18" s="41">
        <f t="shared" si="2"/>
        <v>2952.2306949607741</v>
      </c>
      <c r="G18" s="40">
        <f t="shared" si="3"/>
        <v>183.00106790128893</v>
      </c>
      <c r="H18" s="40">
        <f t="shared" si="4"/>
        <v>183.00106790128893</v>
      </c>
      <c r="I18" s="38">
        <f>SUM(H$3:H18)/COUNT(H$3:H18)</f>
        <v>196.90922820294861</v>
      </c>
      <c r="J18" s="38">
        <f>SUM(G$3:G18)/I18</f>
        <v>0.15442374041987056</v>
      </c>
      <c r="K18" s="39">
        <f t="shared" si="5"/>
        <v>21849.468420678731</v>
      </c>
      <c r="L18" s="38">
        <f>SQRT(SUM(K$3:K18)/(COUNT(K$3:K18)-1))</f>
        <v>247.91069058495489</v>
      </c>
    </row>
    <row r="19" spans="1:12" x14ac:dyDescent="0.2">
      <c r="A19" s="2">
        <f>[2]ArdiData!A19</f>
        <v>17</v>
      </c>
      <c r="B19" s="42" t="e">
        <f>#REF!</f>
        <v>#REF!</v>
      </c>
      <c r="C19" s="41">
        <v>2997.405744195491</v>
      </c>
      <c r="D19" s="3">
        <f t="shared" si="0"/>
        <v>3074.6556826863562</v>
      </c>
      <c r="E19" s="41">
        <f t="shared" si="1"/>
        <v>93.549767994410701</v>
      </c>
      <c r="F19" s="41">
        <f t="shared" si="2"/>
        <v>3093.9681673090722</v>
      </c>
      <c r="G19" s="40">
        <f t="shared" si="3"/>
        <v>-96.56242311358119</v>
      </c>
      <c r="H19" s="40">
        <f t="shared" si="4"/>
        <v>96.56242311358119</v>
      </c>
      <c r="I19" s="38">
        <f>SUM(H$3:H19)/COUNT(H$3:H19)</f>
        <v>191.00647496239759</v>
      </c>
      <c r="J19" s="38">
        <f>SUM(G$3:G19)/I19</f>
        <v>-0.34634932446303496</v>
      </c>
      <c r="K19" s="39">
        <f t="shared" si="5"/>
        <v>17357.491797613467</v>
      </c>
      <c r="L19" s="38">
        <f>SQRT(SUM(K$3:K19)/(COUNT(K$3:K19)-1))</f>
        <v>242.28768403906906</v>
      </c>
    </row>
    <row r="20" spans="1:12" x14ac:dyDescent="0.2">
      <c r="A20" s="2">
        <f>[2]ArdiData!A20</f>
        <v>18</v>
      </c>
      <c r="B20" s="42" t="e">
        <f>#REF!</f>
        <v>#REF!</v>
      </c>
      <c r="C20" s="41">
        <v>2897.6453125752814</v>
      </c>
      <c r="D20" s="3">
        <f t="shared" si="0"/>
        <v>3114.0934230596699</v>
      </c>
      <c r="E20" s="41">
        <f t="shared" si="1"/>
        <v>61.082551421752541</v>
      </c>
      <c r="F20" s="41">
        <f t="shared" si="2"/>
        <v>3168.2054506807667</v>
      </c>
      <c r="G20" s="40">
        <f t="shared" si="3"/>
        <v>-270.56013810548529</v>
      </c>
      <c r="H20" s="40">
        <f t="shared" si="4"/>
        <v>270.56013810548529</v>
      </c>
      <c r="I20" s="38">
        <f>SUM(H$3:H20)/COUNT(H$3:H20)</f>
        <v>195.42612291479134</v>
      </c>
      <c r="J20" s="38">
        <f>SUM(G$3:G20)/I20</f>
        <v>-1.7229789787294201</v>
      </c>
      <c r="K20" s="39">
        <f t="shared" si="5"/>
        <v>93480.34080708299</v>
      </c>
      <c r="L20" s="38">
        <f>SQRT(SUM(K$3:K20)/(COUNT(K$3:K20)-1))</f>
        <v>246.47318076264403</v>
      </c>
    </row>
    <row r="21" spans="1:12" x14ac:dyDescent="0.2">
      <c r="A21" s="2">
        <f>[2]ArdiData!A21</f>
        <v>19</v>
      </c>
      <c r="B21" s="42" t="e">
        <f>#REF!</f>
        <v>#REF!</v>
      </c>
      <c r="C21" s="41">
        <v>2451.4955445656897</v>
      </c>
      <c r="D21" s="3">
        <f t="shared" si="0"/>
        <v>3030.4398884982761</v>
      </c>
      <c r="E21" s="41">
        <f t="shared" si="1"/>
        <v>-25.759100168135276</v>
      </c>
      <c r="F21" s="41">
        <f t="shared" si="2"/>
        <v>3175.1759744814226</v>
      </c>
      <c r="G21" s="40">
        <f t="shared" si="3"/>
        <v>-723.68042991573293</v>
      </c>
      <c r="H21" s="40">
        <f t="shared" si="4"/>
        <v>723.68042991573293</v>
      </c>
      <c r="I21" s="38">
        <f>SUM(H$3:H21)/COUNT(H$3:H21)</f>
        <v>223.2289811779988</v>
      </c>
      <c r="J21" s="38">
        <f>SUM(G$3:G21)/I21</f>
        <v>-4.7502592449990608</v>
      </c>
      <c r="K21" s="39">
        <f t="shared" si="5"/>
        <v>575877.3645317466</v>
      </c>
      <c r="L21" s="38">
        <f>SQRT(SUM(K$3:K21)/(COUNT(K$3:K21)-1))</f>
        <v>298.94358950692072</v>
      </c>
    </row>
    <row r="22" spans="1:12" x14ac:dyDescent="0.2">
      <c r="A22" s="2">
        <f>[2]ArdiData!A22</f>
        <v>20</v>
      </c>
      <c r="B22" s="42" t="e">
        <f>#REF!</f>
        <v>#REF!</v>
      </c>
      <c r="C22" s="41">
        <v>3606.7892415047718</v>
      </c>
      <c r="D22" s="3">
        <f t="shared" si="0"/>
        <v>3125.1024789650673</v>
      </c>
      <c r="E22" s="41">
        <f t="shared" si="1"/>
        <v>46.493914212820627</v>
      </c>
      <c r="F22" s="41">
        <f t="shared" si="2"/>
        <v>3004.6807883301408</v>
      </c>
      <c r="G22" s="40">
        <f t="shared" si="3"/>
        <v>602.10845317463099</v>
      </c>
      <c r="H22" s="40">
        <f t="shared" si="4"/>
        <v>602.10845317463099</v>
      </c>
      <c r="I22" s="38">
        <f>SUM(H$3:H22)/COUNT(H$3:H22)</f>
        <v>242.1729547778304</v>
      </c>
      <c r="J22" s="38">
        <f>SUM(G$3:G22)/I22</f>
        <v>-1.8923957831637808</v>
      </c>
      <c r="K22" s="39">
        <f t="shared" si="5"/>
        <v>321401.73573135288</v>
      </c>
      <c r="L22" s="38">
        <f>SQRT(SUM(K$3:K22)/(COUNT(K$3:K22)-1))</f>
        <v>318.71556288380185</v>
      </c>
    </row>
    <row r="23" spans="1:12" x14ac:dyDescent="0.2">
      <c r="A23" s="2">
        <f>[2]ArdiData!A23</f>
        <v>21</v>
      </c>
      <c r="B23" s="42" t="e">
        <f>#REF!</f>
        <v>#REF!</v>
      </c>
      <c r="C23" s="41">
        <v>3329.4002934339937</v>
      </c>
      <c r="D23" s="3">
        <f t="shared" si="0"/>
        <v>3203.157173229109</v>
      </c>
      <c r="E23" s="41">
        <f t="shared" si="1"/>
        <v>65.430382243553268</v>
      </c>
      <c r="F23" s="41">
        <f t="shared" si="2"/>
        <v>3171.5963931778879</v>
      </c>
      <c r="G23" s="40">
        <f t="shared" si="3"/>
        <v>157.80390025610586</v>
      </c>
      <c r="H23" s="40">
        <f t="shared" si="4"/>
        <v>157.80390025610586</v>
      </c>
      <c r="I23" s="38">
        <f>SUM(H$3:H23)/COUNT(H$3:H23)</f>
        <v>238.15538075298642</v>
      </c>
      <c r="J23" s="38">
        <f>SUM(G$3:G23)/I23</f>
        <v>-1.2617106412281023</v>
      </c>
      <c r="K23" s="39">
        <f t="shared" si="5"/>
        <v>15035.293903732731</v>
      </c>
      <c r="L23" s="38">
        <f>SQRT(SUM(K$3:K23)/(COUNT(K$3:K23)-1))</f>
        <v>311.85316130882552</v>
      </c>
    </row>
    <row r="24" spans="1:12" x14ac:dyDescent="0.2">
      <c r="A24" s="2">
        <f>[2]ArdiData!A24</f>
        <v>22</v>
      </c>
      <c r="B24" s="42" t="e">
        <f>#REF!</f>
        <v>#REF!</v>
      </c>
      <c r="C24" s="41">
        <v>3271.7372704254626</v>
      </c>
      <c r="D24" s="3">
        <f t="shared" si="0"/>
        <v>3269.2174984632225</v>
      </c>
      <c r="E24" s="41">
        <f t="shared" si="1"/>
        <v>65.808348037889346</v>
      </c>
      <c r="F24" s="41">
        <f t="shared" si="2"/>
        <v>3268.5875554726622</v>
      </c>
      <c r="G24" s="40">
        <f t="shared" si="3"/>
        <v>3.1497149528004229</v>
      </c>
      <c r="H24" s="40">
        <f t="shared" si="4"/>
        <v>3.1497149528004229</v>
      </c>
      <c r="I24" s="38">
        <f>SUM(H$3:H24)/COUNT(H$3:H24)</f>
        <v>227.47330503479614</v>
      </c>
      <c r="J24" s="38">
        <f>SUM(G$3:G24)/I24</f>
        <v>-1.3071136552198528</v>
      </c>
      <c r="K24" s="39">
        <f t="shared" si="5"/>
        <v>1026.2858221996787</v>
      </c>
      <c r="L24" s="38">
        <f>SQRT(SUM(K$3:K24)/(COUNT(K$3:K24)-1))</f>
        <v>304.41780266666143</v>
      </c>
    </row>
    <row r="25" spans="1:12" x14ac:dyDescent="0.2">
      <c r="A25" s="2">
        <f>[2]ArdiData!A25</f>
        <v>23</v>
      </c>
      <c r="B25" s="42" t="e">
        <f>#REF!</f>
        <v>#REF!</v>
      </c>
      <c r="C25" s="41">
        <v>3370.7908457036756</v>
      </c>
      <c r="D25" s="3">
        <f t="shared" si="0"/>
        <v>3342.1788463416246</v>
      </c>
      <c r="E25" s="41">
        <f t="shared" si="1"/>
        <v>70.100147942197054</v>
      </c>
      <c r="F25" s="41">
        <f t="shared" si="2"/>
        <v>3335.025846501112</v>
      </c>
      <c r="G25" s="40">
        <f t="shared" si="3"/>
        <v>35.764999202563558</v>
      </c>
      <c r="H25" s="40">
        <f t="shared" si="4"/>
        <v>35.764999202563558</v>
      </c>
      <c r="I25" s="38">
        <f>SUM(H$3:H25)/COUNT(H$3:H25)</f>
        <v>219.13816130295993</v>
      </c>
      <c r="J25" s="38">
        <f>SUM(G$3:G25)/I25</f>
        <v>-1.1936235224899476</v>
      </c>
      <c r="K25" s="39">
        <f t="shared" si="5"/>
        <v>0.3359224669813996</v>
      </c>
      <c r="L25" s="38">
        <f>SQRT(SUM(K$3:K25)/(COUNT(K$3:K25)-1))</f>
        <v>297.4187823523373</v>
      </c>
    </row>
    <row r="26" spans="1:12" x14ac:dyDescent="0.2">
      <c r="A26" s="2">
        <f>[2]ArdiData!A26</f>
        <v>24</v>
      </c>
      <c r="B26" s="42" t="e">
        <f>#REF!</f>
        <v>#REF!</v>
      </c>
      <c r="C26" s="41">
        <v>3326.6171341495628</v>
      </c>
      <c r="D26" s="3">
        <f t="shared" si="0"/>
        <v>3395.1466222569702</v>
      </c>
      <c r="E26" s="41">
        <f t="shared" si="1"/>
        <v>59.820724726086155</v>
      </c>
      <c r="F26" s="41">
        <f t="shared" si="2"/>
        <v>3412.2789942838217</v>
      </c>
      <c r="G26" s="40">
        <f t="shared" si="3"/>
        <v>-85.661860134258859</v>
      </c>
      <c r="H26" s="40">
        <f t="shared" si="4"/>
        <v>85.661860134258859</v>
      </c>
      <c r="I26" s="38">
        <f>SUM(H$3:H26)/COUNT(H$3:H26)</f>
        <v>213.57664875426406</v>
      </c>
      <c r="J26" s="38">
        <f>SUM(G$3:G26)/I26</f>
        <v>-1.6257878666322869</v>
      </c>
      <c r="K26" s="39">
        <f t="shared" si="5"/>
        <v>14604.0629442604</v>
      </c>
      <c r="L26" s="38">
        <f>SQRT(SUM(K$3:K26)/(COUNT(K$3:K26)-1))</f>
        <v>291.97070796013634</v>
      </c>
    </row>
    <row r="27" spans="1:12" x14ac:dyDescent="0.2">
      <c r="A27" s="2">
        <f>[2]ArdiData!A27</f>
        <v>25</v>
      </c>
      <c r="B27" s="42" t="e">
        <f>#REF!</f>
        <v>#REF!</v>
      </c>
      <c r="C27" s="41">
        <v>3919.3323507327541</v>
      </c>
      <c r="D27" s="3">
        <f t="shared" si="0"/>
        <v>3547.8403477329962</v>
      </c>
      <c r="E27" s="41">
        <f t="shared" si="1"/>
        <v>115.54452517605006</v>
      </c>
      <c r="F27" s="41">
        <f t="shared" si="2"/>
        <v>3454.9673469830564</v>
      </c>
      <c r="G27" s="40">
        <f t="shared" si="3"/>
        <v>464.36500374969773</v>
      </c>
      <c r="H27" s="40">
        <f t="shared" si="4"/>
        <v>464.36500374969773</v>
      </c>
      <c r="I27" s="38">
        <f>SUM(H$3:H27)/COUNT(H$3:H27)</f>
        <v>223.60818295408143</v>
      </c>
      <c r="J27" s="38">
        <f>SUM(G$3:G27)/I27</f>
        <v>0.52383896716822487</v>
      </c>
      <c r="K27" s="39">
        <f t="shared" si="5"/>
        <v>184195.1228197864</v>
      </c>
      <c r="L27" s="38">
        <f>SQRT(SUM(K$3:K27)/(COUNT(K$3:K27)-1))</f>
        <v>298.94771643458552</v>
      </c>
    </row>
    <row r="28" spans="1:12" x14ac:dyDescent="0.2">
      <c r="A28" s="2">
        <f>[2]ArdiData!A28</f>
        <v>26</v>
      </c>
      <c r="B28" s="42" t="e">
        <f>#REF!</f>
        <v>#REF!</v>
      </c>
      <c r="C28" s="41">
        <v>3932.7496928280202</v>
      </c>
      <c r="D28" s="3">
        <f t="shared" si="0"/>
        <v>3717.2578368928412</v>
      </c>
      <c r="E28" s="41">
        <f t="shared" si="1"/>
        <v>147.86830356632703</v>
      </c>
      <c r="F28" s="41">
        <f t="shared" si="2"/>
        <v>3663.3848729090464</v>
      </c>
      <c r="G28" s="40">
        <f t="shared" si="3"/>
        <v>269.36481991897381</v>
      </c>
      <c r="H28" s="40">
        <f t="shared" si="4"/>
        <v>269.36481991897381</v>
      </c>
      <c r="I28" s="38">
        <f>SUM(H$3:H28)/COUNT(H$3:H28)</f>
        <v>225.36805360657729</v>
      </c>
      <c r="J28" s="38">
        <f>SUM(G$3:G28)/I28</f>
        <v>1.7149702157995805</v>
      </c>
      <c r="K28" s="39">
        <f t="shared" si="5"/>
        <v>54839.995554541114</v>
      </c>
      <c r="L28" s="38">
        <f>SQRT(SUM(K$3:K28)/(COUNT(K$3:K28)-1))</f>
        <v>296.6286356661758</v>
      </c>
    </row>
    <row r="29" spans="1:12" x14ac:dyDescent="0.2">
      <c r="A29" s="2">
        <f>[2]ArdiData!A29</f>
        <v>27</v>
      </c>
      <c r="B29" s="42" t="e">
        <f>#REF!</f>
        <v>#REF!</v>
      </c>
      <c r="C29" s="41">
        <v>3271.4587202821313</v>
      </c>
      <c r="D29" s="3">
        <f t="shared" si="0"/>
        <v>3746.3926564237609</v>
      </c>
      <c r="E29" s="41">
        <f t="shared" si="1"/>
        <v>76.628213145082626</v>
      </c>
      <c r="F29" s="41">
        <f t="shared" si="2"/>
        <v>3865.1261404591683</v>
      </c>
      <c r="G29" s="40">
        <f t="shared" si="3"/>
        <v>-593.667420177037</v>
      </c>
      <c r="H29" s="40">
        <f t="shared" si="4"/>
        <v>593.667420177037</v>
      </c>
      <c r="I29" s="38">
        <f>SUM(H$3:H29)/COUNT(H$3:H29)</f>
        <v>239.00877088696467</v>
      </c>
      <c r="J29" s="38">
        <f>SUM(G$3:G29)/I29</f>
        <v>-0.86677957415634099</v>
      </c>
      <c r="K29" s="39">
        <f t="shared" si="5"/>
        <v>395455.88329843793</v>
      </c>
      <c r="L29" s="38">
        <f>SQRT(SUM(K$3:K29)/(COUNT(K$3:K29)-1))</f>
        <v>315.93387640258499</v>
      </c>
    </row>
    <row r="30" spans="1:12" x14ac:dyDescent="0.2">
      <c r="A30" s="2">
        <f>[2]ArdiData!A30</f>
        <v>28</v>
      </c>
      <c r="B30" s="42" t="e">
        <f>#REF!</f>
        <v>#REF!</v>
      </c>
      <c r="C30" s="41">
        <v>4226.8800578487453</v>
      </c>
      <c r="D30" s="3">
        <f t="shared" si="0"/>
        <v>3903.792707224824</v>
      </c>
      <c r="E30" s="41">
        <f t="shared" si="1"/>
        <v>125.09131573867093</v>
      </c>
      <c r="F30" s="41">
        <f t="shared" si="2"/>
        <v>3823.0208695688434</v>
      </c>
      <c r="G30" s="40">
        <f t="shared" si="3"/>
        <v>403.8591882799019</v>
      </c>
      <c r="H30" s="40">
        <f t="shared" si="4"/>
        <v>403.8591882799019</v>
      </c>
      <c r="I30" s="38">
        <f>SUM(H$3:H30)/COUNT(H$3:H30)</f>
        <v>244.89628579385527</v>
      </c>
      <c r="J30" s="38">
        <f>SUM(G$3:G30)/I30</f>
        <v>0.80316149750199028</v>
      </c>
      <c r="K30" s="39">
        <f t="shared" si="5"/>
        <v>135920.35404265486</v>
      </c>
      <c r="L30" s="38">
        <f>SQRT(SUM(K$3:K30)/(COUNT(K$3:K30)-1))</f>
        <v>318.0432025609166</v>
      </c>
    </row>
    <row r="31" spans="1:12" x14ac:dyDescent="0.2">
      <c r="A31" s="2">
        <f>[2]ArdiData!A31</f>
        <v>29</v>
      </c>
      <c r="B31" s="42" t="e">
        <f>#REF!</f>
        <v>#REF!</v>
      </c>
      <c r="C31" s="41">
        <v>3676.4065496322846</v>
      </c>
      <c r="D31" s="3">
        <f t="shared" si="0"/>
        <v>3958.3885282972533</v>
      </c>
      <c r="E31" s="41">
        <f t="shared" si="1"/>
        <v>82.794018938925973</v>
      </c>
      <c r="F31" s="41">
        <f t="shared" si="2"/>
        <v>4028.8840229634948</v>
      </c>
      <c r="G31" s="40">
        <f t="shared" si="3"/>
        <v>-352.47747333121015</v>
      </c>
      <c r="H31" s="40">
        <f t="shared" si="4"/>
        <v>352.47747333121015</v>
      </c>
      <c r="I31" s="38">
        <f>SUM(H$3:H31)/COUNT(H$3:H31)</f>
        <v>248.60598191583304</v>
      </c>
      <c r="J31" s="38">
        <f>SUM(G$3:G31)/I31</f>
        <v>-0.62663900723468613</v>
      </c>
      <c r="K31" s="39">
        <f t="shared" si="5"/>
        <v>150282.51189974471</v>
      </c>
      <c r="L31" s="38">
        <f>SQRT(SUM(K$3:K31)/(COUNT(K$3:K31)-1))</f>
        <v>320.78989767838584</v>
      </c>
    </row>
    <row r="32" spans="1:12" x14ac:dyDescent="0.2">
      <c r="A32" s="2">
        <f>[2]ArdiData!A32</f>
        <v>30</v>
      </c>
      <c r="B32" s="42" t="e">
        <f>#REF!</f>
        <v>#REF!</v>
      </c>
      <c r="C32" s="41">
        <v>3709.9538102697975</v>
      </c>
      <c r="D32" s="3">
        <f t="shared" si="0"/>
        <v>3974.9367998429034</v>
      </c>
      <c r="E32" s="41">
        <f t="shared" si="1"/>
        <v>43.046570502960449</v>
      </c>
      <c r="F32" s="41">
        <f t="shared" si="2"/>
        <v>4041.1825472361793</v>
      </c>
      <c r="G32" s="40">
        <f t="shared" si="3"/>
        <v>-331.2287369663818</v>
      </c>
      <c r="H32" s="40">
        <f t="shared" si="4"/>
        <v>331.2287369663818</v>
      </c>
      <c r="I32" s="38">
        <f>SUM(H$3:H32)/COUNT(H$3:H32)</f>
        <v>251.36007375085134</v>
      </c>
      <c r="J32" s="38">
        <f>SUM(G$3:G32)/I32</f>
        <v>-1.9375190952141987</v>
      </c>
      <c r="K32" s="39">
        <f t="shared" si="5"/>
        <v>134259.32784103689</v>
      </c>
      <c r="L32" s="38">
        <f>SQRT(SUM(K$3:K32)/(COUNT(K$3:K32)-1))</f>
        <v>322.47062226585456</v>
      </c>
    </row>
    <row r="33" spans="1:12" x14ac:dyDescent="0.2">
      <c r="A33" s="2">
        <f>[2]ArdiData!A33</f>
        <v>31</v>
      </c>
      <c r="B33" s="42" t="e">
        <f>#REF!</f>
        <v>#REF!</v>
      </c>
      <c r="C33" s="41">
        <v>4309.3917506051803</v>
      </c>
      <c r="D33" s="3">
        <f t="shared" si="0"/>
        <v>4076.2650463977275</v>
      </c>
      <c r="E33" s="41">
        <f t="shared" si="1"/>
        <v>78.015576134078628</v>
      </c>
      <c r="F33" s="41">
        <f t="shared" si="2"/>
        <v>4017.9833703458639</v>
      </c>
      <c r="G33" s="40">
        <f t="shared" si="3"/>
        <v>291.40838025931635</v>
      </c>
      <c r="H33" s="40">
        <f t="shared" si="4"/>
        <v>291.40838025931635</v>
      </c>
      <c r="I33" s="38">
        <f>SUM(H$3:H33)/COUNT(H$3:H33)</f>
        <v>252.65195460596314</v>
      </c>
      <c r="J33" s="38">
        <f>SUM(G$3:G33)/I33</f>
        <v>-0.77421353304974849</v>
      </c>
      <c r="K33" s="39">
        <f t="shared" si="5"/>
        <v>65650.209968293508</v>
      </c>
      <c r="L33" s="38">
        <f>SQRT(SUM(K$3:K33)/(COUNT(K$3:K33)-1))</f>
        <v>320.48307154874755</v>
      </c>
    </row>
    <row r="34" spans="1:12" x14ac:dyDescent="0.2">
      <c r="A34" s="2">
        <f>[2]ArdiData!A34</f>
        <v>32</v>
      </c>
      <c r="B34" s="42" t="e">
        <f>#REF!</f>
        <v>#REF!</v>
      </c>
      <c r="C34" s="41">
        <v>3396.6468613345064</v>
      </c>
      <c r="D34" s="3">
        <f t="shared" si="0"/>
        <v>4002.7538702923466</v>
      </c>
      <c r="E34" s="41">
        <f t="shared" si="1"/>
        <v>-12.900475209597058</v>
      </c>
      <c r="F34" s="41">
        <f t="shared" si="2"/>
        <v>4154.2806225318063</v>
      </c>
      <c r="G34" s="40">
        <f t="shared" si="3"/>
        <v>-757.63376119729992</v>
      </c>
      <c r="H34" s="40">
        <f t="shared" si="4"/>
        <v>757.63376119729992</v>
      </c>
      <c r="I34" s="38">
        <f>SUM(H$3:H34)/COUNT(H$3:H34)</f>
        <v>268.43263606194239</v>
      </c>
      <c r="J34" s="38">
        <f>SUM(G$3:G34)/I34</f>
        <v>-3.5511342346045494</v>
      </c>
      <c r="K34" s="39">
        <f t="shared" si="5"/>
        <v>628562.23982764524</v>
      </c>
      <c r="L34" s="38">
        <f>SQRT(SUM(K$3:K34)/(COUNT(K$3:K34)-1))</f>
        <v>345.93697982423157</v>
      </c>
    </row>
    <row r="35" spans="1:12" x14ac:dyDescent="0.2">
      <c r="A35" s="2">
        <f>[2]ArdiData!A35</f>
        <v>33</v>
      </c>
      <c r="B35" s="42" t="e">
        <f>#REF!</f>
        <v>#REF!</v>
      </c>
      <c r="C35" s="41">
        <v>3425.2650395092878</v>
      </c>
      <c r="D35" s="3">
        <f t="shared" ref="D35:D66" si="6">$N$1*C35+(1-$N$1)*F35</f>
        <v>3876.9357239680576</v>
      </c>
      <c r="E35" s="41">
        <f t="shared" ref="E35:E66" si="7">$N$2*(D35-D34)+(1-$N$2)*E34</f>
        <v>-80.651077878412252</v>
      </c>
      <c r="F35" s="41">
        <f t="shared" ref="F35:F66" si="8">D34+E34</f>
        <v>3989.8533950827496</v>
      </c>
      <c r="G35" s="40">
        <f t="shared" ref="G35:G66" si="9">C35-F35</f>
        <v>-564.58835557346174</v>
      </c>
      <c r="H35" s="40">
        <f t="shared" ref="H35:H66" si="10">ABS(G35)</f>
        <v>564.58835557346174</v>
      </c>
      <c r="I35" s="38">
        <f>SUM(H$3:H35)/COUNT(H$3:H35)</f>
        <v>277.40705180471571</v>
      </c>
      <c r="J35" s="38">
        <f>SUM(G$3:G35)/I35</f>
        <v>-5.4714855635561284</v>
      </c>
      <c r="K35" s="39">
        <f t="shared" ref="K35:K66" si="11">(G35-$G$78)^2</f>
        <v>359728.5710878988</v>
      </c>
      <c r="L35" s="38">
        <f>SQRT(SUM(K$3:K35)/(COUNT(K$3:K35)-1))</f>
        <v>356.61484762078811</v>
      </c>
    </row>
    <row r="36" spans="1:12" x14ac:dyDescent="0.2">
      <c r="A36" s="2">
        <f>[2]ArdiData!A36</f>
        <v>34</v>
      </c>
      <c r="B36" s="42" t="e">
        <f>#REF!</f>
        <v>#REF!</v>
      </c>
      <c r="C36" s="41">
        <v>3382.8091450329844</v>
      </c>
      <c r="D36" s="3">
        <f t="shared" si="6"/>
        <v>3713.5895458783134</v>
      </c>
      <c r="E36" s="41">
        <f t="shared" si="7"/>
        <v>-130.2681380052114</v>
      </c>
      <c r="F36" s="41">
        <f t="shared" si="8"/>
        <v>3796.2846460896453</v>
      </c>
      <c r="G36" s="40">
        <f t="shared" si="9"/>
        <v>-413.47550105666096</v>
      </c>
      <c r="H36" s="40">
        <f t="shared" si="10"/>
        <v>413.47550105666096</v>
      </c>
      <c r="I36" s="38">
        <f>SUM(H$3:H36)/COUNT(H$3:H36)</f>
        <v>281.40906501800822</v>
      </c>
      <c r="J36" s="38">
        <f>SUM(G$3:G36)/I36</f>
        <v>-6.8629778508067609</v>
      </c>
      <c r="K36" s="39">
        <f t="shared" si="11"/>
        <v>201296.61402111541</v>
      </c>
      <c r="L36" s="38">
        <f>SQRT(SUM(K$3:K36)/(COUNT(K$3:K36)-1))</f>
        <v>359.75030900722714</v>
      </c>
    </row>
    <row r="37" spans="1:12" x14ac:dyDescent="0.2">
      <c r="A37" s="2">
        <f>[2]ArdiData!A37</f>
        <v>35</v>
      </c>
      <c r="B37" s="42" t="e">
        <f>#REF!</f>
        <v>#REF!</v>
      </c>
      <c r="C37" s="41">
        <v>3846.9349712677931</v>
      </c>
      <c r="D37" s="3">
        <f t="shared" si="6"/>
        <v>3636.0441205520401</v>
      </c>
      <c r="E37" s="41">
        <f t="shared" si="7"/>
        <v>-98.63451039784853</v>
      </c>
      <c r="F37" s="41">
        <f t="shared" si="8"/>
        <v>3583.3214078731021</v>
      </c>
      <c r="G37" s="40">
        <f t="shared" si="9"/>
        <v>263.61356339469103</v>
      </c>
      <c r="H37" s="40">
        <f t="shared" si="10"/>
        <v>263.61356339469103</v>
      </c>
      <c r="I37" s="38">
        <f>SUM(H$3:H37)/COUNT(H$3:H37)</f>
        <v>280.90062211448486</v>
      </c>
      <c r="J37" s="38">
        <f>SUM(G$3:G37)/I37</f>
        <v>-5.936941699475657</v>
      </c>
      <c r="K37" s="39">
        <f t="shared" si="11"/>
        <v>52179.420799527696</v>
      </c>
      <c r="L37" s="38">
        <f>SQRT(SUM(K$3:K37)/(COUNT(K$3:K37)-1))</f>
        <v>356.57887586371226</v>
      </c>
    </row>
    <row r="38" spans="1:12" x14ac:dyDescent="0.2">
      <c r="A38" s="2">
        <f>[2]ArdiData!A38</f>
        <v>36</v>
      </c>
      <c r="B38" s="42" t="e">
        <f>#REF!</f>
        <v>#REF!</v>
      </c>
      <c r="C38" s="41">
        <v>4335.4663999878339</v>
      </c>
      <c r="D38" s="3">
        <f t="shared" si="6"/>
        <v>3697.0209681209203</v>
      </c>
      <c r="E38" s="41">
        <f t="shared" si="7"/>
        <v>-2.8676956178112931</v>
      </c>
      <c r="F38" s="41">
        <f t="shared" si="8"/>
        <v>3537.4096101541918</v>
      </c>
      <c r="G38" s="40">
        <f t="shared" si="9"/>
        <v>798.05678983364214</v>
      </c>
      <c r="H38" s="40">
        <f t="shared" si="10"/>
        <v>798.05678983364214</v>
      </c>
      <c r="I38" s="38">
        <f>SUM(H$3:H38)/COUNT(H$3:H38)</f>
        <v>295.26607121779477</v>
      </c>
      <c r="J38" s="38">
        <f>SUM(G$3:G38)/I38</f>
        <v>-2.9452548456372956</v>
      </c>
      <c r="K38" s="39">
        <f t="shared" si="11"/>
        <v>581972.74062041682</v>
      </c>
      <c r="L38" s="38">
        <f>SQRT(SUM(K$3:K38)/(COUNT(K$3:K38)-1))</f>
        <v>374.35741366606908</v>
      </c>
    </row>
    <row r="39" spans="1:12" x14ac:dyDescent="0.2">
      <c r="A39" s="2">
        <f>[2]ArdiData!A39</f>
        <v>37</v>
      </c>
      <c r="B39" s="42" t="e">
        <f>#REF!</f>
        <v>#REF!</v>
      </c>
      <c r="C39" s="41">
        <v>3778.0879495342488</v>
      </c>
      <c r="D39" s="3">
        <f t="shared" si="6"/>
        <v>3710.940207909337</v>
      </c>
      <c r="E39" s="41">
        <f t="shared" si="7"/>
        <v>7.2044656259254971</v>
      </c>
      <c r="F39" s="41">
        <f t="shared" si="8"/>
        <v>3694.1532725031088</v>
      </c>
      <c r="G39" s="40">
        <f t="shared" si="9"/>
        <v>83.934677031139927</v>
      </c>
      <c r="H39" s="40">
        <f t="shared" si="10"/>
        <v>83.934677031139927</v>
      </c>
      <c r="I39" s="38">
        <f>SUM(H$3:H39)/COUNT(H$3:H39)</f>
        <v>289.55441191545276</v>
      </c>
      <c r="J39" s="38">
        <f>SUM(G$3:G39)/I39</f>
        <v>-2.7134766995184791</v>
      </c>
      <c r="K39" s="39">
        <f t="shared" si="11"/>
        <v>2376.4909370970831</v>
      </c>
      <c r="L39" s="38">
        <f>SQRT(SUM(K$3:K39)/(COUNT(K$3:K39)-1))</f>
        <v>369.21079690233609</v>
      </c>
    </row>
    <row r="40" spans="1:12" x14ac:dyDescent="0.2">
      <c r="A40" s="2">
        <f>[2]ArdiData!A40</f>
        <v>38</v>
      </c>
      <c r="B40" s="42" t="e">
        <f>#REF!</f>
        <v>#REF!</v>
      </c>
      <c r="C40" s="41">
        <v>4091.3217573787838</v>
      </c>
      <c r="D40" s="3">
        <f t="shared" si="6"/>
        <v>3792.780090303967</v>
      </c>
      <c r="E40" s="41">
        <f t="shared" si="7"/>
        <v>51.985715687148179</v>
      </c>
      <c r="F40" s="41">
        <f t="shared" si="8"/>
        <v>3718.1446735352624</v>
      </c>
      <c r="G40" s="40">
        <f t="shared" si="9"/>
        <v>373.17708384352136</v>
      </c>
      <c r="H40" s="40">
        <f t="shared" si="10"/>
        <v>373.17708384352136</v>
      </c>
      <c r="I40" s="38">
        <f>SUM(H$3:H40)/COUNT(H$3:H40)</f>
        <v>291.75500854513876</v>
      </c>
      <c r="J40" s="38">
        <f>SUM(G$3:G40)/I40</f>
        <v>-1.413933108428582</v>
      </c>
      <c r="K40" s="39">
        <f t="shared" si="11"/>
        <v>114238.37090131622</v>
      </c>
      <c r="L40" s="38">
        <f>SQRT(SUM(K$3:K40)/(COUNT(K$3:K40)-1))</f>
        <v>368.40182317074635</v>
      </c>
    </row>
    <row r="41" spans="1:12" x14ac:dyDescent="0.2">
      <c r="A41" s="2">
        <f>[2]ArdiData!A41</f>
        <v>39</v>
      </c>
      <c r="B41" s="42" t="e">
        <f>#REF!</f>
        <v>#REF!</v>
      </c>
      <c r="C41" s="41">
        <v>5031.5420497583082</v>
      </c>
      <c r="D41" s="3">
        <f t="shared" si="6"/>
        <v>4082.1210547445539</v>
      </c>
      <c r="E41" s="41">
        <f t="shared" si="7"/>
        <v>194.39886493921145</v>
      </c>
      <c r="F41" s="41">
        <f t="shared" si="8"/>
        <v>3844.765805991115</v>
      </c>
      <c r="G41" s="40">
        <f t="shared" si="9"/>
        <v>1186.7762437671931</v>
      </c>
      <c r="H41" s="40">
        <f t="shared" si="10"/>
        <v>1186.7762437671931</v>
      </c>
      <c r="I41" s="38">
        <f>SUM(H$3:H41)/COUNT(H$3:H41)</f>
        <v>314.70427098672991</v>
      </c>
      <c r="J41" s="38">
        <f>SUM(G$3:G41)/I41</f>
        <v>2.4602595166813144</v>
      </c>
      <c r="K41" s="39">
        <f t="shared" si="11"/>
        <v>1326161.4460785284</v>
      </c>
      <c r="L41" s="38">
        <f>SQRT(SUM(K$3:K41)/(COUNT(K$3:K41)-1))</f>
        <v>408.71421841625329</v>
      </c>
    </row>
    <row r="42" spans="1:12" x14ac:dyDescent="0.2">
      <c r="A42" s="2">
        <f>[2]ArdiData!A42</f>
        <v>40</v>
      </c>
      <c r="B42" s="42" t="e">
        <f>#REF!</f>
        <v>#REF!</v>
      </c>
      <c r="C42" s="41">
        <v>4204.3946084920954</v>
      </c>
      <c r="D42" s="3">
        <f t="shared" si="6"/>
        <v>4262.0948574454324</v>
      </c>
      <c r="E42" s="41">
        <f t="shared" si="7"/>
        <v>185.74382759621164</v>
      </c>
      <c r="F42" s="41">
        <f t="shared" si="8"/>
        <v>4276.5199196837657</v>
      </c>
      <c r="G42" s="40">
        <f t="shared" si="9"/>
        <v>-72.125311191670335</v>
      </c>
      <c r="H42" s="40">
        <f t="shared" si="10"/>
        <v>72.125311191670335</v>
      </c>
      <c r="I42" s="38">
        <f>SUM(H$3:H42)/COUNT(H$3:H42)</f>
        <v>308.63979699185342</v>
      </c>
      <c r="J42" s="38">
        <f>SUM(G$3:G42)/I42</f>
        <v>2.2749135830406861</v>
      </c>
      <c r="K42" s="39">
        <f t="shared" si="11"/>
        <v>11515.591100550831</v>
      </c>
      <c r="L42" s="38">
        <f>SQRT(SUM(K$3:K42)/(COUNT(K$3:K42)-1))</f>
        <v>403.80604191050412</v>
      </c>
    </row>
    <row r="43" spans="1:12" x14ac:dyDescent="0.2">
      <c r="A43" s="2">
        <f>[2]ArdiData!A43</f>
        <v>41</v>
      </c>
      <c r="B43" s="42" t="e">
        <f>#REF!</f>
        <v>#REF!</v>
      </c>
      <c r="C43" s="41">
        <v>5586.0237690188087</v>
      </c>
      <c r="D43" s="3">
        <f t="shared" si="6"/>
        <v>4675.4757018370765</v>
      </c>
      <c r="E43" s="41">
        <f t="shared" si="7"/>
        <v>322.32603767347109</v>
      </c>
      <c r="F43" s="41">
        <f t="shared" si="8"/>
        <v>4447.8386850416437</v>
      </c>
      <c r="G43" s="40">
        <f t="shared" si="9"/>
        <v>1138.185083977165</v>
      </c>
      <c r="H43" s="40">
        <f t="shared" si="10"/>
        <v>1138.185083977165</v>
      </c>
      <c r="I43" s="38">
        <f>SUM(H$3:H43)/COUNT(H$3:H43)</f>
        <v>328.87260886954397</v>
      </c>
      <c r="J43" s="38">
        <f>SUM(G$3:G43)/I43</f>
        <v>5.5958261673013379</v>
      </c>
      <c r="K43" s="39">
        <f t="shared" si="11"/>
        <v>1216608.2785542971</v>
      </c>
      <c r="L43" s="38">
        <f>SQRT(SUM(K$3:K43)/(COUNT(K$3:K43)-1))</f>
        <v>435.19885507684825</v>
      </c>
    </row>
    <row r="44" spans="1:12" x14ac:dyDescent="0.2">
      <c r="A44" s="2">
        <f>[2]ArdiData!A44</f>
        <v>42</v>
      </c>
      <c r="B44" s="42" t="e">
        <f>#REF!</f>
        <v>#REF!</v>
      </c>
      <c r="C44" s="41">
        <v>5777.5611763875086</v>
      </c>
      <c r="D44" s="3">
        <f t="shared" si="6"/>
        <v>5153.7536268859394</v>
      </c>
      <c r="E44" s="41">
        <f t="shared" si="7"/>
        <v>415.89717009870617</v>
      </c>
      <c r="F44" s="41">
        <f t="shared" si="8"/>
        <v>4997.8017395105471</v>
      </c>
      <c r="G44" s="40">
        <f t="shared" si="9"/>
        <v>779.75943687696144</v>
      </c>
      <c r="H44" s="40">
        <f t="shared" si="10"/>
        <v>779.75943687696144</v>
      </c>
      <c r="I44" s="38">
        <f>SUM(H$3:H44)/COUNT(H$3:H44)</f>
        <v>339.60800953638727</v>
      </c>
      <c r="J44" s="38">
        <f>SUM(G$3:G44)/I44</f>
        <v>7.7149929145504617</v>
      </c>
      <c r="K44" s="39">
        <f t="shared" si="11"/>
        <v>554390.47998805519</v>
      </c>
      <c r="L44" s="38">
        <f>SQRT(SUM(K$3:K44)/(COUNT(K$3:K44)-1))</f>
        <v>445.30921617417647</v>
      </c>
    </row>
    <row r="45" spans="1:12" x14ac:dyDescent="0.2">
      <c r="A45" s="2">
        <f>[2]ArdiData!A45</f>
        <v>43</v>
      </c>
      <c r="B45" s="42" t="e">
        <f>#REF!</f>
        <v>#REF!</v>
      </c>
      <c r="C45" s="41">
        <v>5672.6454679130029</v>
      </c>
      <c r="D45" s="3">
        <f t="shared" si="6"/>
        <v>5590.2497311703173</v>
      </c>
      <c r="E45" s="41">
        <f t="shared" si="7"/>
        <v>428.25653061010917</v>
      </c>
      <c r="F45" s="41">
        <f t="shared" si="8"/>
        <v>5569.6507969846452</v>
      </c>
      <c r="G45" s="40">
        <f t="shared" si="9"/>
        <v>102.99467092835766</v>
      </c>
      <c r="H45" s="40">
        <f t="shared" si="10"/>
        <v>102.99467092835766</v>
      </c>
      <c r="I45" s="38">
        <f>SUM(H$3:H45)/COUNT(H$3:H45)</f>
        <v>334.10537375480516</v>
      </c>
      <c r="J45" s="38">
        <f>SUM(G$3:G45)/I45</f>
        <v>8.1503270289348571</v>
      </c>
      <c r="K45" s="39">
        <f t="shared" si="11"/>
        <v>4598.0957299760239</v>
      </c>
      <c r="L45" s="38">
        <f>SQRT(SUM(K$3:K45)/(COUNT(K$3:K45)-1))</f>
        <v>440.10037583774471</v>
      </c>
    </row>
    <row r="46" spans="1:12" x14ac:dyDescent="0.2">
      <c r="A46" s="2">
        <f>[2]ArdiData!A46</f>
        <v>44</v>
      </c>
      <c r="B46" s="42" t="e">
        <f>#REF!</f>
        <v>#REF!</v>
      </c>
      <c r="C46" s="41">
        <v>4442.4749424361789</v>
      </c>
      <c r="D46" s="3">
        <f t="shared" si="6"/>
        <v>5703.2999979115775</v>
      </c>
      <c r="E46" s="41">
        <f t="shared" si="7"/>
        <v>239.1327722887998</v>
      </c>
      <c r="F46" s="41">
        <f t="shared" si="8"/>
        <v>6018.5062617804269</v>
      </c>
      <c r="G46" s="40">
        <f t="shared" si="9"/>
        <v>-1576.031319344248</v>
      </c>
      <c r="H46" s="40">
        <f t="shared" si="10"/>
        <v>1576.031319344248</v>
      </c>
      <c r="I46" s="38">
        <f>SUM(H$3:H46)/COUNT(H$3:H46)</f>
        <v>362.33096342729255</v>
      </c>
      <c r="J46" s="38">
        <f>SUM(G$3:G46)/I46</f>
        <v>3.1657154774521339</v>
      </c>
      <c r="K46" s="39">
        <f t="shared" si="11"/>
        <v>2596019.3521900512</v>
      </c>
      <c r="L46" s="38">
        <f>SQRT(SUM(K$3:K46)/(COUNT(K$3:K46)-1))</f>
        <v>499.55630700434108</v>
      </c>
    </row>
    <row r="47" spans="1:12" x14ac:dyDescent="0.2">
      <c r="A47" s="2">
        <f>[2]ArdiData!A47</f>
        <v>45</v>
      </c>
      <c r="B47" s="42" t="e">
        <f>#REF!</f>
        <v>#REF!</v>
      </c>
      <c r="C47" s="41">
        <v>6116.4376324786244</v>
      </c>
      <c r="D47" s="3">
        <f t="shared" si="6"/>
        <v>5977.2337426560271</v>
      </c>
      <c r="E47" s="41">
        <f t="shared" si="7"/>
        <v>260.01335576218963</v>
      </c>
      <c r="F47" s="41">
        <f t="shared" si="8"/>
        <v>5942.4327702003775</v>
      </c>
      <c r="G47" s="40">
        <f t="shared" si="9"/>
        <v>174.00486227824695</v>
      </c>
      <c r="H47" s="40">
        <f t="shared" si="10"/>
        <v>174.00486227824695</v>
      </c>
      <c r="I47" s="38">
        <f>SUM(H$3:H47)/COUNT(H$3:H47)</f>
        <v>358.14593895731372</v>
      </c>
      <c r="J47" s="38">
        <f>SUM(G$3:G47)/I47</f>
        <v>3.6885566956480855</v>
      </c>
      <c r="K47" s="39">
        <f t="shared" si="11"/>
        <v>19270.84004898545</v>
      </c>
      <c r="L47" s="38">
        <f>SQRT(SUM(K$3:K47)/(COUNT(K$3:K47)-1))</f>
        <v>494.29013623682994</v>
      </c>
    </row>
    <row r="48" spans="1:12" x14ac:dyDescent="0.2">
      <c r="A48" s="2">
        <f>[2]ArdiData!A48</f>
        <v>46</v>
      </c>
      <c r="B48" s="42" t="e">
        <f>#REF!</f>
        <v>#REF!</v>
      </c>
      <c r="C48" s="41">
        <v>4831.7623955679137</v>
      </c>
      <c r="D48" s="3">
        <f t="shared" si="6"/>
        <v>5956.1501578481566</v>
      </c>
      <c r="E48" s="41">
        <f t="shared" si="7"/>
        <v>91.355191420153574</v>
      </c>
      <c r="F48" s="41">
        <f t="shared" si="8"/>
        <v>6237.2470984182164</v>
      </c>
      <c r="G48" s="40">
        <f t="shared" si="9"/>
        <v>-1405.4847028503027</v>
      </c>
      <c r="H48" s="40">
        <f t="shared" si="10"/>
        <v>1405.4847028503027</v>
      </c>
      <c r="I48" s="38">
        <f>SUM(H$3:H48)/COUNT(H$3:H48)</f>
        <v>380.91417295498735</v>
      </c>
      <c r="J48" s="38">
        <f>SUM(G$3:G48)/I48</f>
        <v>-0.22168537609156186</v>
      </c>
      <c r="K48" s="39">
        <f t="shared" si="11"/>
        <v>2075530.3769851164</v>
      </c>
      <c r="L48" s="38">
        <f>SQRT(SUM(K$3:K48)/(COUNT(K$3:K48)-1))</f>
        <v>533.86912427319294</v>
      </c>
    </row>
    <row r="49" spans="1:12" x14ac:dyDescent="0.2">
      <c r="A49" s="2">
        <f>[2]ArdiData!A49</f>
        <v>47</v>
      </c>
      <c r="B49" s="42" t="e">
        <f>#REF!</f>
        <v>#REF!</v>
      </c>
      <c r="C49" s="41">
        <v>6206.0910692130574</v>
      </c>
      <c r="D49" s="3">
        <f t="shared" si="6"/>
        <v>6079.2224932572599</v>
      </c>
      <c r="E49" s="41">
        <f t="shared" si="7"/>
        <v>110.38547781352341</v>
      </c>
      <c r="F49" s="41">
        <f t="shared" si="8"/>
        <v>6047.5053492683101</v>
      </c>
      <c r="G49" s="40">
        <f t="shared" si="9"/>
        <v>158.58571994474732</v>
      </c>
      <c r="H49" s="40">
        <f t="shared" si="10"/>
        <v>158.58571994474732</v>
      </c>
      <c r="I49" s="38">
        <f>SUM(H$3:H49)/COUNT(H$3:H49)</f>
        <v>376.18378033774826</v>
      </c>
      <c r="J49" s="38">
        <f>SUM(G$3:G49)/I49</f>
        <v>0.19709148062696222</v>
      </c>
      <c r="K49" s="39">
        <f t="shared" si="11"/>
        <v>15227.636243918369</v>
      </c>
      <c r="L49" s="38">
        <f>SQRT(SUM(K$3:K49)/(COUNT(K$3:K49)-1))</f>
        <v>528.34768113912344</v>
      </c>
    </row>
    <row r="50" spans="1:12" x14ac:dyDescent="0.2">
      <c r="A50" s="2">
        <f>[2]ArdiData!A50</f>
        <v>48</v>
      </c>
      <c r="B50" s="42" t="e">
        <f>#REF!</f>
        <v>#REF!</v>
      </c>
      <c r="C50" s="41">
        <v>5086.0787376555791</v>
      </c>
      <c r="D50" s="3">
        <f t="shared" si="6"/>
        <v>5968.9021243877432</v>
      </c>
      <c r="E50" s="41">
        <f t="shared" si="7"/>
        <v>-22.03803019630061</v>
      </c>
      <c r="F50" s="41">
        <f t="shared" si="8"/>
        <v>6189.6079710707836</v>
      </c>
      <c r="G50" s="40">
        <f t="shared" si="9"/>
        <v>-1103.5292334152045</v>
      </c>
      <c r="H50" s="40">
        <f t="shared" si="10"/>
        <v>1103.5292334152045</v>
      </c>
      <c r="I50" s="38">
        <f>SUM(H$3:H50)/COUNT(H$3:H50)</f>
        <v>391.33681061019524</v>
      </c>
      <c r="J50" s="38">
        <f>SUM(G$3:G50)/I50</f>
        <v>-2.630436461000206</v>
      </c>
      <c r="K50" s="39">
        <f t="shared" si="11"/>
        <v>1296671.0414401644</v>
      </c>
      <c r="L50" s="38">
        <f>SQRT(SUM(K$3:K50)/(COUNT(K$3:K50)-1))</f>
        <v>548.45294142540206</v>
      </c>
    </row>
    <row r="51" spans="1:12" x14ac:dyDescent="0.2">
      <c r="A51" s="2">
        <f>[2]ArdiData!A51</f>
        <v>49</v>
      </c>
      <c r="B51" s="42" t="e">
        <f>#REF!</f>
        <v>#REF!</v>
      </c>
      <c r="C51" s="41">
        <v>5256.5559094460787</v>
      </c>
      <c r="D51" s="3">
        <f t="shared" si="6"/>
        <v>5808.8024572423701</v>
      </c>
      <c r="E51" s="41">
        <f t="shared" si="7"/>
        <v>-104.87501236574413</v>
      </c>
      <c r="F51" s="41">
        <f t="shared" si="8"/>
        <v>5946.8640941914427</v>
      </c>
      <c r="G51" s="40">
        <f t="shared" si="9"/>
        <v>-690.30818474536409</v>
      </c>
      <c r="H51" s="40">
        <f t="shared" si="10"/>
        <v>690.30818474536409</v>
      </c>
      <c r="I51" s="38">
        <f>SUM(H$3:H51)/COUNT(H$3:H51)</f>
        <v>397.43826722519873</v>
      </c>
      <c r="J51" s="38">
        <f>SUM(G$3:G51)/I51</f>
        <v>-4.3269482123912608</v>
      </c>
      <c r="K51" s="39">
        <f t="shared" si="11"/>
        <v>526340.95748953021</v>
      </c>
      <c r="L51" s="38">
        <f>SQRT(SUM(K$3:K51)/(COUNT(K$3:K51)-1))</f>
        <v>552.71998860415636</v>
      </c>
    </row>
    <row r="52" spans="1:12" x14ac:dyDescent="0.2">
      <c r="A52" s="2">
        <f>[2]ArdiData!A52</f>
        <v>50</v>
      </c>
      <c r="B52" s="42" t="e">
        <f>#REF!</f>
        <v>#REF!</v>
      </c>
      <c r="C52" s="41">
        <v>5988.37014518462</v>
      </c>
      <c r="D52" s="3">
        <f t="shared" si="6"/>
        <v>5760.8159849382255</v>
      </c>
      <c r="E52" s="41">
        <f t="shared" si="7"/>
        <v>-70.741888328784427</v>
      </c>
      <c r="F52" s="41">
        <f t="shared" si="8"/>
        <v>5703.9274448766264</v>
      </c>
      <c r="G52" s="40">
        <f t="shared" si="9"/>
        <v>284.44270030799362</v>
      </c>
      <c r="H52" s="40">
        <f t="shared" si="10"/>
        <v>284.44270030799362</v>
      </c>
      <c r="I52" s="38">
        <f>SUM(H$3:H52)/COUNT(H$3:H52)</f>
        <v>395.1783558868546</v>
      </c>
      <c r="J52" s="38">
        <f>SUM(G$3:G52)/I52</f>
        <v>-3.6319096889225739</v>
      </c>
      <c r="K52" s="39">
        <f t="shared" si="11"/>
        <v>62129.196265612925</v>
      </c>
      <c r="L52" s="38">
        <f>SQRT(SUM(K$3:K52)/(COUNT(K$3:K52)-1))</f>
        <v>548.20858005014838</v>
      </c>
    </row>
    <row r="53" spans="1:12" x14ac:dyDescent="0.2">
      <c r="A53" s="2">
        <f>[2]ArdiData!A53</f>
        <v>51</v>
      </c>
      <c r="B53" s="42" t="e">
        <f>#REF!</f>
        <v>#REF!</v>
      </c>
      <c r="C53" s="41">
        <v>6526.7676661512296</v>
      </c>
      <c r="D53" s="3">
        <f t="shared" si="6"/>
        <v>5857.4128105177988</v>
      </c>
      <c r="E53" s="41">
        <f t="shared" si="7"/>
        <v>29.661340016230206</v>
      </c>
      <c r="F53" s="41">
        <f t="shared" si="8"/>
        <v>5690.0740966094409</v>
      </c>
      <c r="G53" s="40">
        <f t="shared" si="9"/>
        <v>836.69356954178875</v>
      </c>
      <c r="H53" s="40">
        <f t="shared" si="10"/>
        <v>836.69356954178875</v>
      </c>
      <c r="I53" s="38">
        <f>SUM(H$3:H53)/COUNT(H$3:H53)</f>
        <v>403.83551693891218</v>
      </c>
      <c r="J53" s="38">
        <f>SUM(G$3:G53)/I53</f>
        <v>-1.4821839708237325</v>
      </c>
      <c r="K53" s="39">
        <f t="shared" si="11"/>
        <v>642415.32818475238</v>
      </c>
      <c r="L53" s="38">
        <f>SQRT(SUM(K$3:K53)/(COUNT(K$3:K53)-1))</f>
        <v>554.40986720970511</v>
      </c>
    </row>
    <row r="54" spans="1:12" x14ac:dyDescent="0.2">
      <c r="A54" s="2">
        <f>[2]ArdiData!A54</f>
        <v>52</v>
      </c>
      <c r="B54" s="42" t="e">
        <f>#REF!</f>
        <v>#REF!</v>
      </c>
      <c r="C54" s="41">
        <v>5794.3331193675949</v>
      </c>
      <c r="D54" s="3">
        <f t="shared" si="6"/>
        <v>5868.5259443007435</v>
      </c>
      <c r="E54" s="41">
        <f t="shared" si="7"/>
        <v>18.53241627625891</v>
      </c>
      <c r="F54" s="41">
        <f t="shared" si="8"/>
        <v>5887.0741505340293</v>
      </c>
      <c r="G54" s="40">
        <f t="shared" si="9"/>
        <v>-92.741031166434368</v>
      </c>
      <c r="H54" s="40">
        <f t="shared" si="10"/>
        <v>92.741031166434368</v>
      </c>
      <c r="I54" s="38">
        <f>SUM(H$3:H54)/COUNT(H$3:H54)</f>
        <v>397.85293067405684</v>
      </c>
      <c r="J54" s="38">
        <f>SUM(G$3:G54)/I54</f>
        <v>-1.7375756414597252</v>
      </c>
      <c r="K54" s="39">
        <f t="shared" si="11"/>
        <v>16365.174609239999</v>
      </c>
      <c r="L54" s="38">
        <f>SQRT(SUM(K$3:K54)/(COUNT(K$3:K54)-1))</f>
        <v>549.2397636659523</v>
      </c>
    </row>
    <row r="55" spans="1:12" x14ac:dyDescent="0.2">
      <c r="A55" s="2">
        <f>[2]ArdiData!A55</f>
        <v>53</v>
      </c>
      <c r="B55" s="42" t="e">
        <f>#REF!</f>
        <v>#REF!</v>
      </c>
      <c r="C55" s="41">
        <v>5545.614554778329</v>
      </c>
      <c r="D55" s="3">
        <f t="shared" si="6"/>
        <v>5818.7695994172682</v>
      </c>
      <c r="E55" s="41">
        <f t="shared" si="7"/>
        <v>-22.440840419581626</v>
      </c>
      <c r="F55" s="41">
        <f t="shared" si="8"/>
        <v>5887.0583605770025</v>
      </c>
      <c r="G55" s="40">
        <f t="shared" si="9"/>
        <v>-341.44380579867357</v>
      </c>
      <c r="H55" s="40">
        <f t="shared" si="10"/>
        <v>341.44380579867357</v>
      </c>
      <c r="I55" s="38">
        <f>SUM(H$3:H55)/COUNT(H$3:H55)</f>
        <v>396.78860756320057</v>
      </c>
      <c r="J55" s="38">
        <f>SUM(G$3:G55)/I55</f>
        <v>-2.602754583514054</v>
      </c>
      <c r="K55" s="39">
        <f t="shared" si="11"/>
        <v>141849.56695779925</v>
      </c>
      <c r="L55" s="38">
        <f>SQRT(SUM(K$3:K55)/(COUNT(K$3:K55)-1))</f>
        <v>546.43476957000348</v>
      </c>
    </row>
    <row r="56" spans="1:12" x14ac:dyDescent="0.2">
      <c r="A56" s="2">
        <f>[2]ArdiData!A56</f>
        <v>54</v>
      </c>
      <c r="B56" s="42" t="e">
        <f>#REF!</f>
        <v>#REF!</v>
      </c>
      <c r="C56" s="41">
        <v>6272.3581433243171</v>
      </c>
      <c r="D56" s="3">
        <f t="shared" si="6"/>
        <v>5891.5346358630131</v>
      </c>
      <c r="E56" s="41">
        <f t="shared" si="7"/>
        <v>34.682685699614325</v>
      </c>
      <c r="F56" s="41">
        <f t="shared" si="8"/>
        <v>5796.3287589976862</v>
      </c>
      <c r="G56" s="40">
        <f t="shared" si="9"/>
        <v>476.02938432663086</v>
      </c>
      <c r="H56" s="40">
        <f t="shared" si="10"/>
        <v>476.02938432663086</v>
      </c>
      <c r="I56" s="38">
        <f>SUM(H$3:H56)/COUNT(H$3:H56)</f>
        <v>398.25602935511591</v>
      </c>
      <c r="J56" s="38">
        <f>SUM(G$3:G56)/I56</f>
        <v>-1.3978796092456376</v>
      </c>
      <c r="K56" s="39">
        <f t="shared" si="11"/>
        <v>194343.40880504763</v>
      </c>
      <c r="L56" s="38">
        <f>SQRT(SUM(K$3:K56)/(COUNT(K$3:K56)-1))</f>
        <v>544.63200651078773</v>
      </c>
    </row>
    <row r="57" spans="1:12" x14ac:dyDescent="0.2">
      <c r="A57" s="2">
        <f>[2]ArdiData!A57</f>
        <v>55</v>
      </c>
      <c r="B57" s="42" t="e">
        <f>#REF!</f>
        <v>#REF!</v>
      </c>
      <c r="C57" s="41">
        <v>5129.4309137141636</v>
      </c>
      <c r="D57" s="3">
        <f t="shared" si="6"/>
        <v>5766.8600399929346</v>
      </c>
      <c r="E57" s="41">
        <f t="shared" si="7"/>
        <v>-60.93168324220138</v>
      </c>
      <c r="F57" s="41">
        <f t="shared" si="8"/>
        <v>5926.2173215626271</v>
      </c>
      <c r="G57" s="40">
        <f t="shared" si="9"/>
        <v>-796.78640784846357</v>
      </c>
      <c r="H57" s="40">
        <f t="shared" si="10"/>
        <v>796.78640784846357</v>
      </c>
      <c r="I57" s="38">
        <f>SUM(H$3:H57)/COUNT(H$3:H57)</f>
        <v>405.50203623681313</v>
      </c>
      <c r="J57" s="38">
        <f>SUM(G$3:G57)/I57</f>
        <v>-3.3378387026216267</v>
      </c>
      <c r="K57" s="39">
        <f t="shared" si="11"/>
        <v>692177.10738324083</v>
      </c>
      <c r="L57" s="38">
        <f>SQRT(SUM(K$3:K57)/(COUNT(K$3:K57)-1))</f>
        <v>551.31577126283844</v>
      </c>
    </row>
    <row r="58" spans="1:12" x14ac:dyDescent="0.2">
      <c r="A58" s="2">
        <f>[2]ArdiData!A58</f>
        <v>56</v>
      </c>
      <c r="B58" s="42" t="e">
        <f>#REF!</f>
        <v>#REF!</v>
      </c>
      <c r="C58" s="41">
        <v>5666.7623903768372</v>
      </c>
      <c r="D58" s="3">
        <f t="shared" si="6"/>
        <v>5698.0951634759549</v>
      </c>
      <c r="E58" s="41">
        <f t="shared" si="7"/>
        <v>-65.631599207068376</v>
      </c>
      <c r="F58" s="41">
        <f t="shared" si="8"/>
        <v>5705.9283567507337</v>
      </c>
      <c r="G58" s="40">
        <f t="shared" si="9"/>
        <v>-39.165966373896481</v>
      </c>
      <c r="H58" s="40">
        <f t="shared" si="10"/>
        <v>39.165966373896481</v>
      </c>
      <c r="I58" s="38">
        <f>SUM(H$3:H58)/COUNT(H$3:H58)</f>
        <v>398.96032070354676</v>
      </c>
      <c r="J58" s="38">
        <f>SUM(G$3:G58)/I58</f>
        <v>-3.4907390150005657</v>
      </c>
      <c r="K58" s="39">
        <f t="shared" si="11"/>
        <v>5528.1273196494303</v>
      </c>
      <c r="L58" s="38">
        <f>SQRT(SUM(K$3:K58)/(COUNT(K$3:K58)-1))</f>
        <v>546.37280692430852</v>
      </c>
    </row>
    <row r="59" spans="1:12" x14ac:dyDescent="0.2">
      <c r="A59" s="2">
        <f>[2]ArdiData!A59</f>
        <v>57</v>
      </c>
      <c r="B59" s="42" t="e">
        <f>#REF!</f>
        <v>#REF!</v>
      </c>
      <c r="C59" s="41">
        <v>6383.3602430207802</v>
      </c>
      <c r="D59" s="3">
        <f t="shared" si="6"/>
        <v>5782.6429000192647</v>
      </c>
      <c r="E59" s="41">
        <f t="shared" si="7"/>
        <v>24.476002243158554</v>
      </c>
      <c r="F59" s="41">
        <f t="shared" si="8"/>
        <v>5632.4635642688863</v>
      </c>
      <c r="G59" s="40">
        <f t="shared" si="9"/>
        <v>750.89667875189389</v>
      </c>
      <c r="H59" s="40">
        <f t="shared" si="10"/>
        <v>750.89667875189389</v>
      </c>
      <c r="I59" s="38">
        <f>SUM(H$3:H59)/COUNT(H$3:H59)</f>
        <v>405.13464277457041</v>
      </c>
      <c r="J59" s="38">
        <f>SUM(G$3:G59)/I59</f>
        <v>-1.5840898565719927</v>
      </c>
      <c r="K59" s="39">
        <f t="shared" si="11"/>
        <v>512242.61876532721</v>
      </c>
      <c r="L59" s="38">
        <f>SQRT(SUM(K$3:K59)/(COUNT(K$3:K59)-1))</f>
        <v>549.85421845272583</v>
      </c>
    </row>
    <row r="60" spans="1:12" x14ac:dyDescent="0.2">
      <c r="A60" s="2">
        <f>[2]ArdiData!A60</f>
        <v>58</v>
      </c>
      <c r="B60" s="42" t="e">
        <f>#REF!</f>
        <v>#REF!</v>
      </c>
      <c r="C60" s="41">
        <v>6421.0416971132518</v>
      </c>
      <c r="D60" s="3">
        <f t="shared" si="6"/>
        <v>5929.9034612325886</v>
      </c>
      <c r="E60" s="41">
        <f t="shared" si="7"/>
        <v>98.146737625257728</v>
      </c>
      <c r="F60" s="41">
        <f t="shared" si="8"/>
        <v>5807.118902262423</v>
      </c>
      <c r="G60" s="40">
        <f t="shared" si="9"/>
        <v>613.92279485082872</v>
      </c>
      <c r="H60" s="40">
        <f t="shared" si="10"/>
        <v>613.92279485082872</v>
      </c>
      <c r="I60" s="38">
        <f>SUM(H$3:H60)/COUNT(H$3:H60)</f>
        <v>408.73443850002315</v>
      </c>
      <c r="J60" s="38">
        <f>SUM(G$3:G60)/I60</f>
        <v>-6.8129525411361885E-2</v>
      </c>
      <c r="K60" s="39">
        <f t="shared" si="11"/>
        <v>334936.95944895776</v>
      </c>
      <c r="L60" s="38">
        <f>SQRT(SUM(K$3:K60)/(COUNT(K$3:K60)-1))</f>
        <v>550.3740037188652</v>
      </c>
    </row>
    <row r="61" spans="1:12" x14ac:dyDescent="0.2">
      <c r="A61" s="2">
        <f>[2]ArdiData!A61</f>
        <v>59</v>
      </c>
      <c r="B61" s="42" t="e">
        <f>#REF!</f>
        <v>#REF!</v>
      </c>
      <c r="C61" s="41">
        <v>6732.3029027761122</v>
      </c>
      <c r="D61" s="3">
        <f t="shared" si="6"/>
        <v>6168.9007396415</v>
      </c>
      <c r="E61" s="41">
        <f t="shared" si="7"/>
        <v>182.6570620954499</v>
      </c>
      <c r="F61" s="41">
        <f t="shared" si="8"/>
        <v>6028.0501988578462</v>
      </c>
      <c r="G61" s="40">
        <f t="shared" si="9"/>
        <v>704.25270391826598</v>
      </c>
      <c r="H61" s="40">
        <f t="shared" si="10"/>
        <v>704.25270391826598</v>
      </c>
      <c r="I61" s="38">
        <f>SUM(H$3:H61)/COUNT(H$3:H61)</f>
        <v>413.74322265965441</v>
      </c>
      <c r="J61" s="38">
        <f>SUM(G$3:G61)/I61</f>
        <v>1.6348444725108937</v>
      </c>
      <c r="K61" s="39">
        <f t="shared" si="11"/>
        <v>447651.04243269475</v>
      </c>
      <c r="L61" s="38">
        <f>SQRT(SUM(K$3:K61)/(COUNT(K$3:K61)-1))</f>
        <v>552.63645605743909</v>
      </c>
    </row>
    <row r="62" spans="1:12" x14ac:dyDescent="0.2">
      <c r="A62" s="2">
        <f>[2]ArdiData!A62</f>
        <v>60</v>
      </c>
      <c r="B62" s="42" t="e">
        <f>#REF!</f>
        <v>#REF!</v>
      </c>
      <c r="C62" s="41">
        <v>5383.813648815224</v>
      </c>
      <c r="D62" s="3">
        <f t="shared" si="6"/>
        <v>6158.0089711526052</v>
      </c>
      <c r="E62" s="41">
        <f t="shared" si="7"/>
        <v>66.527763744843114</v>
      </c>
      <c r="F62" s="41">
        <f t="shared" si="8"/>
        <v>6351.5578017369498</v>
      </c>
      <c r="G62" s="40">
        <f t="shared" si="9"/>
        <v>-967.7441529217258</v>
      </c>
      <c r="H62" s="40">
        <f t="shared" si="10"/>
        <v>967.7441529217258</v>
      </c>
      <c r="I62" s="38">
        <f>SUM(H$3:H62)/COUNT(H$3:H62)</f>
        <v>422.97657149735556</v>
      </c>
      <c r="J62" s="38">
        <f>SUM(G$3:G62)/I62</f>
        <v>-0.68878125161021431</v>
      </c>
      <c r="K62" s="39">
        <f t="shared" si="11"/>
        <v>1005867.7102186256</v>
      </c>
      <c r="L62" s="38">
        <f>SQRT(SUM(K$3:K62)/(COUNT(K$3:K62)-1))</f>
        <v>563.27548064890027</v>
      </c>
    </row>
    <row r="63" spans="1:12" x14ac:dyDescent="0.2">
      <c r="A63" s="2">
        <f>[2]ArdiData!A63</f>
        <v>61</v>
      </c>
      <c r="B63" s="42" t="e">
        <f>#REF!</f>
        <v>#REF!</v>
      </c>
      <c r="C63" s="41">
        <v>6306.029263075081</v>
      </c>
      <c r="D63" s="3">
        <f t="shared" si="6"/>
        <v>6240.8352405329751</v>
      </c>
      <c r="E63" s="41">
        <f t="shared" si="7"/>
        <v>76.306867126159204</v>
      </c>
      <c r="F63" s="41">
        <f t="shared" si="8"/>
        <v>6224.5367348974487</v>
      </c>
      <c r="G63" s="40">
        <f t="shared" si="9"/>
        <v>81.492528177632266</v>
      </c>
      <c r="H63" s="40">
        <f t="shared" si="10"/>
        <v>81.492528177632266</v>
      </c>
      <c r="I63" s="38">
        <f>SUM(H$3:H63)/COUNT(H$3:H63)</f>
        <v>417.37847242654038</v>
      </c>
      <c r="J63" s="38">
        <f>SUM(G$3:G63)/I63</f>
        <v>-0.50277102918154692</v>
      </c>
      <c r="K63" s="39">
        <f t="shared" si="11"/>
        <v>2144.3490998992256</v>
      </c>
      <c r="L63" s="38">
        <f>SQRT(SUM(K$3:K63)/(COUNT(K$3:K63)-1))</f>
        <v>558.59378663471591</v>
      </c>
    </row>
    <row r="64" spans="1:12" x14ac:dyDescent="0.2">
      <c r="A64" s="2">
        <f>[2]ArdiData!A64</f>
        <v>62</v>
      </c>
      <c r="B64" s="42" t="e">
        <f>#REF!</f>
        <v>#REF!</v>
      </c>
      <c r="C64" s="41">
        <v>6344.73822659077</v>
      </c>
      <c r="D64" s="3">
        <f t="shared" si="6"/>
        <v>6322.6613314454617</v>
      </c>
      <c r="E64" s="41">
        <f t="shared" si="7"/>
        <v>79.61840139795558</v>
      </c>
      <c r="F64" s="41">
        <f t="shared" si="8"/>
        <v>6317.1421076591341</v>
      </c>
      <c r="G64" s="40">
        <f t="shared" si="9"/>
        <v>27.596118931635829</v>
      </c>
      <c r="H64" s="40">
        <f t="shared" si="10"/>
        <v>27.596118931635829</v>
      </c>
      <c r="I64" s="38">
        <f>SUM(H$3:H64)/COUNT(H$3:H64)</f>
        <v>411.09166027339677</v>
      </c>
      <c r="J64" s="38">
        <f>SUM(G$3:G64)/I64</f>
        <v>-0.44333102035510163</v>
      </c>
      <c r="K64" s="39">
        <f t="shared" si="11"/>
        <v>57.597354328994768</v>
      </c>
      <c r="L64" s="38">
        <f>SQRT(SUM(K$3:K64)/(COUNT(K$3:K64)-1))</f>
        <v>553.99708091449918</v>
      </c>
    </row>
    <row r="65" spans="1:12" x14ac:dyDescent="0.2">
      <c r="A65" s="2">
        <f>[2]ArdiData!A65</f>
        <v>63</v>
      </c>
      <c r="B65" s="42" t="e">
        <f>#REF!</f>
        <v>#REF!</v>
      </c>
      <c r="C65" s="41">
        <v>6433.484918596806</v>
      </c>
      <c r="D65" s="3">
        <f t="shared" si="6"/>
        <v>6408.5207699940947</v>
      </c>
      <c r="E65" s="41">
        <f t="shared" si="7"/>
        <v>83.363023688362091</v>
      </c>
      <c r="F65" s="41">
        <f t="shared" si="8"/>
        <v>6402.2797328434172</v>
      </c>
      <c r="G65" s="40">
        <f t="shared" si="9"/>
        <v>31.205185753388832</v>
      </c>
      <c r="H65" s="40">
        <f t="shared" si="10"/>
        <v>31.205185753388832</v>
      </c>
      <c r="I65" s="38">
        <f>SUM(H$3:H65)/COUNT(H$3:H65)</f>
        <v>405.06171623339668</v>
      </c>
      <c r="J65" s="38">
        <f>SUM(G$3:G65)/I65</f>
        <v>-0.37289255785421366</v>
      </c>
      <c r="K65" s="39">
        <f t="shared" si="11"/>
        <v>15.842193134416243</v>
      </c>
      <c r="L65" s="38">
        <f>SQRT(SUM(K$3:K65)/(COUNT(K$3:K65)-1))</f>
        <v>549.51143325981809</v>
      </c>
    </row>
    <row r="66" spans="1:12" x14ac:dyDescent="0.2">
      <c r="A66" s="2">
        <f>[2]ArdiData!A66</f>
        <v>64</v>
      </c>
      <c r="B66" s="42" t="e">
        <f>#REF!</f>
        <v>#REF!</v>
      </c>
      <c r="C66" s="41">
        <v>7126.6521295344728</v>
      </c>
      <c r="D66" s="3">
        <f t="shared" si="6"/>
        <v>6618.8374608528602</v>
      </c>
      <c r="E66" s="41">
        <f t="shared" si="7"/>
        <v>159.53522399060412</v>
      </c>
      <c r="F66" s="41">
        <f t="shared" si="8"/>
        <v>6491.8837936824566</v>
      </c>
      <c r="G66" s="40">
        <f t="shared" si="9"/>
        <v>634.76833585201621</v>
      </c>
      <c r="H66" s="40">
        <f t="shared" si="10"/>
        <v>634.76833585201621</v>
      </c>
      <c r="I66" s="38">
        <f>SUM(H$3:H66)/COUNT(H$3:H66)</f>
        <v>408.65088216493757</v>
      </c>
      <c r="J66" s="38">
        <f>SUM(G$3:G66)/I66</f>
        <v>1.1837092675152703</v>
      </c>
      <c r="K66" s="39">
        <f t="shared" si="11"/>
        <v>359499.68375592289</v>
      </c>
      <c r="L66" s="38">
        <f>SQRT(SUM(K$3:K66)/(COUNT(K$3:K66)-1))</f>
        <v>550.34180189206938</v>
      </c>
    </row>
    <row r="67" spans="1:12" x14ac:dyDescent="0.2">
      <c r="A67" s="2">
        <f>[2]ArdiData!A67</f>
        <v>65</v>
      </c>
      <c r="B67" s="42" t="e">
        <f>#REF!</f>
        <v>#REF!</v>
      </c>
      <c r="C67" s="41">
        <v>7865.1338288516981</v>
      </c>
      <c r="D67" s="3">
        <f t="shared" ref="D67:D77" si="12">$N$1*C67+(1-$N$1)*F67</f>
        <v>6995.7249136451119</v>
      </c>
      <c r="E67" s="41">
        <f t="shared" ref="E67:E77" si="13">$N$2*(D67-D66)+(1-$N$2)*E66</f>
        <v>289.94656127159266</v>
      </c>
      <c r="F67" s="41">
        <f t="shared" ref="F67:F78" si="14">D66+E66</f>
        <v>6778.3726848434644</v>
      </c>
      <c r="G67" s="40">
        <f t="shared" ref="G67:G77" si="15">C67-F67</f>
        <v>1086.7611440082337</v>
      </c>
      <c r="H67" s="40">
        <f t="shared" ref="H67:H78" si="16">ABS(G67)</f>
        <v>1086.7611440082337</v>
      </c>
      <c r="I67" s="38">
        <f>SUM(H$3:H67)/COUNT(H$3:H67)</f>
        <v>419.0833477317575</v>
      </c>
      <c r="J67" s="38">
        <f>SUM(G$3:G67)/I67</f>
        <v>3.7474287368019708</v>
      </c>
      <c r="K67" s="39">
        <f t="shared" ref="K67:K77" si="17">(G67-$G$78)^2</f>
        <v>1105811.5222199268</v>
      </c>
      <c r="L67" s="38">
        <f>SQRT(SUM(K$3:K67)/(COUNT(K$3:K67)-1))</f>
        <v>561.62439841857861</v>
      </c>
    </row>
    <row r="68" spans="1:12" x14ac:dyDescent="0.2">
      <c r="A68" s="2">
        <f>[2]ArdiData!A68</f>
        <v>66</v>
      </c>
      <c r="B68" s="42" t="e">
        <f>#REF!</f>
        <v>#REF!</v>
      </c>
      <c r="C68" s="41">
        <v>7010.35704845092</v>
      </c>
      <c r="D68" s="3">
        <f t="shared" si="12"/>
        <v>7230.6085896235481</v>
      </c>
      <c r="E68" s="41">
        <f t="shared" si="13"/>
        <v>256.90883009569882</v>
      </c>
      <c r="F68" s="41">
        <f t="shared" si="14"/>
        <v>7285.6714749167049</v>
      </c>
      <c r="G68" s="40">
        <f t="shared" si="15"/>
        <v>-275.31442646578489</v>
      </c>
      <c r="H68" s="40">
        <f t="shared" si="16"/>
        <v>275.31442646578489</v>
      </c>
      <c r="I68" s="38">
        <f>SUM(H$3:H68)/COUNT(H$3:H68)</f>
        <v>416.90503074287915</v>
      </c>
      <c r="J68" s="38">
        <f>SUM(G$3:G68)/I68</f>
        <v>3.1066321066731284</v>
      </c>
      <c r="K68" s="39">
        <f t="shared" si="17"/>
        <v>96410.149075691224</v>
      </c>
      <c r="L68" s="38">
        <f>SQRT(SUM(K$3:K68)/(COUNT(K$3:K68)-1))</f>
        <v>558.61664166752325</v>
      </c>
    </row>
    <row r="69" spans="1:12" x14ac:dyDescent="0.2">
      <c r="A69" s="2">
        <f>[2]ArdiData!A69</f>
        <v>67</v>
      </c>
      <c r="B69" s="42" t="e">
        <f>#REF!</f>
        <v>#REF!</v>
      </c>
      <c r="C69" s="41">
        <v>9422.7261880039478</v>
      </c>
      <c r="D69" s="3">
        <f t="shared" si="12"/>
        <v>7874.5591733761876</v>
      </c>
      <c r="E69" s="41">
        <f t="shared" si="13"/>
        <v>489.13388228986321</v>
      </c>
      <c r="F69" s="41">
        <f t="shared" si="14"/>
        <v>7487.5174197192473</v>
      </c>
      <c r="G69" s="40">
        <f t="shared" si="15"/>
        <v>1935.2087682847005</v>
      </c>
      <c r="H69" s="40">
        <f t="shared" si="16"/>
        <v>1935.2087682847005</v>
      </c>
      <c r="I69" s="38">
        <f>SUM(H$3:H69)/COUNT(H$3:H69)</f>
        <v>439.56628055693619</v>
      </c>
      <c r="J69" s="38">
        <f>SUM(G$3:G69)/I69</f>
        <v>7.3490153023820293</v>
      </c>
      <c r="K69" s="39">
        <f t="shared" si="17"/>
        <v>3610088.7581698275</v>
      </c>
      <c r="L69" s="38">
        <f>SQRT(SUM(K$3:K69)/(COUNT(K$3:K69)-1))</f>
        <v>601.68330364956819</v>
      </c>
    </row>
    <row r="70" spans="1:12" x14ac:dyDescent="0.2">
      <c r="A70" s="2">
        <f>[2]ArdiData!A70</f>
        <v>68</v>
      </c>
      <c r="B70" s="42" t="e">
        <f>#REF!</f>
        <v>#REF!</v>
      </c>
      <c r="C70" s="41">
        <v>7040.5275765927445</v>
      </c>
      <c r="D70" s="3">
        <f t="shared" si="12"/>
        <v>8099.0599598513891</v>
      </c>
      <c r="E70" s="41">
        <f t="shared" si="13"/>
        <v>330.3540248010662</v>
      </c>
      <c r="F70" s="41">
        <f t="shared" si="14"/>
        <v>8363.69305566605</v>
      </c>
      <c r="G70" s="40">
        <f t="shared" si="15"/>
        <v>-1323.1654790733055</v>
      </c>
      <c r="H70" s="40">
        <f t="shared" si="16"/>
        <v>1323.1654790733055</v>
      </c>
      <c r="I70" s="38">
        <f>SUM(H$3:H70)/COUNT(H$3:H70)</f>
        <v>452.56038641747102</v>
      </c>
      <c r="J70" s="38">
        <f>SUM(G$3:G70)/I70</f>
        <v>4.2142748247334074</v>
      </c>
      <c r="K70" s="39">
        <f t="shared" si="17"/>
        <v>1845117.1406041181</v>
      </c>
      <c r="L70" s="38">
        <f>SQRT(SUM(K$3:K70)/(COUNT(K$3:K70)-1))</f>
        <v>619.80523904616064</v>
      </c>
    </row>
    <row r="71" spans="1:12" x14ac:dyDescent="0.2">
      <c r="A71" s="2">
        <f>[2]ArdiData!A71</f>
        <v>69</v>
      </c>
      <c r="B71" s="42" t="e">
        <f>#REF!</f>
        <v>#REF!</v>
      </c>
      <c r="C71" s="41">
        <v>9903.7758241325882</v>
      </c>
      <c r="D71" s="3">
        <f t="shared" si="12"/>
        <v>8724.2863525484827</v>
      </c>
      <c r="E71" s="41">
        <f t="shared" si="13"/>
        <v>507.27744553868263</v>
      </c>
      <c r="F71" s="41">
        <f t="shared" si="14"/>
        <v>8429.4139846524558</v>
      </c>
      <c r="G71" s="40">
        <f t="shared" si="15"/>
        <v>1474.3618394801324</v>
      </c>
      <c r="H71" s="40">
        <f t="shared" si="16"/>
        <v>1474.3618394801324</v>
      </c>
      <c r="I71" s="38">
        <f>SUM(H$3:H71)/COUNT(H$3:H71)</f>
        <v>467.3691031285241</v>
      </c>
      <c r="J71" s="38">
        <f>SUM(G$3:G71)/I71</f>
        <v>7.235342815763727</v>
      </c>
      <c r="K71" s="39">
        <f t="shared" si="17"/>
        <v>2071228.7922492027</v>
      </c>
      <c r="L71" s="38">
        <f>SQRT(SUM(K$3:K71)/(COUNT(K$3:K71)-1))</f>
        <v>639.50636516214115</v>
      </c>
    </row>
    <row r="72" spans="1:12" x14ac:dyDescent="0.2">
      <c r="A72" s="2">
        <f>[2]ArdiData!A72</f>
        <v>70</v>
      </c>
      <c r="B72" s="42" t="e">
        <f>#REF!</f>
        <v>#REF!</v>
      </c>
      <c r="C72" s="41">
        <v>7385.6932650971721</v>
      </c>
      <c r="D72" s="3">
        <f t="shared" si="12"/>
        <v>8862.3896914891666</v>
      </c>
      <c r="E72" s="41">
        <f t="shared" si="13"/>
        <v>285.77298157988338</v>
      </c>
      <c r="F72" s="41">
        <f t="shared" si="14"/>
        <v>9231.5637980871652</v>
      </c>
      <c r="G72" s="40">
        <f t="shared" si="15"/>
        <v>-1845.8705329899931</v>
      </c>
      <c r="H72" s="40">
        <f t="shared" si="16"/>
        <v>1845.8705329899931</v>
      </c>
      <c r="I72" s="38">
        <f>SUM(H$3:H72)/COUNT(H$3:H72)</f>
        <v>487.06198069797369</v>
      </c>
      <c r="J72" s="38">
        <f>SUM(G$3:G72)/I72</f>
        <v>3.1529973812371912</v>
      </c>
      <c r="K72" s="39">
        <f t="shared" si="17"/>
        <v>3538371.464477106</v>
      </c>
      <c r="L72" s="38">
        <f>SQRT(SUM(K$3:K72)/(COUNT(K$3:K72)-1))</f>
        <v>674.03416739305192</v>
      </c>
    </row>
    <row r="73" spans="1:12" x14ac:dyDescent="0.2">
      <c r="A73" s="2">
        <f>[2]ArdiData!A73</f>
        <v>71</v>
      </c>
      <c r="B73" s="42" t="e">
        <f>#REF!</f>
        <v>#REF!</v>
      </c>
      <c r="C73" s="41">
        <v>9011.9704290236768</v>
      </c>
      <c r="D73" s="3">
        <f t="shared" si="12"/>
        <v>9120.9242242599757</v>
      </c>
      <c r="E73" s="41">
        <f t="shared" si="13"/>
        <v>269.42991229443885</v>
      </c>
      <c r="F73" s="41">
        <f t="shared" si="14"/>
        <v>9148.1626730690496</v>
      </c>
      <c r="G73" s="40">
        <f t="shared" si="15"/>
        <v>-136.19224404537272</v>
      </c>
      <c r="H73" s="40">
        <f t="shared" si="16"/>
        <v>136.19224404537272</v>
      </c>
      <c r="I73" s="38">
        <f>SUM(H$3:H73)/COUNT(H$3:H73)</f>
        <v>482.1201534211765</v>
      </c>
      <c r="J73" s="38">
        <f>SUM(G$3:G73)/I73</f>
        <v>2.9028301257776583</v>
      </c>
      <c r="K73" s="39">
        <f t="shared" si="17"/>
        <v>29370.300654045848</v>
      </c>
      <c r="L73" s="38">
        <f>SQRT(SUM(K$3:K73)/(COUNT(K$3:K73)-1))</f>
        <v>669.51573499879032</v>
      </c>
    </row>
    <row r="74" spans="1:12" x14ac:dyDescent="0.2">
      <c r="A74" s="2">
        <f>[2]ArdiData!A74</f>
        <v>72</v>
      </c>
      <c r="B74" s="42" t="e">
        <f>#REF!</f>
        <v>#REF!</v>
      </c>
      <c r="C74" s="41">
        <v>10014.199326672129</v>
      </c>
      <c r="D74" s="3">
        <f t="shared" si="12"/>
        <v>9515.1231745779587</v>
      </c>
      <c r="E74" s="41">
        <f t="shared" si="13"/>
        <v>344.29133510856531</v>
      </c>
      <c r="F74" s="41">
        <f t="shared" si="14"/>
        <v>9390.3541365544152</v>
      </c>
      <c r="G74" s="40">
        <f t="shared" si="15"/>
        <v>623.84519011771408</v>
      </c>
      <c r="H74" s="40">
        <f t="shared" si="16"/>
        <v>623.84519011771408</v>
      </c>
      <c r="I74" s="38">
        <f>SUM(H$3:H74)/COUNT(H$3:H74)</f>
        <v>484.08855670862835</v>
      </c>
      <c r="J74" s="38">
        <f>SUM(G$3:G74)/I74</f>
        <v>4.179727175271994</v>
      </c>
      <c r="K74" s="39">
        <f t="shared" si="17"/>
        <v>346520.33553307143</v>
      </c>
      <c r="L74" s="38">
        <f>SQRT(SUM(K$3:K74)/(COUNT(K$3:K74)-1))</f>
        <v>668.44482842799141</v>
      </c>
    </row>
    <row r="75" spans="1:12" x14ac:dyDescent="0.2">
      <c r="A75" s="2">
        <f>[2]ArdiData!A75</f>
        <v>73</v>
      </c>
      <c r="B75" s="42" t="e">
        <f>#REF!</f>
        <v>#REF!</v>
      </c>
      <c r="C75" s="41">
        <v>10910.3731121908</v>
      </c>
      <c r="D75" s="3">
        <f t="shared" si="12"/>
        <v>10069.606230187379</v>
      </c>
      <c r="E75" s="41">
        <f t="shared" si="13"/>
        <v>470.40636740907826</v>
      </c>
      <c r="F75" s="41">
        <f t="shared" si="14"/>
        <v>9859.4145096865232</v>
      </c>
      <c r="G75" s="40">
        <f t="shared" si="15"/>
        <v>1050.9586025042772</v>
      </c>
      <c r="H75" s="40">
        <f t="shared" si="16"/>
        <v>1050.9586025042772</v>
      </c>
      <c r="I75" s="38">
        <f>SUM(H$3:H75)/COUNT(H$3:H75)</f>
        <v>491.85389980171948</v>
      </c>
      <c r="J75" s="38">
        <f>SUM(G$3:G75)/I75</f>
        <v>6.2504672616337391</v>
      </c>
      <c r="K75" s="39">
        <f t="shared" si="17"/>
        <v>1031795.1765479931</v>
      </c>
      <c r="L75" s="38">
        <f>SQRT(SUM(K$3:K75)/(COUNT(K$3:K75)-1))</f>
        <v>674.49474784678841</v>
      </c>
    </row>
    <row r="76" spans="1:12" x14ac:dyDescent="0.2">
      <c r="A76" s="2">
        <f>[2]ArdiData!A76</f>
        <v>74</v>
      </c>
      <c r="B76" s="42" t="e">
        <f>#REF!</f>
        <v>#REF!</v>
      </c>
      <c r="C76" s="41">
        <v>8358.5918304447059</v>
      </c>
      <c r="D76" s="3">
        <f t="shared" si="12"/>
        <v>10103.728444166107</v>
      </c>
      <c r="E76" s="41">
        <f t="shared" si="13"/>
        <v>208.63587535086799</v>
      </c>
      <c r="F76" s="41">
        <f t="shared" si="14"/>
        <v>10540.012597596457</v>
      </c>
      <c r="G76" s="40">
        <f t="shared" si="15"/>
        <v>-2181.4207671517506</v>
      </c>
      <c r="H76" s="40">
        <f t="shared" si="16"/>
        <v>2181.4207671517506</v>
      </c>
      <c r="I76" s="38">
        <f>SUM(H$3:H76)/COUNT(H$3:H76)</f>
        <v>514.68588449563879</v>
      </c>
      <c r="J76" s="38">
        <f>SUM(G$3:G76)/I76</f>
        <v>1.734836641072375</v>
      </c>
      <c r="K76" s="39">
        <f t="shared" si="17"/>
        <v>4913342.9490877027</v>
      </c>
      <c r="L76" s="38">
        <f>SQRT(SUM(K$3:K76)/(COUNT(K$3:K76)-1))</f>
        <v>718.34332635563669</v>
      </c>
    </row>
    <row r="77" spans="1:12" x14ac:dyDescent="0.2">
      <c r="A77" s="2">
        <f>[2]ArdiData!A77</f>
        <v>75</v>
      </c>
      <c r="B77" s="42" t="e">
        <f>#REF!</f>
        <v>#REF!</v>
      </c>
      <c r="C77" s="41">
        <v>12058.374214587961</v>
      </c>
      <c r="D77" s="3">
        <f t="shared" si="12"/>
        <v>10661.566298531172</v>
      </c>
      <c r="E77" s="41">
        <f t="shared" si="13"/>
        <v>418.15706275938624</v>
      </c>
      <c r="F77" s="41">
        <f t="shared" si="14"/>
        <v>10312.364319516975</v>
      </c>
      <c r="G77" s="40">
        <f t="shared" si="15"/>
        <v>1746.0098950709853</v>
      </c>
      <c r="H77" s="40">
        <f t="shared" si="16"/>
        <v>1746.0098950709853</v>
      </c>
      <c r="I77" s="38">
        <f>SUM(H$3:H77)/COUNT(H$3:H77)</f>
        <v>531.10353796997686</v>
      </c>
      <c r="J77" s="38">
        <f>SUM(G$3:G77)/I77</f>
        <v>4.9687219863444785</v>
      </c>
      <c r="K77" s="39">
        <f t="shared" si="17"/>
        <v>2926920.4152448913</v>
      </c>
      <c r="L77" s="38">
        <f>SQRT(SUM(K$3:K77)/(COUNT(K$3:K77)-1))</f>
        <v>740.67328059241811</v>
      </c>
    </row>
    <row r="78" spans="1:12" x14ac:dyDescent="0.2">
      <c r="A78" s="2">
        <f>[2]ArdiData!A78</f>
        <v>0</v>
      </c>
      <c r="B78" s="37"/>
      <c r="C78" s="37"/>
      <c r="E78" s="41"/>
      <c r="F78" s="41">
        <f t="shared" si="14"/>
        <v>11079.723361290558</v>
      </c>
      <c r="G78" s="37">
        <f>AVERAGE(G3:G77)</f>
        <v>35.185411015156845</v>
      </c>
      <c r="H78" s="37">
        <f t="shared" si="16"/>
        <v>35.185411015156845</v>
      </c>
      <c r="I78" s="38">
        <f>1.25*I77</f>
        <v>663.8794224624711</v>
      </c>
      <c r="J78" s="38"/>
      <c r="K78" s="37"/>
      <c r="L78" s="37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[2]ArdiData!A2</f>
        <v>Per.</v>
      </c>
      <c r="B1" s="53" t="s">
        <v>0</v>
      </c>
      <c r="C1" s="53" t="s">
        <v>55</v>
      </c>
      <c r="D1" s="53" t="s">
        <v>3</v>
      </c>
      <c r="E1" s="53" t="s">
        <v>2</v>
      </c>
      <c r="F1" s="53" t="s">
        <v>1</v>
      </c>
      <c r="G1" s="47" t="s">
        <v>54</v>
      </c>
      <c r="H1" s="53" t="s">
        <v>49</v>
      </c>
      <c r="I1" s="53" t="s">
        <v>53</v>
      </c>
      <c r="J1" s="45" t="s">
        <v>3</v>
      </c>
      <c r="K1" s="45" t="s">
        <v>2</v>
      </c>
      <c r="L1" s="46" t="s">
        <v>1</v>
      </c>
      <c r="M1" s="46" t="s">
        <v>5</v>
      </c>
      <c r="N1" s="3">
        <v>0.5</v>
      </c>
      <c r="O1" s="51" t="s">
        <v>46</v>
      </c>
      <c r="P1" s="44">
        <v>0.5</v>
      </c>
      <c r="Q1" s="3" t="str">
        <f>" F(next) ~ N ( "&amp;ROUND(I78,0)&amp;", "&amp;ROUND(1.25*L77,0)&amp;")"</f>
        <v xml:space="preserve"> F(next) ~ N ( 0, 0)</v>
      </c>
      <c r="T1" s="43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5"/>
      <c r="K2" s="45"/>
      <c r="L2" s="46"/>
      <c r="M2" s="46"/>
      <c r="O2" s="51" t="s">
        <v>45</v>
      </c>
      <c r="P2" s="44">
        <v>0.5</v>
      </c>
      <c r="T2" s="43"/>
    </row>
    <row r="3" spans="1:20" x14ac:dyDescent="0.2">
      <c r="A3" s="2">
        <f>[2]ArdiData!A3</f>
        <v>1</v>
      </c>
      <c r="B3" s="41" t="e">
        <f>ROUND(#REF!/10,0)</f>
        <v>#REF!</v>
      </c>
      <c r="C3" s="41" t="e">
        <f>B3</f>
        <v>#REF!</v>
      </c>
      <c r="D3" s="6"/>
      <c r="E3" s="6"/>
      <c r="F3" s="6"/>
      <c r="G3" s="6" t="e">
        <f>INTERCEPT(B3:B23,A3:A23)</f>
        <v>#REF!</v>
      </c>
      <c r="H3" s="6" t="e">
        <f>SLOPE(B3:B23,A3:A23)</f>
        <v>#REF!</v>
      </c>
      <c r="I3" s="41" t="e">
        <f t="shared" ref="I3:I23" si="0">G3+H3</f>
        <v>#REF!</v>
      </c>
      <c r="J3" s="40" t="e">
        <f t="shared" ref="J3:J23" si="1">B3-I3</f>
        <v>#REF!</v>
      </c>
      <c r="K3" s="40" t="e">
        <f t="shared" ref="K3:K23" si="2">ABS(J3)</f>
        <v>#REF!</v>
      </c>
      <c r="L3" s="38" t="e">
        <f>AVERAGE($K$3:K3)</f>
        <v>#REF!</v>
      </c>
      <c r="M3" s="38" t="e">
        <f>SUM(J$3:J3)/L3</f>
        <v>#REF!</v>
      </c>
    </row>
    <row r="4" spans="1:20" x14ac:dyDescent="0.2">
      <c r="A4" s="2">
        <f>[2]ArdiData!A4</f>
        <v>2</v>
      </c>
      <c r="B4" s="41" t="e">
        <f>ROUND(#REF!/10,0)</f>
        <v>#REF!</v>
      </c>
      <c r="C4" s="56" t="e">
        <f t="shared" ref="C4:C23" si="3">(1-$N$1)*C3+$N$1*B3</f>
        <v>#REF!</v>
      </c>
      <c r="D4" s="6" t="e">
        <f t="shared" ref="D4:D23" si="4">B4-C4</f>
        <v>#REF!</v>
      </c>
      <c r="E4" s="6" t="e">
        <f t="shared" ref="E4:E23" si="5">ABS(D4)</f>
        <v>#REF!</v>
      </c>
      <c r="F4" s="6" t="e">
        <f>AVERAGE($E$4:E4)</f>
        <v>#REF!</v>
      </c>
      <c r="G4" s="3" t="e">
        <f t="shared" ref="G4:G23" si="6">(1-$P$1)*I3+$P$1*B3</f>
        <v>#REF!</v>
      </c>
      <c r="H4" s="41" t="e">
        <f t="shared" ref="H4:H23" si="7">(1-$P$2)*H3+$P$2*(B4-B3)</f>
        <v>#REF!</v>
      </c>
      <c r="I4" s="41" t="e">
        <f t="shared" si="0"/>
        <v>#REF!</v>
      </c>
      <c r="J4" s="40" t="e">
        <f t="shared" si="1"/>
        <v>#REF!</v>
      </c>
      <c r="K4" s="40" t="e">
        <f t="shared" si="2"/>
        <v>#REF!</v>
      </c>
      <c r="L4" s="38" t="e">
        <f>AVERAGE($K$3:K4)</f>
        <v>#REF!</v>
      </c>
      <c r="M4" s="38" t="e">
        <f>SUM(J$3:J4)/L4</f>
        <v>#REF!</v>
      </c>
      <c r="O4" s="50" t="e">
        <f>F23</f>
        <v>#REF!</v>
      </c>
    </row>
    <row r="5" spans="1:20" x14ac:dyDescent="0.2">
      <c r="A5" s="2">
        <f>[2]ArdiData!A5</f>
        <v>3</v>
      </c>
      <c r="B5" s="41" t="e">
        <f>ROUND(#REF!/10,0)</f>
        <v>#REF!</v>
      </c>
      <c r="C5" s="56" t="e">
        <f t="shared" si="3"/>
        <v>#REF!</v>
      </c>
      <c r="D5" s="6" t="e">
        <f t="shared" si="4"/>
        <v>#REF!</v>
      </c>
      <c r="E5" s="6" t="e">
        <f t="shared" si="5"/>
        <v>#REF!</v>
      </c>
      <c r="F5" s="6" t="e">
        <f>AVERAGE($E$4:E5)</f>
        <v>#REF!</v>
      </c>
      <c r="G5" s="3" t="e">
        <f t="shared" si="6"/>
        <v>#REF!</v>
      </c>
      <c r="H5" s="41" t="e">
        <f t="shared" si="7"/>
        <v>#REF!</v>
      </c>
      <c r="I5" s="41" t="e">
        <f t="shared" si="0"/>
        <v>#REF!</v>
      </c>
      <c r="J5" s="40" t="e">
        <f t="shared" si="1"/>
        <v>#REF!</v>
      </c>
      <c r="K5" s="40" t="e">
        <f t="shared" si="2"/>
        <v>#REF!</v>
      </c>
      <c r="L5" s="38" t="e">
        <f>AVERAGE($K$3:K5)</f>
        <v>#REF!</v>
      </c>
      <c r="M5" s="38" t="e">
        <f>SUM(J$3:J5)/L5</f>
        <v>#REF!</v>
      </c>
      <c r="N5" s="43">
        <f>L77</f>
        <v>0</v>
      </c>
      <c r="O5" s="3" t="e">
        <f t="dataTable" ref="O5:O15" dt2D="0" dtr="0" r1="N1"/>
        <v>#REF!</v>
      </c>
    </row>
    <row r="6" spans="1:20" x14ac:dyDescent="0.2">
      <c r="A6" s="2">
        <f>[2]ArdiData!A6</f>
        <v>4</v>
      </c>
      <c r="B6" s="41" t="e">
        <f>ROUND(#REF!/10,0)</f>
        <v>#REF!</v>
      </c>
      <c r="C6" s="56" t="e">
        <f t="shared" si="3"/>
        <v>#REF!</v>
      </c>
      <c r="D6" s="6" t="e">
        <f t="shared" si="4"/>
        <v>#REF!</v>
      </c>
      <c r="E6" s="6" t="e">
        <f t="shared" si="5"/>
        <v>#REF!</v>
      </c>
      <c r="F6" s="6" t="e">
        <f>AVERAGE($E$4:E6)</f>
        <v>#REF!</v>
      </c>
      <c r="G6" s="3" t="e">
        <f t="shared" si="6"/>
        <v>#REF!</v>
      </c>
      <c r="H6" s="41" t="e">
        <f t="shared" si="7"/>
        <v>#REF!</v>
      </c>
      <c r="I6" s="41" t="e">
        <f t="shared" si="0"/>
        <v>#REF!</v>
      </c>
      <c r="J6" s="40" t="e">
        <f t="shared" si="1"/>
        <v>#REF!</v>
      </c>
      <c r="K6" s="40" t="e">
        <f t="shared" si="2"/>
        <v>#REF!</v>
      </c>
      <c r="L6" s="38" t="e">
        <f>AVERAGE($K$3:K6)</f>
        <v>#REF!</v>
      </c>
      <c r="M6" s="38" t="e">
        <f>SUM(J$3:J6)/L6</f>
        <v>#REF!</v>
      </c>
      <c r="N6" s="3">
        <v>0.1</v>
      </c>
      <c r="O6" s="3" t="e">
        <v>#REF!</v>
      </c>
    </row>
    <row r="7" spans="1:20" x14ac:dyDescent="0.2">
      <c r="A7" s="2">
        <f>[2]ArdiData!A7</f>
        <v>5</v>
      </c>
      <c r="B7" s="41" t="e">
        <f>ROUND(#REF!/10,0)</f>
        <v>#REF!</v>
      </c>
      <c r="C7" s="56" t="e">
        <f t="shared" si="3"/>
        <v>#REF!</v>
      </c>
      <c r="D7" s="6" t="e">
        <f t="shared" si="4"/>
        <v>#REF!</v>
      </c>
      <c r="E7" s="6" t="e">
        <f t="shared" si="5"/>
        <v>#REF!</v>
      </c>
      <c r="F7" s="6" t="e">
        <f>AVERAGE($E$4:E7)</f>
        <v>#REF!</v>
      </c>
      <c r="G7" s="3" t="e">
        <f t="shared" si="6"/>
        <v>#REF!</v>
      </c>
      <c r="H7" s="41" t="e">
        <f t="shared" si="7"/>
        <v>#REF!</v>
      </c>
      <c r="I7" s="41" t="e">
        <f t="shared" si="0"/>
        <v>#REF!</v>
      </c>
      <c r="J7" s="40" t="e">
        <f t="shared" si="1"/>
        <v>#REF!</v>
      </c>
      <c r="K7" s="40" t="e">
        <f t="shared" si="2"/>
        <v>#REF!</v>
      </c>
      <c r="L7" s="38" t="e">
        <f>AVERAGE($K$3:K7)</f>
        <v>#REF!</v>
      </c>
      <c r="M7" s="38" t="e">
        <f>SUM(J$3:J7)/L7</f>
        <v>#REF!</v>
      </c>
      <c r="N7" s="3">
        <v>0.2</v>
      </c>
      <c r="O7" s="3" t="e">
        <v>#REF!</v>
      </c>
    </row>
    <row r="8" spans="1:20" x14ac:dyDescent="0.2">
      <c r="A8" s="2">
        <f>[2]ArdiData!A8</f>
        <v>6</v>
      </c>
      <c r="B8" s="41" t="e">
        <f>ROUND(#REF!/10,0)</f>
        <v>#REF!</v>
      </c>
      <c r="C8" s="56" t="e">
        <f t="shared" si="3"/>
        <v>#REF!</v>
      </c>
      <c r="D8" s="6" t="e">
        <f t="shared" si="4"/>
        <v>#REF!</v>
      </c>
      <c r="E8" s="6" t="e">
        <f t="shared" si="5"/>
        <v>#REF!</v>
      </c>
      <c r="F8" s="6" t="e">
        <f>AVERAGE($E$4:E8)</f>
        <v>#REF!</v>
      </c>
      <c r="G8" s="3" t="e">
        <f t="shared" si="6"/>
        <v>#REF!</v>
      </c>
      <c r="H8" s="41" t="e">
        <f t="shared" si="7"/>
        <v>#REF!</v>
      </c>
      <c r="I8" s="41" t="e">
        <f t="shared" si="0"/>
        <v>#REF!</v>
      </c>
      <c r="J8" s="40" t="e">
        <f t="shared" si="1"/>
        <v>#REF!</v>
      </c>
      <c r="K8" s="40" t="e">
        <f t="shared" si="2"/>
        <v>#REF!</v>
      </c>
      <c r="L8" s="38" t="e">
        <f>AVERAGE($K$3:K8)</f>
        <v>#REF!</v>
      </c>
      <c r="M8" s="38" t="e">
        <f>SUM(J$3:J8)/L8</f>
        <v>#REF!</v>
      </c>
      <c r="N8" s="3">
        <v>0.30000000000000004</v>
      </c>
      <c r="O8" s="3" t="e">
        <v>#REF!</v>
      </c>
    </row>
    <row r="9" spans="1:20" x14ac:dyDescent="0.2">
      <c r="A9" s="2">
        <f>[2]ArdiData!A9</f>
        <v>7</v>
      </c>
      <c r="B9" s="41" t="e">
        <f>ROUND(#REF!/10,0)</f>
        <v>#REF!</v>
      </c>
      <c r="C9" s="56" t="e">
        <f t="shared" si="3"/>
        <v>#REF!</v>
      </c>
      <c r="D9" s="6" t="e">
        <f t="shared" si="4"/>
        <v>#REF!</v>
      </c>
      <c r="E9" s="6" t="e">
        <f t="shared" si="5"/>
        <v>#REF!</v>
      </c>
      <c r="F9" s="6" t="e">
        <f>AVERAGE($E$4:E9)</f>
        <v>#REF!</v>
      </c>
      <c r="G9" s="3" t="e">
        <f t="shared" si="6"/>
        <v>#REF!</v>
      </c>
      <c r="H9" s="41" t="e">
        <f t="shared" si="7"/>
        <v>#REF!</v>
      </c>
      <c r="I9" s="41" t="e">
        <f t="shared" si="0"/>
        <v>#REF!</v>
      </c>
      <c r="J9" s="40" t="e">
        <f t="shared" si="1"/>
        <v>#REF!</v>
      </c>
      <c r="K9" s="40" t="e">
        <f t="shared" si="2"/>
        <v>#REF!</v>
      </c>
      <c r="L9" s="38" t="e">
        <f>AVERAGE($K$3:K9)</f>
        <v>#REF!</v>
      </c>
      <c r="M9" s="38" t="e">
        <f>SUM(J$3:J9)/L9</f>
        <v>#REF!</v>
      </c>
      <c r="N9" s="3">
        <v>0.4</v>
      </c>
      <c r="O9" s="3" t="e">
        <v>#REF!</v>
      </c>
    </row>
    <row r="10" spans="1:20" x14ac:dyDescent="0.2">
      <c r="A10" s="2">
        <f>[2]ArdiData!A10</f>
        <v>8</v>
      </c>
      <c r="B10" s="41" t="e">
        <f>ROUND(#REF!/10,0)</f>
        <v>#REF!</v>
      </c>
      <c r="C10" s="56" t="e">
        <f t="shared" si="3"/>
        <v>#REF!</v>
      </c>
      <c r="D10" s="6" t="e">
        <f t="shared" si="4"/>
        <v>#REF!</v>
      </c>
      <c r="E10" s="6" t="e">
        <f t="shared" si="5"/>
        <v>#REF!</v>
      </c>
      <c r="F10" s="6" t="e">
        <f>AVERAGE($E$4:E10)</f>
        <v>#REF!</v>
      </c>
      <c r="G10" s="3" t="e">
        <f t="shared" si="6"/>
        <v>#REF!</v>
      </c>
      <c r="H10" s="41" t="e">
        <f t="shared" si="7"/>
        <v>#REF!</v>
      </c>
      <c r="I10" s="41" t="e">
        <f t="shared" si="0"/>
        <v>#REF!</v>
      </c>
      <c r="J10" s="40" t="e">
        <f t="shared" si="1"/>
        <v>#REF!</v>
      </c>
      <c r="K10" s="40" t="e">
        <f t="shared" si="2"/>
        <v>#REF!</v>
      </c>
      <c r="L10" s="38" t="e">
        <f>AVERAGE($K$3:K10)</f>
        <v>#REF!</v>
      </c>
      <c r="M10" s="38" t="e">
        <f>SUM(J$3:J10)/L10</f>
        <v>#REF!</v>
      </c>
      <c r="N10" s="3">
        <v>0.5</v>
      </c>
      <c r="O10" s="3" t="e">
        <v>#REF!</v>
      </c>
    </row>
    <row r="11" spans="1:20" x14ac:dyDescent="0.2">
      <c r="A11" s="2">
        <f>[2]ArdiData!A11</f>
        <v>9</v>
      </c>
      <c r="B11" s="41" t="e">
        <f>ROUND(#REF!/10,0)</f>
        <v>#REF!</v>
      </c>
      <c r="C11" s="56" t="e">
        <f t="shared" si="3"/>
        <v>#REF!</v>
      </c>
      <c r="D11" s="6" t="e">
        <f t="shared" si="4"/>
        <v>#REF!</v>
      </c>
      <c r="E11" s="6" t="e">
        <f t="shared" si="5"/>
        <v>#REF!</v>
      </c>
      <c r="F11" s="6" t="e">
        <f>AVERAGE($E$4:E11)</f>
        <v>#REF!</v>
      </c>
      <c r="G11" s="3" t="e">
        <f t="shared" si="6"/>
        <v>#REF!</v>
      </c>
      <c r="H11" s="41" t="e">
        <f t="shared" si="7"/>
        <v>#REF!</v>
      </c>
      <c r="I11" s="41" t="e">
        <f t="shared" si="0"/>
        <v>#REF!</v>
      </c>
      <c r="J11" s="40" t="e">
        <f t="shared" si="1"/>
        <v>#REF!</v>
      </c>
      <c r="K11" s="40" t="e">
        <f t="shared" si="2"/>
        <v>#REF!</v>
      </c>
      <c r="L11" s="38" t="e">
        <f>AVERAGE($K$3:K11)</f>
        <v>#REF!</v>
      </c>
      <c r="M11" s="38" t="e">
        <f>SUM(J$3:J11)/L11</f>
        <v>#REF!</v>
      </c>
      <c r="N11" s="3">
        <v>0.6</v>
      </c>
      <c r="O11" s="3" t="e">
        <v>#REF!</v>
      </c>
    </row>
    <row r="12" spans="1:20" x14ac:dyDescent="0.2">
      <c r="A12" s="2">
        <f>[2]ArdiData!A12</f>
        <v>10</v>
      </c>
      <c r="B12" s="41" t="e">
        <f>ROUND(#REF!/10,0)</f>
        <v>#REF!</v>
      </c>
      <c r="C12" s="56" t="e">
        <f t="shared" si="3"/>
        <v>#REF!</v>
      </c>
      <c r="D12" s="6" t="e">
        <f t="shared" si="4"/>
        <v>#REF!</v>
      </c>
      <c r="E12" s="6" t="e">
        <f t="shared" si="5"/>
        <v>#REF!</v>
      </c>
      <c r="F12" s="6" t="e">
        <f>AVERAGE($E$4:E12)</f>
        <v>#REF!</v>
      </c>
      <c r="G12" s="3" t="e">
        <f t="shared" si="6"/>
        <v>#REF!</v>
      </c>
      <c r="H12" s="41" t="e">
        <f t="shared" si="7"/>
        <v>#REF!</v>
      </c>
      <c r="I12" s="41" t="e">
        <f t="shared" si="0"/>
        <v>#REF!</v>
      </c>
      <c r="J12" s="40" t="e">
        <f t="shared" si="1"/>
        <v>#REF!</v>
      </c>
      <c r="K12" s="40" t="e">
        <f t="shared" si="2"/>
        <v>#REF!</v>
      </c>
      <c r="L12" s="38" t="e">
        <f>AVERAGE($K$3:K12)</f>
        <v>#REF!</v>
      </c>
      <c r="M12" s="38" t="e">
        <f>SUM(J$3:J12)/L12</f>
        <v>#REF!</v>
      </c>
      <c r="N12" s="3">
        <v>0.70000000000000007</v>
      </c>
      <c r="O12" s="3" t="e">
        <v>#REF!</v>
      </c>
    </row>
    <row r="13" spans="1:20" x14ac:dyDescent="0.2">
      <c r="A13" s="2">
        <f>[2]ArdiData!A13</f>
        <v>11</v>
      </c>
      <c r="B13" s="41" t="e">
        <f>ROUND(#REF!/10,0)</f>
        <v>#REF!</v>
      </c>
      <c r="C13" s="56" t="e">
        <f t="shared" si="3"/>
        <v>#REF!</v>
      </c>
      <c r="D13" s="6" t="e">
        <f t="shared" si="4"/>
        <v>#REF!</v>
      </c>
      <c r="E13" s="6" t="e">
        <f t="shared" si="5"/>
        <v>#REF!</v>
      </c>
      <c r="F13" s="6" t="e">
        <f>AVERAGE($E$4:E13)</f>
        <v>#REF!</v>
      </c>
      <c r="G13" s="3" t="e">
        <f t="shared" si="6"/>
        <v>#REF!</v>
      </c>
      <c r="H13" s="41" t="e">
        <f t="shared" si="7"/>
        <v>#REF!</v>
      </c>
      <c r="I13" s="41" t="e">
        <f t="shared" si="0"/>
        <v>#REF!</v>
      </c>
      <c r="J13" s="40" t="e">
        <f t="shared" si="1"/>
        <v>#REF!</v>
      </c>
      <c r="K13" s="40" t="e">
        <f t="shared" si="2"/>
        <v>#REF!</v>
      </c>
      <c r="L13" s="38" t="e">
        <f>AVERAGE($K$3:K13)</f>
        <v>#REF!</v>
      </c>
      <c r="M13" s="38" t="e">
        <f>SUM(J$3:J13)/L13</f>
        <v>#REF!</v>
      </c>
      <c r="N13" s="3">
        <v>0.8</v>
      </c>
      <c r="O13" s="3" t="e">
        <v>#REF!</v>
      </c>
    </row>
    <row r="14" spans="1:20" x14ac:dyDescent="0.2">
      <c r="A14" s="2">
        <f>[2]ArdiData!A14</f>
        <v>12</v>
      </c>
      <c r="B14" s="41" t="e">
        <f>ROUND(#REF!/10,0)</f>
        <v>#REF!</v>
      </c>
      <c r="C14" s="56" t="e">
        <f t="shared" si="3"/>
        <v>#REF!</v>
      </c>
      <c r="D14" s="6" t="e">
        <f t="shared" si="4"/>
        <v>#REF!</v>
      </c>
      <c r="E14" s="6" t="e">
        <f t="shared" si="5"/>
        <v>#REF!</v>
      </c>
      <c r="F14" s="6" t="e">
        <f>AVERAGE($E$4:E14)</f>
        <v>#REF!</v>
      </c>
      <c r="G14" s="3" t="e">
        <f t="shared" si="6"/>
        <v>#REF!</v>
      </c>
      <c r="H14" s="41" t="e">
        <f t="shared" si="7"/>
        <v>#REF!</v>
      </c>
      <c r="I14" s="41" t="e">
        <f t="shared" si="0"/>
        <v>#REF!</v>
      </c>
      <c r="J14" s="40" t="e">
        <f t="shared" si="1"/>
        <v>#REF!</v>
      </c>
      <c r="K14" s="40" t="e">
        <f t="shared" si="2"/>
        <v>#REF!</v>
      </c>
      <c r="L14" s="38" t="e">
        <f>AVERAGE($K$3:K14)</f>
        <v>#REF!</v>
      </c>
      <c r="M14" s="38" t="e">
        <f>SUM(J$3:J14)/L14</f>
        <v>#REF!</v>
      </c>
      <c r="N14" s="3">
        <v>0.9</v>
      </c>
      <c r="O14" s="3" t="e">
        <v>#REF!</v>
      </c>
    </row>
    <row r="15" spans="1:20" x14ac:dyDescent="0.2">
      <c r="A15" s="2">
        <f>[2]ArdiData!A15</f>
        <v>13</v>
      </c>
      <c r="B15" s="41" t="e">
        <f>ROUND(#REF!/10,0)</f>
        <v>#REF!</v>
      </c>
      <c r="C15" s="56" t="e">
        <f t="shared" si="3"/>
        <v>#REF!</v>
      </c>
      <c r="D15" s="6" t="e">
        <f t="shared" si="4"/>
        <v>#REF!</v>
      </c>
      <c r="E15" s="6" t="e">
        <f t="shared" si="5"/>
        <v>#REF!</v>
      </c>
      <c r="F15" s="6" t="e">
        <f>AVERAGE($E$4:E15)</f>
        <v>#REF!</v>
      </c>
      <c r="G15" s="3" t="e">
        <f t="shared" si="6"/>
        <v>#REF!</v>
      </c>
      <c r="H15" s="41" t="e">
        <f t="shared" si="7"/>
        <v>#REF!</v>
      </c>
      <c r="I15" s="41" t="e">
        <f t="shared" si="0"/>
        <v>#REF!</v>
      </c>
      <c r="J15" s="40" t="e">
        <f t="shared" si="1"/>
        <v>#REF!</v>
      </c>
      <c r="K15" s="40" t="e">
        <f t="shared" si="2"/>
        <v>#REF!</v>
      </c>
      <c r="L15" s="38" t="e">
        <f>AVERAGE($K$3:K15)</f>
        <v>#REF!</v>
      </c>
      <c r="M15" s="38" t="e">
        <f>SUM(J$3:J15)/L15</f>
        <v>#REF!</v>
      </c>
      <c r="N15" s="3">
        <v>1</v>
      </c>
      <c r="O15" s="3" t="e">
        <v>#REF!</v>
      </c>
    </row>
    <row r="16" spans="1:20" x14ac:dyDescent="0.2">
      <c r="A16" s="2">
        <f>[2]ArdiData!A16</f>
        <v>14</v>
      </c>
      <c r="B16" s="41" t="e">
        <f>ROUND(#REF!/10,0)</f>
        <v>#REF!</v>
      </c>
      <c r="C16" s="56" t="e">
        <f t="shared" si="3"/>
        <v>#REF!</v>
      </c>
      <c r="D16" s="6" t="e">
        <f t="shared" si="4"/>
        <v>#REF!</v>
      </c>
      <c r="E16" s="6" t="e">
        <f t="shared" si="5"/>
        <v>#REF!</v>
      </c>
      <c r="F16" s="6" t="e">
        <f>AVERAGE($E$4:E16)</f>
        <v>#REF!</v>
      </c>
      <c r="G16" s="3" t="e">
        <f t="shared" si="6"/>
        <v>#REF!</v>
      </c>
      <c r="H16" s="41" t="e">
        <f t="shared" si="7"/>
        <v>#REF!</v>
      </c>
      <c r="I16" s="41" t="e">
        <f t="shared" si="0"/>
        <v>#REF!</v>
      </c>
      <c r="J16" s="40" t="e">
        <f t="shared" si="1"/>
        <v>#REF!</v>
      </c>
      <c r="K16" s="40" t="e">
        <f t="shared" si="2"/>
        <v>#REF!</v>
      </c>
      <c r="L16" s="38" t="e">
        <f>AVERAGE($K$3:K16)</f>
        <v>#REF!</v>
      </c>
      <c r="M16" s="38" t="e">
        <f>SUM(J$3:J16)/L16</f>
        <v>#REF!</v>
      </c>
      <c r="N16" s="3" t="e">
        <f>MIN(O5:O15)</f>
        <v>#REF!</v>
      </c>
    </row>
    <row r="17" spans="1:26" x14ac:dyDescent="0.2">
      <c r="A17" s="2">
        <f>[2]ArdiData!A17</f>
        <v>15</v>
      </c>
      <c r="B17" s="41" t="e">
        <f>ROUND(#REF!/10,0)</f>
        <v>#REF!</v>
      </c>
      <c r="C17" s="56" t="e">
        <f t="shared" si="3"/>
        <v>#REF!</v>
      </c>
      <c r="D17" s="6" t="e">
        <f t="shared" si="4"/>
        <v>#REF!</v>
      </c>
      <c r="E17" s="6" t="e">
        <f t="shared" si="5"/>
        <v>#REF!</v>
      </c>
      <c r="F17" s="6" t="e">
        <f>AVERAGE($E$4:E17)</f>
        <v>#REF!</v>
      </c>
      <c r="G17" s="3" t="e">
        <f t="shared" si="6"/>
        <v>#REF!</v>
      </c>
      <c r="H17" s="41" t="e">
        <f t="shared" si="7"/>
        <v>#REF!</v>
      </c>
      <c r="I17" s="41" t="e">
        <f t="shared" si="0"/>
        <v>#REF!</v>
      </c>
      <c r="J17" s="40" t="e">
        <f t="shared" si="1"/>
        <v>#REF!</v>
      </c>
      <c r="K17" s="40" t="e">
        <f t="shared" si="2"/>
        <v>#REF!</v>
      </c>
      <c r="L17" s="38" t="e">
        <f>AVERAGE($K$3:K17)</f>
        <v>#REF!</v>
      </c>
      <c r="M17" s="38" t="e">
        <f>SUM(J$3:J17)/L17</f>
        <v>#REF!</v>
      </c>
      <c r="N17" s="49" t="e">
        <f>L23</f>
        <v>#REF!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[2]ArdiData!A18</f>
        <v>16</v>
      </c>
      <c r="B18" s="41" t="e">
        <f>ROUND(#REF!/10,0)</f>
        <v>#REF!</v>
      </c>
      <c r="C18" s="56" t="e">
        <f t="shared" si="3"/>
        <v>#REF!</v>
      </c>
      <c r="D18" s="6" t="e">
        <f t="shared" si="4"/>
        <v>#REF!</v>
      </c>
      <c r="E18" s="6" t="e">
        <f t="shared" si="5"/>
        <v>#REF!</v>
      </c>
      <c r="F18" s="6" t="e">
        <f>AVERAGE($E$4:E18)</f>
        <v>#REF!</v>
      </c>
      <c r="G18" s="3" t="e">
        <f t="shared" si="6"/>
        <v>#REF!</v>
      </c>
      <c r="H18" s="41" t="e">
        <f t="shared" si="7"/>
        <v>#REF!</v>
      </c>
      <c r="I18" s="41" t="e">
        <f t="shared" si="0"/>
        <v>#REF!</v>
      </c>
      <c r="J18" s="40" t="e">
        <f t="shared" si="1"/>
        <v>#REF!</v>
      </c>
      <c r="K18" s="40" t="e">
        <f t="shared" si="2"/>
        <v>#REF!</v>
      </c>
      <c r="L18" s="38" t="e">
        <f>AVERAGE($K$3:K18)</f>
        <v>#REF!</v>
      </c>
      <c r="M18" s="38" t="e">
        <f>SUM(J$3:J18)/L18</f>
        <v>#REF!</v>
      </c>
      <c r="N18" s="3">
        <v>0</v>
      </c>
      <c r="O18" s="3" t="e">
        <f t="dataTable" ref="O18:Y28" dt2D="1" dtr="1" r1="P2" r2="P1"/>
        <v>#REF!</v>
      </c>
      <c r="P18" s="3" t="e">
        <v>#REF!</v>
      </c>
      <c r="Q18" s="3" t="e">
        <v>#REF!</v>
      </c>
      <c r="R18" s="3" t="e">
        <v>#REF!</v>
      </c>
      <c r="S18" s="3" t="e">
        <v>#REF!</v>
      </c>
      <c r="T18" s="3" t="e">
        <v>#REF!</v>
      </c>
      <c r="U18" s="3" t="e">
        <v>#REF!</v>
      </c>
      <c r="V18" s="3" t="e">
        <v>#REF!</v>
      </c>
      <c r="W18" s="3" t="e">
        <v>#REF!</v>
      </c>
      <c r="X18" s="3" t="e">
        <v>#REF!</v>
      </c>
      <c r="Y18" s="3" t="e">
        <v>#REF!</v>
      </c>
    </row>
    <row r="19" spans="1:26" x14ac:dyDescent="0.2">
      <c r="A19" s="2">
        <f>[2]ArdiData!A19</f>
        <v>17</v>
      </c>
      <c r="B19" s="41" t="e">
        <f>ROUND(#REF!/10,0)</f>
        <v>#REF!</v>
      </c>
      <c r="C19" s="56" t="e">
        <f t="shared" si="3"/>
        <v>#REF!</v>
      </c>
      <c r="D19" s="6" t="e">
        <f t="shared" si="4"/>
        <v>#REF!</v>
      </c>
      <c r="E19" s="6" t="e">
        <f t="shared" si="5"/>
        <v>#REF!</v>
      </c>
      <c r="F19" s="6" t="e">
        <f>AVERAGE($E$4:E19)</f>
        <v>#REF!</v>
      </c>
      <c r="G19" s="3" t="e">
        <f t="shared" si="6"/>
        <v>#REF!</v>
      </c>
      <c r="H19" s="41" t="e">
        <f t="shared" si="7"/>
        <v>#REF!</v>
      </c>
      <c r="I19" s="41" t="e">
        <f t="shared" si="0"/>
        <v>#REF!</v>
      </c>
      <c r="J19" s="40" t="e">
        <f t="shared" si="1"/>
        <v>#REF!</v>
      </c>
      <c r="K19" s="40" t="e">
        <f t="shared" si="2"/>
        <v>#REF!</v>
      </c>
      <c r="L19" s="38" t="e">
        <f>AVERAGE($K$3:K19)</f>
        <v>#REF!</v>
      </c>
      <c r="M19" s="38" t="e">
        <f>SUM(J$3:J19)/L19</f>
        <v>#REF!</v>
      </c>
      <c r="N19" s="3">
        <v>0.1</v>
      </c>
      <c r="O19" s="3" t="e">
        <v>#REF!</v>
      </c>
      <c r="P19" s="3" t="e">
        <v>#REF!</v>
      </c>
      <c r="Q19" s="3" t="e">
        <v>#REF!</v>
      </c>
      <c r="R19" s="3" t="e">
        <v>#REF!</v>
      </c>
      <c r="S19" s="3" t="e">
        <v>#REF!</v>
      </c>
      <c r="T19" s="3" t="e">
        <v>#REF!</v>
      </c>
      <c r="U19" s="3" t="e">
        <v>#REF!</v>
      </c>
      <c r="V19" s="3" t="e">
        <v>#REF!</v>
      </c>
      <c r="W19" s="3" t="e">
        <v>#REF!</v>
      </c>
      <c r="X19" s="3" t="e">
        <v>#REF!</v>
      </c>
      <c r="Y19" s="3" t="e">
        <v>#REF!</v>
      </c>
    </row>
    <row r="20" spans="1:26" x14ac:dyDescent="0.2">
      <c r="A20" s="2">
        <f>[2]ArdiData!A20</f>
        <v>18</v>
      </c>
      <c r="B20" s="41" t="e">
        <f>ROUND(#REF!/10,0)</f>
        <v>#REF!</v>
      </c>
      <c r="C20" s="56" t="e">
        <f t="shared" si="3"/>
        <v>#REF!</v>
      </c>
      <c r="D20" s="6" t="e">
        <f t="shared" si="4"/>
        <v>#REF!</v>
      </c>
      <c r="E20" s="6" t="e">
        <f t="shared" si="5"/>
        <v>#REF!</v>
      </c>
      <c r="F20" s="6" t="e">
        <f>AVERAGE($E$4:E20)</f>
        <v>#REF!</v>
      </c>
      <c r="G20" s="3" t="e">
        <f t="shared" si="6"/>
        <v>#REF!</v>
      </c>
      <c r="H20" s="41" t="e">
        <f t="shared" si="7"/>
        <v>#REF!</v>
      </c>
      <c r="I20" s="41" t="e">
        <f t="shared" si="0"/>
        <v>#REF!</v>
      </c>
      <c r="J20" s="40" t="e">
        <f t="shared" si="1"/>
        <v>#REF!</v>
      </c>
      <c r="K20" s="40" t="e">
        <f t="shared" si="2"/>
        <v>#REF!</v>
      </c>
      <c r="L20" s="38" t="e">
        <f>AVERAGE($K$3:K20)</f>
        <v>#REF!</v>
      </c>
      <c r="M20" s="38" t="e">
        <f>SUM(J$3:J20)/L20</f>
        <v>#REF!</v>
      </c>
      <c r="N20" s="3">
        <v>0.2</v>
      </c>
      <c r="O20" s="3" t="e">
        <v>#REF!</v>
      </c>
      <c r="P20" s="3" t="e">
        <v>#REF!</v>
      </c>
      <c r="Q20" s="3" t="e">
        <v>#REF!</v>
      </c>
      <c r="R20" s="3" t="e">
        <v>#REF!</v>
      </c>
      <c r="S20" s="3" t="e">
        <v>#REF!</v>
      </c>
      <c r="T20" s="3" t="e">
        <v>#REF!</v>
      </c>
      <c r="U20" s="3" t="e">
        <v>#REF!</v>
      </c>
      <c r="V20" s="3" t="e">
        <v>#REF!</v>
      </c>
      <c r="W20" s="3" t="e">
        <v>#REF!</v>
      </c>
      <c r="X20" s="3" t="e">
        <v>#REF!</v>
      </c>
      <c r="Y20" s="3" t="e">
        <v>#REF!</v>
      </c>
    </row>
    <row r="21" spans="1:26" x14ac:dyDescent="0.2">
      <c r="A21" s="2">
        <f>[2]ArdiData!A21</f>
        <v>19</v>
      </c>
      <c r="B21" s="41" t="e">
        <f>ROUND(#REF!/10,0)</f>
        <v>#REF!</v>
      </c>
      <c r="C21" s="56" t="e">
        <f t="shared" si="3"/>
        <v>#REF!</v>
      </c>
      <c r="D21" s="6" t="e">
        <f t="shared" si="4"/>
        <v>#REF!</v>
      </c>
      <c r="E21" s="6" t="e">
        <f t="shared" si="5"/>
        <v>#REF!</v>
      </c>
      <c r="F21" s="6" t="e">
        <f>AVERAGE($E$4:E21)</f>
        <v>#REF!</v>
      </c>
      <c r="G21" s="3" t="e">
        <f t="shared" si="6"/>
        <v>#REF!</v>
      </c>
      <c r="H21" s="41" t="e">
        <f t="shared" si="7"/>
        <v>#REF!</v>
      </c>
      <c r="I21" s="41" t="e">
        <f t="shared" si="0"/>
        <v>#REF!</v>
      </c>
      <c r="J21" s="40" t="e">
        <f t="shared" si="1"/>
        <v>#REF!</v>
      </c>
      <c r="K21" s="40" t="e">
        <f t="shared" si="2"/>
        <v>#REF!</v>
      </c>
      <c r="L21" s="38" t="e">
        <f>AVERAGE($K$3:K21)</f>
        <v>#REF!</v>
      </c>
      <c r="M21" s="38" t="e">
        <f>SUM(J$3:J21)/L21</f>
        <v>#REF!</v>
      </c>
      <c r="N21" s="3">
        <v>0.3</v>
      </c>
      <c r="O21" s="3" t="e">
        <v>#REF!</v>
      </c>
      <c r="P21" s="3" t="e">
        <v>#REF!</v>
      </c>
      <c r="Q21" s="3" t="e">
        <v>#REF!</v>
      </c>
      <c r="R21" s="3" t="e">
        <v>#REF!</v>
      </c>
      <c r="S21" s="3" t="e">
        <v>#REF!</v>
      </c>
      <c r="T21" s="3" t="e">
        <v>#REF!</v>
      </c>
      <c r="U21" s="3" t="e">
        <v>#REF!</v>
      </c>
      <c r="V21" s="3" t="e">
        <v>#REF!</v>
      </c>
      <c r="W21" s="3" t="e">
        <v>#REF!</v>
      </c>
      <c r="X21" s="3" t="e">
        <v>#REF!</v>
      </c>
      <c r="Y21" s="3" t="e">
        <v>#REF!</v>
      </c>
    </row>
    <row r="22" spans="1:26" x14ac:dyDescent="0.2">
      <c r="A22" s="2">
        <f>[2]ArdiData!A22</f>
        <v>20</v>
      </c>
      <c r="B22" s="41" t="e">
        <f>ROUND(#REF!/10,0)</f>
        <v>#REF!</v>
      </c>
      <c r="C22" s="56" t="e">
        <f t="shared" si="3"/>
        <v>#REF!</v>
      </c>
      <c r="D22" s="6" t="e">
        <f t="shared" si="4"/>
        <v>#REF!</v>
      </c>
      <c r="E22" s="6" t="e">
        <f t="shared" si="5"/>
        <v>#REF!</v>
      </c>
      <c r="F22" s="6" t="e">
        <f>AVERAGE($E$4:E22)</f>
        <v>#REF!</v>
      </c>
      <c r="G22" s="3" t="e">
        <f t="shared" si="6"/>
        <v>#REF!</v>
      </c>
      <c r="H22" s="41" t="e">
        <f t="shared" si="7"/>
        <v>#REF!</v>
      </c>
      <c r="I22" s="41" t="e">
        <f t="shared" si="0"/>
        <v>#REF!</v>
      </c>
      <c r="J22" s="40" t="e">
        <f t="shared" si="1"/>
        <v>#REF!</v>
      </c>
      <c r="K22" s="40" t="e">
        <f t="shared" si="2"/>
        <v>#REF!</v>
      </c>
      <c r="L22" s="38" t="e">
        <f>AVERAGE($K$3:K22)</f>
        <v>#REF!</v>
      </c>
      <c r="M22" s="38" t="e">
        <f>SUM(J$3:J22)/L22</f>
        <v>#REF!</v>
      </c>
      <c r="N22" s="3">
        <v>0.4</v>
      </c>
      <c r="O22" s="3" t="e">
        <v>#REF!</v>
      </c>
      <c r="P22" s="3" t="e">
        <v>#REF!</v>
      </c>
      <c r="Q22" s="3" t="e">
        <v>#REF!</v>
      </c>
      <c r="R22" s="3" t="e">
        <v>#REF!</v>
      </c>
      <c r="S22" s="3" t="e">
        <v>#REF!</v>
      </c>
      <c r="T22" s="3" t="e">
        <v>#REF!</v>
      </c>
      <c r="U22" s="3" t="e">
        <v>#REF!</v>
      </c>
      <c r="V22" s="3" t="e">
        <v>#REF!</v>
      </c>
      <c r="W22" s="3" t="e">
        <v>#REF!</v>
      </c>
      <c r="X22" s="3" t="e">
        <v>#REF!</v>
      </c>
      <c r="Y22" s="3" t="e">
        <v>#REF!</v>
      </c>
    </row>
    <row r="23" spans="1:26" x14ac:dyDescent="0.2">
      <c r="A23" s="2">
        <f>[2]ArdiData!A23</f>
        <v>21</v>
      </c>
      <c r="B23" s="41" t="e">
        <f>ROUND(#REF!/10,0)</f>
        <v>#REF!</v>
      </c>
      <c r="C23" s="56" t="e">
        <f t="shared" si="3"/>
        <v>#REF!</v>
      </c>
      <c r="D23" s="6" t="e">
        <f t="shared" si="4"/>
        <v>#REF!</v>
      </c>
      <c r="E23" s="6" t="e">
        <f t="shared" si="5"/>
        <v>#REF!</v>
      </c>
      <c r="F23" s="55" t="e">
        <f>AVERAGE($E$4:E23)</f>
        <v>#REF!</v>
      </c>
      <c r="G23" s="3" t="e">
        <f t="shared" si="6"/>
        <v>#REF!</v>
      </c>
      <c r="H23" s="41" t="e">
        <f t="shared" si="7"/>
        <v>#REF!</v>
      </c>
      <c r="I23" s="41" t="e">
        <f t="shared" si="0"/>
        <v>#REF!</v>
      </c>
      <c r="J23" s="40" t="e">
        <f t="shared" si="1"/>
        <v>#REF!</v>
      </c>
      <c r="K23" s="40" t="e">
        <f t="shared" si="2"/>
        <v>#REF!</v>
      </c>
      <c r="L23" s="38" t="e">
        <f>AVERAGE($K$3:K23)</f>
        <v>#REF!</v>
      </c>
      <c r="M23" s="38" t="e">
        <f>SUM(J$3:J23)/L23</f>
        <v>#REF!</v>
      </c>
      <c r="N23" s="3">
        <v>0.5</v>
      </c>
      <c r="O23" s="3" t="e">
        <v>#REF!</v>
      </c>
      <c r="P23" s="3" t="e">
        <v>#REF!</v>
      </c>
      <c r="Q23" s="3" t="e">
        <v>#REF!</v>
      </c>
      <c r="R23" s="3" t="e">
        <v>#REF!</v>
      </c>
      <c r="S23" s="3" t="e">
        <v>#REF!</v>
      </c>
      <c r="T23" s="3" t="e">
        <v>#REF!</v>
      </c>
      <c r="U23" s="3" t="e">
        <v>#REF!</v>
      </c>
      <c r="V23" s="3" t="e">
        <v>#REF!</v>
      </c>
      <c r="W23" s="3" t="e">
        <v>#REF!</v>
      </c>
      <c r="X23" s="3" t="e">
        <v>#REF!</v>
      </c>
      <c r="Y23" s="3" t="e">
        <v>#REF!</v>
      </c>
    </row>
    <row r="24" spans="1:26" x14ac:dyDescent="0.2">
      <c r="N24" s="3">
        <v>0.6</v>
      </c>
      <c r="O24" s="3" t="e">
        <v>#REF!</v>
      </c>
      <c r="P24" s="3" t="e">
        <v>#REF!</v>
      </c>
      <c r="Q24" s="3" t="e">
        <v>#REF!</v>
      </c>
      <c r="R24" s="3" t="e">
        <v>#REF!</v>
      </c>
      <c r="S24" s="3" t="e">
        <v>#REF!</v>
      </c>
      <c r="T24" s="3" t="e">
        <v>#REF!</v>
      </c>
      <c r="U24" s="3" t="e">
        <v>#REF!</v>
      </c>
      <c r="V24" s="3" t="e">
        <v>#REF!</v>
      </c>
      <c r="W24" s="3" t="e">
        <v>#REF!</v>
      </c>
      <c r="X24" s="3" t="e">
        <v>#REF!</v>
      </c>
      <c r="Y24" s="3" t="e">
        <v>#REF!</v>
      </c>
    </row>
    <row r="25" spans="1:26" x14ac:dyDescent="0.2">
      <c r="N25" s="3">
        <v>0.7</v>
      </c>
      <c r="O25" s="3" t="e">
        <v>#REF!</v>
      </c>
      <c r="P25" s="3" t="e">
        <v>#REF!</v>
      </c>
      <c r="Q25" s="3" t="e">
        <v>#REF!</v>
      </c>
      <c r="R25" s="3" t="e">
        <v>#REF!</v>
      </c>
      <c r="S25" s="3" t="e">
        <v>#REF!</v>
      </c>
      <c r="T25" s="3" t="e">
        <v>#REF!</v>
      </c>
      <c r="U25" s="3" t="e">
        <v>#REF!</v>
      </c>
      <c r="V25" s="3" t="e">
        <v>#REF!</v>
      </c>
      <c r="W25" s="3" t="e">
        <v>#REF!</v>
      </c>
      <c r="X25" s="3" t="e">
        <v>#REF!</v>
      </c>
      <c r="Y25" s="3" t="e">
        <v>#REF!</v>
      </c>
    </row>
    <row r="26" spans="1:26" x14ac:dyDescent="0.2">
      <c r="N26" s="3">
        <v>0.8</v>
      </c>
      <c r="O26" s="3" t="e">
        <v>#REF!</v>
      </c>
      <c r="P26" s="3" t="e">
        <v>#REF!</v>
      </c>
      <c r="Q26" s="3" t="e">
        <v>#REF!</v>
      </c>
      <c r="R26" s="3" t="e">
        <v>#REF!</v>
      </c>
      <c r="S26" s="3" t="e">
        <v>#REF!</v>
      </c>
      <c r="T26" s="3" t="e">
        <v>#REF!</v>
      </c>
      <c r="U26" s="3" t="e">
        <v>#REF!</v>
      </c>
      <c r="V26" s="3" t="e">
        <v>#REF!</v>
      </c>
      <c r="W26" s="3" t="e">
        <v>#REF!</v>
      </c>
      <c r="X26" s="3" t="e">
        <v>#REF!</v>
      </c>
      <c r="Y26" s="3" t="e">
        <v>#REF!</v>
      </c>
    </row>
    <row r="27" spans="1:26" x14ac:dyDescent="0.2">
      <c r="N27" s="3">
        <v>0.9</v>
      </c>
      <c r="O27" s="3" t="e">
        <v>#REF!</v>
      </c>
      <c r="P27" s="3" t="e">
        <v>#REF!</v>
      </c>
      <c r="Q27" s="3" t="e">
        <v>#REF!</v>
      </c>
      <c r="R27" s="3" t="e">
        <v>#REF!</v>
      </c>
      <c r="S27" s="3" t="e">
        <v>#REF!</v>
      </c>
      <c r="T27" s="3" t="e">
        <v>#REF!</v>
      </c>
      <c r="U27" s="3" t="e">
        <v>#REF!</v>
      </c>
      <c r="V27" s="3" t="e">
        <v>#REF!</v>
      </c>
      <c r="W27" s="3" t="e">
        <v>#REF!</v>
      </c>
      <c r="X27" s="3" t="e">
        <v>#REF!</v>
      </c>
      <c r="Y27" s="3" t="e">
        <v>#REF!</v>
      </c>
    </row>
    <row r="28" spans="1:26" x14ac:dyDescent="0.2">
      <c r="C28" s="8" t="s">
        <v>52</v>
      </c>
      <c r="N28" s="3">
        <v>1</v>
      </c>
      <c r="O28" s="3" t="e">
        <v>#REF!</v>
      </c>
      <c r="P28" s="3" t="e">
        <v>#REF!</v>
      </c>
      <c r="Q28" s="3" t="e">
        <v>#REF!</v>
      </c>
      <c r="R28" s="3" t="e">
        <v>#REF!</v>
      </c>
      <c r="S28" s="3" t="e">
        <v>#REF!</v>
      </c>
      <c r="T28" s="3" t="e">
        <v>#REF!</v>
      </c>
      <c r="U28" s="3" t="e">
        <v>#REF!</v>
      </c>
      <c r="V28" s="3" t="e">
        <v>#REF!</v>
      </c>
      <c r="W28" s="3" t="e">
        <v>#REF!</v>
      </c>
      <c r="X28" s="3" t="e">
        <v>#REF!</v>
      </c>
      <c r="Y28" s="3" t="e">
        <v>#REF!</v>
      </c>
    </row>
    <row r="29" spans="1:26" x14ac:dyDescent="0.2">
      <c r="Z29" s="54" t="e">
        <f>MIN(O18:Y28)</f>
        <v>#REF!</v>
      </c>
    </row>
    <row r="30" spans="1:26" x14ac:dyDescent="0.2">
      <c r="G30" s="8" t="s">
        <v>51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73" t="s">
        <v>67</v>
      </c>
      <c r="B1" s="4">
        <v>1</v>
      </c>
      <c r="C1" s="72">
        <v>8000</v>
      </c>
    </row>
    <row r="2" spans="1:7" x14ac:dyDescent="0.25">
      <c r="A2" s="61" t="s">
        <v>66</v>
      </c>
      <c r="B2" s="5">
        <v>2</v>
      </c>
      <c r="C2" s="64">
        <v>13000</v>
      </c>
    </row>
    <row r="3" spans="1:7" x14ac:dyDescent="0.25">
      <c r="A3" s="61" t="s">
        <v>65</v>
      </c>
      <c r="B3" s="5">
        <v>3</v>
      </c>
      <c r="C3" s="64">
        <v>23000</v>
      </c>
      <c r="D3">
        <f t="shared" ref="D3:D10" si="0">(C1+2*(C2+C3+C4)+C5)/8</f>
        <v>19750</v>
      </c>
      <c r="E3" s="63">
        <f t="shared" ref="E3:E10" si="1">C3/D3</f>
        <v>1.1645569620253164</v>
      </c>
      <c r="F3" s="68">
        <f t="shared" ref="F3:F10" si="2">C3/D3</f>
        <v>1.1645569620253164</v>
      </c>
    </row>
    <row r="4" spans="1:7" x14ac:dyDescent="0.25">
      <c r="A4" s="61" t="s">
        <v>64</v>
      </c>
      <c r="B4" s="5">
        <v>4</v>
      </c>
      <c r="C4" s="64">
        <v>34000</v>
      </c>
      <c r="D4">
        <f t="shared" si="0"/>
        <v>20625</v>
      </c>
      <c r="E4" s="63">
        <f t="shared" si="1"/>
        <v>1.6484848484848484</v>
      </c>
      <c r="F4" s="66">
        <f t="shared" si="2"/>
        <v>1.6484848484848484</v>
      </c>
      <c r="G4" s="71">
        <f>(F4+F8)/2</f>
        <v>1.682999486389317</v>
      </c>
    </row>
    <row r="5" spans="1:7" x14ac:dyDescent="0.25">
      <c r="A5" s="61" t="s">
        <v>63</v>
      </c>
      <c r="B5" s="5">
        <v>5</v>
      </c>
      <c r="C5" s="64">
        <v>10000</v>
      </c>
      <c r="D5">
        <f t="shared" si="0"/>
        <v>21250</v>
      </c>
      <c r="E5" s="63">
        <f t="shared" si="1"/>
        <v>0.47058823529411764</v>
      </c>
      <c r="F5" s="65">
        <f t="shared" si="2"/>
        <v>0.47058823529411764</v>
      </c>
      <c r="G5" s="70">
        <f>(F5+F9)/2</f>
        <v>0.50048748781280472</v>
      </c>
    </row>
    <row r="6" spans="1:7" x14ac:dyDescent="0.25">
      <c r="A6" s="61" t="s">
        <v>62</v>
      </c>
      <c r="B6" s="5">
        <v>6</v>
      </c>
      <c r="C6" s="64">
        <v>18000</v>
      </c>
      <c r="D6">
        <f t="shared" si="0"/>
        <v>21750</v>
      </c>
      <c r="E6" s="63">
        <f t="shared" si="1"/>
        <v>0.82758620689655171</v>
      </c>
      <c r="F6" s="62">
        <f t="shared" si="2"/>
        <v>0.82758620689655171</v>
      </c>
      <c r="G6" s="69">
        <f>(F6+F10)/2</f>
        <v>0.68322315526174737</v>
      </c>
    </row>
    <row r="7" spans="1:7" x14ac:dyDescent="0.25">
      <c r="A7" s="61" t="s">
        <v>61</v>
      </c>
      <c r="B7" s="5">
        <v>7</v>
      </c>
      <c r="C7" s="64">
        <v>23000</v>
      </c>
      <c r="D7">
        <f t="shared" si="0"/>
        <v>22500</v>
      </c>
      <c r="E7" s="63">
        <f t="shared" si="1"/>
        <v>1.0222222222222221</v>
      </c>
      <c r="F7" s="68">
        <f t="shared" si="2"/>
        <v>1.0222222222222221</v>
      </c>
      <c r="G7" s="67">
        <f>(F7+F3)/2</f>
        <v>1.0933895921237693</v>
      </c>
    </row>
    <row r="8" spans="1:7" x14ac:dyDescent="0.25">
      <c r="A8" s="61" t="s">
        <v>60</v>
      </c>
      <c r="B8" s="5">
        <v>8</v>
      </c>
      <c r="C8" s="64">
        <v>38000</v>
      </c>
      <c r="D8">
        <f t="shared" si="0"/>
        <v>22125</v>
      </c>
      <c r="E8" s="63">
        <f t="shared" si="1"/>
        <v>1.7175141242937852</v>
      </c>
      <c r="F8" s="66">
        <f t="shared" si="2"/>
        <v>1.7175141242937852</v>
      </c>
    </row>
    <row r="9" spans="1:7" x14ac:dyDescent="0.25">
      <c r="A9" s="61" t="s">
        <v>59</v>
      </c>
      <c r="B9" s="5">
        <v>9</v>
      </c>
      <c r="C9" s="64">
        <v>12000</v>
      </c>
      <c r="D9">
        <f t="shared" si="0"/>
        <v>22625</v>
      </c>
      <c r="E9" s="63">
        <f t="shared" si="1"/>
        <v>0.53038674033149169</v>
      </c>
      <c r="F9" s="65">
        <f t="shared" si="2"/>
        <v>0.53038674033149169</v>
      </c>
    </row>
    <row r="10" spans="1:7" x14ac:dyDescent="0.25">
      <c r="A10" s="61" t="s">
        <v>58</v>
      </c>
      <c r="B10" s="5">
        <v>10</v>
      </c>
      <c r="C10" s="64">
        <v>13000</v>
      </c>
      <c r="D10">
        <f t="shared" si="0"/>
        <v>24125</v>
      </c>
      <c r="E10" s="63">
        <f t="shared" si="1"/>
        <v>0.53886010362694303</v>
      </c>
      <c r="F10" s="62">
        <f t="shared" si="2"/>
        <v>0.53886010362694303</v>
      </c>
    </row>
    <row r="11" spans="1:7" x14ac:dyDescent="0.25">
      <c r="A11" s="61" t="s">
        <v>57</v>
      </c>
      <c r="B11" s="5">
        <v>11</v>
      </c>
      <c r="C11" s="60">
        <v>32000</v>
      </c>
    </row>
    <row r="12" spans="1:7" ht="15.75" thickBot="1" x14ac:dyDescent="0.3">
      <c r="A12" s="59" t="s">
        <v>56</v>
      </c>
      <c r="B12" s="7">
        <v>12</v>
      </c>
      <c r="C12" s="58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SeasIndexStat</vt:lpstr>
      <vt:lpstr>1.Trend&amp;Season</vt:lpstr>
      <vt:lpstr>0.Regression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2021-02-11T18:19:20Z</dcterms:modified>
</cp:coreProperties>
</file>