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ink/ink1.xml" ContentType="application/inkml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3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1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17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8_{984A06FE-9E84-4AA7-9633-0BD5523B0B4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3.ArdiData28Fixed" sheetId="38" r:id="rId1"/>
    <sheet name="1.StatFitPoissNorm" sheetId="24" r:id="rId2"/>
    <sheet name="Stationary" sheetId="31" r:id="rId3"/>
    <sheet name="0.Regression" sheetId="11" r:id="rId4"/>
    <sheet name="Trend" sheetId="33" r:id="rId5"/>
    <sheet name="TrendAdj" sheetId="32" r:id="rId6"/>
    <sheet name="TrendAndSeas" sheetId="34" r:id="rId7"/>
    <sheet name="TrendAndSeas (2)" sheetId="35" r:id="rId8"/>
    <sheet name="TrAdES" sheetId="14" r:id="rId9"/>
    <sheet name="TrAdES2" sheetId="15" r:id="rId10"/>
    <sheet name="Sheet1" sheetId="18" r:id="rId11"/>
    <sheet name="3b.ArdiData28Fixed" sheetId="37" r:id="rId12"/>
    <sheet name="3c.ArdiData28Fixed" sheetId="39" r:id="rId13"/>
    <sheet name="3d.ArdiData28Fixed" sheetId="40" r:id="rId14"/>
    <sheet name="3e.ArdiData28Fixed" sheetId="41" r:id="rId15"/>
    <sheet name="3f.ArdiData28Fixed)" sheetId="42" r:id="rId16"/>
    <sheet name="3g.ArdiData28Fixed" sheetId="43" r:id="rId17"/>
    <sheet name="3h.ArdiData28Fixed" sheetId="44" r:id="rId18"/>
  </sheets>
  <externalReferences>
    <externalReference r:id="rId19"/>
  </externalReferences>
  <definedNames>
    <definedName name="solver_adj" localSheetId="3" hidden="1">'0.Regression'!$L$20:$L$21</definedName>
    <definedName name="solver_adj" localSheetId="2" hidden="1">Stationary!$K$1</definedName>
    <definedName name="solver_adj" localSheetId="8" hidden="1">TrAdES!$N$1:$N$2</definedName>
    <definedName name="solver_adj" localSheetId="9" hidden="1">TrAdES2!$P$1:$P$2</definedName>
    <definedName name="solver_adj" localSheetId="4" hidden="1">Trend!$K$1</definedName>
    <definedName name="solver_adj" localSheetId="5" hidden="1">TrendAdj!$H$1,TrendAdj!$J$1</definedName>
    <definedName name="solver_adj" localSheetId="6" hidden="1">TrendAndSeas!$J$1,TrendAndSeas!$L$1,TrendAndSeas!$N$1</definedName>
    <definedName name="solver_adj" localSheetId="7" hidden="1">'TrendAndSeas (2)'!$K$1,'TrendAndSeas (2)'!$M$1,'TrendAndSeas (2)'!$O$1</definedName>
    <definedName name="solver_cvg" localSheetId="3" hidden="1">0.0001</definedName>
    <definedName name="solver_cvg" localSheetId="2" hidden="1">0.0001</definedName>
    <definedName name="solver_cvg" localSheetId="8" hidden="1">0.0001</definedName>
    <definedName name="solver_cvg" localSheetId="9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drv" localSheetId="3" hidden="1">2</definedName>
    <definedName name="solver_drv" localSheetId="2" hidden="1">1</definedName>
    <definedName name="solver_drv" localSheetId="8" hidden="1">1</definedName>
    <definedName name="solver_drv" localSheetId="9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eng" localSheetId="3" hidden="1">1</definedName>
    <definedName name="solver_eng" localSheetId="2" hidden="1">1</definedName>
    <definedName name="solver_eng" localSheetId="8" hidden="1">1</definedName>
    <definedName name="solver_eng" localSheetId="9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st" localSheetId="3" hidden="1">1</definedName>
    <definedName name="solver_est" localSheetId="2" hidden="1">1</definedName>
    <definedName name="solver_est" localSheetId="8" hidden="1">1</definedName>
    <definedName name="solver_est" localSheetId="9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3" hidden="1">2147483647</definedName>
    <definedName name="solver_itr" localSheetId="2" hidden="1">2147483647</definedName>
    <definedName name="solver_itr" localSheetId="8" hidden="1">2147483647</definedName>
    <definedName name="solver_itr" localSheetId="9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8" hidden="1">TrAdES!$N$1</definedName>
    <definedName name="solver_lhs1" localSheetId="9" hidden="1">TrAdES2!$P$1</definedName>
    <definedName name="solver_lhs1" localSheetId="5" hidden="1">TrendAdj!$H$1</definedName>
    <definedName name="solver_lhs1" localSheetId="6" hidden="1">TrendAndSeas!$J$1</definedName>
    <definedName name="solver_lhs1" localSheetId="7" hidden="1">'TrendAndSeas (2)'!$K$1</definedName>
    <definedName name="solver_lhs2" localSheetId="8" hidden="1">TrAdES!$N$1</definedName>
    <definedName name="solver_lhs2" localSheetId="9" hidden="1">TrAdES2!$P$1</definedName>
    <definedName name="solver_lhs2" localSheetId="5" hidden="1">TrendAdj!$H$1</definedName>
    <definedName name="solver_lhs2" localSheetId="6" hidden="1">TrendAndSeas!$J$1</definedName>
    <definedName name="solver_lhs2" localSheetId="7" hidden="1">'TrendAndSeas (2)'!$K$1</definedName>
    <definedName name="solver_lhs3" localSheetId="5" hidden="1">TrendAdj!$J$1</definedName>
    <definedName name="solver_lhs3" localSheetId="6" hidden="1">TrendAndSeas!$L$1</definedName>
    <definedName name="solver_lhs3" localSheetId="7" hidden="1">'TrendAndSeas (2)'!$M$1</definedName>
    <definedName name="solver_lhs4" localSheetId="5" hidden="1">TrendAdj!$J$1</definedName>
    <definedName name="solver_lhs4" localSheetId="6" hidden="1">TrendAndSeas!$L$1</definedName>
    <definedName name="solver_lhs4" localSheetId="7" hidden="1">'TrendAndSeas (2)'!$M$1</definedName>
    <definedName name="solver_lhs5" localSheetId="6" hidden="1">TrendAndSeas!$N$1</definedName>
    <definedName name="solver_lhs5" localSheetId="7" hidden="1">'TrendAndSeas (2)'!$O$1</definedName>
    <definedName name="solver_lhs6" localSheetId="6" hidden="1">TrendAndSeas!$N$1</definedName>
    <definedName name="solver_lhs6" localSheetId="7" hidden="1">'TrendAndSeas (2)'!$O$1</definedName>
    <definedName name="solver_mip" localSheetId="3" hidden="1">2147483647</definedName>
    <definedName name="solver_mip" localSheetId="2" hidden="1">2147483647</definedName>
    <definedName name="solver_mip" localSheetId="8" hidden="1">2147483647</definedName>
    <definedName name="solver_mip" localSheetId="9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3" hidden="1">30</definedName>
    <definedName name="solver_mni" localSheetId="2" hidden="1">30</definedName>
    <definedName name="solver_mni" localSheetId="8" hidden="1">30</definedName>
    <definedName name="solver_mni" localSheetId="9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3" hidden="1">0.075</definedName>
    <definedName name="solver_mrt" localSheetId="2" hidden="1">0.075</definedName>
    <definedName name="solver_mrt" localSheetId="8" hidden="1">0.075</definedName>
    <definedName name="solver_mrt" localSheetId="9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sl" localSheetId="3" hidden="1">2</definedName>
    <definedName name="solver_msl" localSheetId="2" hidden="1">2</definedName>
    <definedName name="solver_msl" localSheetId="8" hidden="1">2</definedName>
    <definedName name="solver_msl" localSheetId="9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3" hidden="1">1</definedName>
    <definedName name="solver_neg" localSheetId="2" hidden="1">1</definedName>
    <definedName name="solver_neg" localSheetId="8" hidden="1">1</definedName>
    <definedName name="solver_neg" localSheetId="9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od" localSheetId="3" hidden="1">2147483647</definedName>
    <definedName name="solver_nod" localSheetId="2" hidden="1">2147483647</definedName>
    <definedName name="solver_nod" localSheetId="8" hidden="1">2147483647</definedName>
    <definedName name="solver_nod" localSheetId="9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3" hidden="1">0</definedName>
    <definedName name="solver_num" localSheetId="2" hidden="1">0</definedName>
    <definedName name="solver_num" localSheetId="8" hidden="1">0</definedName>
    <definedName name="solver_num" localSheetId="9" hidden="1">0</definedName>
    <definedName name="solver_num" localSheetId="4" hidden="1">0</definedName>
    <definedName name="solver_num" localSheetId="5" hidden="1">4</definedName>
    <definedName name="solver_num" localSheetId="6" hidden="1">6</definedName>
    <definedName name="solver_num" localSheetId="7" hidden="1">6</definedName>
    <definedName name="solver_nwt" localSheetId="3" hidden="1">1</definedName>
    <definedName name="solver_nwt" localSheetId="2" hidden="1">1</definedName>
    <definedName name="solver_nwt" localSheetId="8" hidden="1">1</definedName>
    <definedName name="solver_nwt" localSheetId="9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3" hidden="1">'0.Regression'!$L$22</definedName>
    <definedName name="solver_opt" localSheetId="2" hidden="1">Stationary!$J$30</definedName>
    <definedName name="solver_opt" localSheetId="8" hidden="1">TrAdES!$M$5</definedName>
    <definedName name="solver_opt" localSheetId="9" hidden="1">TrAdES2!$O$4</definedName>
    <definedName name="solver_opt" localSheetId="4" hidden="1">Trend!$J$30</definedName>
    <definedName name="solver_opt" localSheetId="5" hidden="1">TrendAdj!$G$31</definedName>
    <definedName name="solver_opt" localSheetId="6" hidden="1">TrendAndSeas!$I$31</definedName>
    <definedName name="solver_opt" localSheetId="7" hidden="1">'TrendAndSeas (2)'!$J$31</definedName>
    <definedName name="solver_pre" localSheetId="3" hidden="1">0.000001</definedName>
    <definedName name="solver_pre" localSheetId="2" hidden="1">0.000001</definedName>
    <definedName name="solver_pre" localSheetId="8" hidden="1">0.000001</definedName>
    <definedName name="solver_pre" localSheetId="9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rbv" localSheetId="3" hidden="1">2</definedName>
    <definedName name="solver_rbv" localSheetId="2" hidden="1">1</definedName>
    <definedName name="solver_rbv" localSheetId="8" hidden="1">1</definedName>
    <definedName name="solver_rbv" localSheetId="9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8" hidden="1">1</definedName>
    <definedName name="solver_rel1" localSheetId="9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2" localSheetId="8" hidden="1">3</definedName>
    <definedName name="solver_rel2" localSheetId="9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3" localSheetId="5" hidden="1">1</definedName>
    <definedName name="solver_rel3" localSheetId="6" hidden="1">1</definedName>
    <definedName name="solver_rel3" localSheetId="7" hidden="1">1</definedName>
    <definedName name="solver_rel4" localSheetId="5" hidden="1">3</definedName>
    <definedName name="solver_rel4" localSheetId="6" hidden="1">3</definedName>
    <definedName name="solver_rel4" localSheetId="7" hidden="1">3</definedName>
    <definedName name="solver_rel5" localSheetId="6" hidden="1">1</definedName>
    <definedName name="solver_rel5" localSheetId="7" hidden="1">1</definedName>
    <definedName name="solver_rel6" localSheetId="6" hidden="1">3</definedName>
    <definedName name="solver_rel6" localSheetId="7" hidden="1">3</definedName>
    <definedName name="solver_rhs1" localSheetId="8" hidden="1">1</definedName>
    <definedName name="solver_rhs1" localSheetId="9" hidden="1">1</definedName>
    <definedName name="solver_rhs1" localSheetId="5" hidden="1">1</definedName>
    <definedName name="solver_rhs1" localSheetId="6" hidden="1">1</definedName>
    <definedName name="solver_rhs1" localSheetId="7" hidden="1">1</definedName>
    <definedName name="solver_rhs2" localSheetId="8" hidden="1">0</definedName>
    <definedName name="solver_rhs2" localSheetId="9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3" localSheetId="5" hidden="1">1</definedName>
    <definedName name="solver_rhs3" localSheetId="6" hidden="1">1</definedName>
    <definedName name="solver_rhs3" localSheetId="7" hidden="1">1</definedName>
    <definedName name="solver_rhs4" localSheetId="5" hidden="1">0</definedName>
    <definedName name="solver_rhs4" localSheetId="6" hidden="1">0</definedName>
    <definedName name="solver_rhs4" localSheetId="7" hidden="1">0</definedName>
    <definedName name="solver_rhs5" localSheetId="6" hidden="1">1</definedName>
    <definedName name="solver_rhs5" localSheetId="7" hidden="1">1</definedName>
    <definedName name="solver_rhs6" localSheetId="6" hidden="1">0</definedName>
    <definedName name="solver_rhs6" localSheetId="7" hidden="1">0</definedName>
    <definedName name="solver_rlx" localSheetId="3" hidden="1">2</definedName>
    <definedName name="solver_rlx" localSheetId="2" hidden="1">2</definedName>
    <definedName name="solver_rlx" localSheetId="8" hidden="1">2</definedName>
    <definedName name="solver_rlx" localSheetId="9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3" hidden="1">0</definedName>
    <definedName name="solver_rsd" localSheetId="2" hidden="1">0</definedName>
    <definedName name="solver_rsd" localSheetId="8" hidden="1">0</definedName>
    <definedName name="solver_rsd" localSheetId="9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3" hidden="1">2</definedName>
    <definedName name="solver_scl" localSheetId="2" hidden="1">1</definedName>
    <definedName name="solver_scl" localSheetId="8" hidden="1">1</definedName>
    <definedName name="solver_scl" localSheetId="9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3" hidden="1">2</definedName>
    <definedName name="solver_sho" localSheetId="2" hidden="1">2</definedName>
    <definedName name="solver_sho" localSheetId="8" hidden="1">2</definedName>
    <definedName name="solver_sho" localSheetId="9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3" hidden="1">100</definedName>
    <definedName name="solver_ssz" localSheetId="2" hidden="1">100</definedName>
    <definedName name="solver_ssz" localSheetId="8" hidden="1">100</definedName>
    <definedName name="solver_ssz" localSheetId="9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3" hidden="1">2147483647</definedName>
    <definedName name="solver_tim" localSheetId="2" hidden="1">2147483647</definedName>
    <definedName name="solver_tim" localSheetId="8" hidden="1">2147483647</definedName>
    <definedName name="solver_tim" localSheetId="9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3" hidden="1">0.01</definedName>
    <definedName name="solver_tol" localSheetId="2" hidden="1">0.01</definedName>
    <definedName name="solver_tol" localSheetId="8" hidden="1">0.01</definedName>
    <definedName name="solver_tol" localSheetId="9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3" hidden="1">2</definedName>
    <definedName name="solver_typ" localSheetId="1" hidden="1">2</definedName>
    <definedName name="solver_typ" localSheetId="0" hidden="1">2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15" hidden="1">2</definedName>
    <definedName name="solver_typ" localSheetId="16" hidden="1">2</definedName>
    <definedName name="solver_typ" localSheetId="17" hidden="1">2</definedName>
    <definedName name="solver_typ" localSheetId="2" hidden="1">2</definedName>
    <definedName name="solver_typ" localSheetId="8" hidden="1">2</definedName>
    <definedName name="solver_typ" localSheetId="9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3" hidden="1">0</definedName>
    <definedName name="solver_val" localSheetId="2" hidden="1">0</definedName>
    <definedName name="solver_val" localSheetId="8" hidden="1">0</definedName>
    <definedName name="solver_val" localSheetId="9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3" hidden="1">3</definedName>
    <definedName name="solver_ver" localSheetId="1" hidden="1">17</definedName>
    <definedName name="solver_ver" localSheetId="0" hidden="1">17</definedName>
    <definedName name="solver_ver" localSheetId="11" hidden="1">17</definedName>
    <definedName name="solver_ver" localSheetId="12" hidden="1">17</definedName>
    <definedName name="solver_ver" localSheetId="13" hidden="1">17</definedName>
    <definedName name="solver_ver" localSheetId="14" hidden="1">17</definedName>
    <definedName name="solver_ver" localSheetId="15" hidden="1">17</definedName>
    <definedName name="solver_ver" localSheetId="16" hidden="1">17</definedName>
    <definedName name="solver_ver" localSheetId="17" hidden="1">17</definedName>
    <definedName name="solver_ver" localSheetId="2" hidden="1">3</definedName>
    <definedName name="solver_ver" localSheetId="8" hidden="1">3</definedName>
    <definedName name="solver_ver" localSheetId="9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5" l="1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4" i="35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4" i="34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4" i="32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" i="3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N1" i="14" l="1"/>
  <c r="T7" i="24" l="1"/>
  <c r="T5" i="24"/>
  <c r="T4" i="24"/>
  <c r="T3" i="24"/>
  <c r="T2" i="24"/>
  <c r="O2" i="38"/>
  <c r="P2" i="38"/>
  <c r="Q2" i="38"/>
  <c r="O3" i="38"/>
  <c r="O9" i="38" s="1"/>
  <c r="P3" i="38"/>
  <c r="P9" i="38" s="1"/>
  <c r="Q3" i="38"/>
  <c r="Q9" i="38" s="1"/>
  <c r="O4" i="38"/>
  <c r="P4" i="38"/>
  <c r="Q4" i="38"/>
  <c r="O5" i="38"/>
  <c r="P5" i="38"/>
  <c r="Q5" i="38"/>
  <c r="Q6" i="38"/>
  <c r="Q10" i="38" s="1"/>
  <c r="O7" i="38"/>
  <c r="O8" i="38" s="1"/>
  <c r="P7" i="38"/>
  <c r="Q7" i="38"/>
  <c r="Q8" i="38" s="1"/>
  <c r="N7" i="38"/>
  <c r="N5" i="38"/>
  <c r="N4" i="38"/>
  <c r="N3" i="38"/>
  <c r="N2" i="38"/>
  <c r="O2" i="44"/>
  <c r="P2" i="44"/>
  <c r="Q2" i="44"/>
  <c r="R2" i="44"/>
  <c r="O3" i="44"/>
  <c r="P3" i="44"/>
  <c r="Q3" i="44"/>
  <c r="R3" i="44"/>
  <c r="R9" i="44" s="1"/>
  <c r="AO3" i="44"/>
  <c r="AQ3" i="44"/>
  <c r="AT3" i="44"/>
  <c r="BB3" i="44"/>
  <c r="O4" i="44"/>
  <c r="P4" i="44"/>
  <c r="Q4" i="44"/>
  <c r="Q6" i="44" s="1"/>
  <c r="Q10" i="44" s="1"/>
  <c r="R4" i="44"/>
  <c r="R6" i="44" s="1"/>
  <c r="R10" i="44" s="1"/>
  <c r="AO4" i="44"/>
  <c r="AQ4" i="44"/>
  <c r="AT4" i="44"/>
  <c r="BB4" i="44"/>
  <c r="O5" i="44"/>
  <c r="P5" i="44"/>
  <c r="Q5" i="44"/>
  <c r="R5" i="44"/>
  <c r="AO5" i="44"/>
  <c r="AQ5" i="44"/>
  <c r="AT5" i="44"/>
  <c r="BB5" i="44"/>
  <c r="O6" i="44"/>
  <c r="Y2" i="44" s="1"/>
  <c r="Y3" i="44" s="1"/>
  <c r="P6" i="44"/>
  <c r="P10" i="44" s="1"/>
  <c r="AO6" i="44"/>
  <c r="AQ6" i="44"/>
  <c r="AT6" i="44"/>
  <c r="BB6" i="44"/>
  <c r="O7" i="44"/>
  <c r="O8" i="44" s="1"/>
  <c r="P7" i="44"/>
  <c r="P8" i="44" s="1"/>
  <c r="Q7" i="44"/>
  <c r="R7" i="44"/>
  <c r="R8" i="44" s="1"/>
  <c r="AO7" i="44"/>
  <c r="AR7" i="44"/>
  <c r="AQ7" i="44" s="1"/>
  <c r="AT7" i="44"/>
  <c r="AX7" i="44"/>
  <c r="BB7" i="44"/>
  <c r="Q8" i="44"/>
  <c r="AO8" i="44"/>
  <c r="AR8" i="44"/>
  <c r="AQ8" i="44" s="1"/>
  <c r="AT8" i="44"/>
  <c r="AX8" i="44"/>
  <c r="BB8" i="44"/>
  <c r="O9" i="44"/>
  <c r="P9" i="44"/>
  <c r="Q9" i="44"/>
  <c r="AO9" i="44"/>
  <c r="AQ9" i="44"/>
  <c r="AR9" i="44"/>
  <c r="AT9" i="44"/>
  <c r="AX9" i="44"/>
  <c r="BB9" i="44"/>
  <c r="O10" i="44"/>
  <c r="AO10" i="44"/>
  <c r="AQ10" i="44"/>
  <c r="AR10" i="44"/>
  <c r="AT10" i="44"/>
  <c r="AX10" i="44"/>
  <c r="AX14" i="44" s="1"/>
  <c r="BB10" i="44"/>
  <c r="AO11" i="44"/>
  <c r="AR11" i="44"/>
  <c r="AQ11" i="44" s="1"/>
  <c r="AT11" i="44"/>
  <c r="AX11" i="44"/>
  <c r="BB11" i="44"/>
  <c r="AO12" i="44"/>
  <c r="AR12" i="44"/>
  <c r="AQ12" i="44" s="1"/>
  <c r="AT12" i="44"/>
  <c r="AX12" i="44"/>
  <c r="BB12" i="44"/>
  <c r="AO13" i="44"/>
  <c r="AQ13" i="44"/>
  <c r="AR13" i="44"/>
  <c r="AT13" i="44"/>
  <c r="AX13" i="44"/>
  <c r="BB13" i="44"/>
  <c r="AO14" i="44"/>
  <c r="AR14" i="44"/>
  <c r="AQ14" i="44" s="1"/>
  <c r="AT14" i="44"/>
  <c r="BB14" i="44"/>
  <c r="AO15" i="44"/>
  <c r="AQ15" i="44"/>
  <c r="AR15" i="44"/>
  <c r="AT15" i="44"/>
  <c r="AX15" i="44"/>
  <c r="BB15" i="44"/>
  <c r="AO16" i="44"/>
  <c r="AR16" i="44"/>
  <c r="AQ16" i="44" s="1"/>
  <c r="AT16" i="44"/>
  <c r="AX16" i="44"/>
  <c r="BB16" i="44"/>
  <c r="AO17" i="44"/>
  <c r="AQ17" i="44"/>
  <c r="AR17" i="44"/>
  <c r="AT17" i="44"/>
  <c r="BB17" i="44"/>
  <c r="AO18" i="44"/>
  <c r="AR18" i="44"/>
  <c r="AQ18" i="44" s="1"/>
  <c r="AT18" i="44"/>
  <c r="BB18" i="44"/>
  <c r="AO19" i="44"/>
  <c r="AQ19" i="44"/>
  <c r="AR19" i="44"/>
  <c r="AT19" i="44"/>
  <c r="AX19" i="44"/>
  <c r="BB19" i="44"/>
  <c r="AO20" i="44"/>
  <c r="AR20" i="44"/>
  <c r="AQ20" i="44" s="1"/>
  <c r="AT20" i="44"/>
  <c r="AX20" i="44"/>
  <c r="BB20" i="44"/>
  <c r="AO21" i="44"/>
  <c r="AQ21" i="44"/>
  <c r="AR21" i="44"/>
  <c r="AT21" i="44"/>
  <c r="BB21" i="44"/>
  <c r="AO22" i="44"/>
  <c r="AR22" i="44"/>
  <c r="AQ22" i="44" s="1"/>
  <c r="AT22" i="44"/>
  <c r="BB22" i="44"/>
  <c r="AO23" i="44"/>
  <c r="AQ23" i="44"/>
  <c r="AR23" i="44"/>
  <c r="AT23" i="44"/>
  <c r="AX23" i="44"/>
  <c r="BB23" i="44"/>
  <c r="AO24" i="44"/>
  <c r="AR24" i="44"/>
  <c r="AQ24" i="44" s="1"/>
  <c r="AT24" i="44"/>
  <c r="AX24" i="44"/>
  <c r="BB24" i="44"/>
  <c r="AO25" i="44"/>
  <c r="AQ25" i="44"/>
  <c r="AR25" i="44"/>
  <c r="AT25" i="44"/>
  <c r="BB25" i="44"/>
  <c r="AO26" i="44"/>
  <c r="AR26" i="44"/>
  <c r="AQ26" i="44" s="1"/>
  <c r="AT26" i="44"/>
  <c r="BB26" i="44"/>
  <c r="AO27" i="44"/>
  <c r="AQ27" i="44"/>
  <c r="AR27" i="44"/>
  <c r="AT27" i="44"/>
  <c r="AX27" i="44"/>
  <c r="BB27" i="44"/>
  <c r="AO28" i="44"/>
  <c r="AR28" i="44"/>
  <c r="AQ28" i="44" s="1"/>
  <c r="AT28" i="44"/>
  <c r="AX28" i="44"/>
  <c r="BB28" i="44"/>
  <c r="AO29" i="44"/>
  <c r="AQ29" i="44"/>
  <c r="AR29" i="44"/>
  <c r="AT29" i="44"/>
  <c r="BB29" i="44"/>
  <c r="AO30" i="44"/>
  <c r="AR30" i="44"/>
  <c r="AQ30" i="44" s="1"/>
  <c r="AT30" i="44"/>
  <c r="BB30" i="44"/>
  <c r="B88" i="44"/>
  <c r="C88" i="44"/>
  <c r="D88" i="44"/>
  <c r="E88" i="44"/>
  <c r="A98" i="44"/>
  <c r="B98" i="44"/>
  <c r="C98" i="44"/>
  <c r="D98" i="44"/>
  <c r="E98" i="44"/>
  <c r="A99" i="44"/>
  <c r="B99" i="44"/>
  <c r="C99" i="44"/>
  <c r="D99" i="44"/>
  <c r="E99" i="44"/>
  <c r="A100" i="44"/>
  <c r="B100" i="44"/>
  <c r="C100" i="44"/>
  <c r="D100" i="44"/>
  <c r="E100" i="44"/>
  <c r="A101" i="44"/>
  <c r="B101" i="44"/>
  <c r="C101" i="44"/>
  <c r="D101" i="44"/>
  <c r="E101" i="44"/>
  <c r="A102" i="44"/>
  <c r="B102" i="44"/>
  <c r="C102" i="44"/>
  <c r="D102" i="44"/>
  <c r="E102" i="44"/>
  <c r="A103" i="44"/>
  <c r="B103" i="44"/>
  <c r="C103" i="44"/>
  <c r="D103" i="44"/>
  <c r="E103" i="44"/>
  <c r="A104" i="44"/>
  <c r="B104" i="44"/>
  <c r="C104" i="44"/>
  <c r="D104" i="44"/>
  <c r="E104" i="44"/>
  <c r="A105" i="44"/>
  <c r="B105" i="44"/>
  <c r="C105" i="44"/>
  <c r="D105" i="44"/>
  <c r="E105" i="44"/>
  <c r="A106" i="44"/>
  <c r="B106" i="44"/>
  <c r="C106" i="44"/>
  <c r="D106" i="44"/>
  <c r="E106" i="44"/>
  <c r="A107" i="44"/>
  <c r="B107" i="44"/>
  <c r="C107" i="44"/>
  <c r="D107" i="44"/>
  <c r="E107" i="44"/>
  <c r="A108" i="44"/>
  <c r="B108" i="44"/>
  <c r="C108" i="44"/>
  <c r="D108" i="44"/>
  <c r="E108" i="44"/>
  <c r="A109" i="44"/>
  <c r="B109" i="44"/>
  <c r="C109" i="44"/>
  <c r="D109" i="44"/>
  <c r="E109" i="44"/>
  <c r="A110" i="44"/>
  <c r="B110" i="44"/>
  <c r="C110" i="44"/>
  <c r="D110" i="44"/>
  <c r="E110" i="44"/>
  <c r="A111" i="44"/>
  <c r="B111" i="44"/>
  <c r="C111" i="44"/>
  <c r="D111" i="44"/>
  <c r="E111" i="44"/>
  <c r="A112" i="44"/>
  <c r="B112" i="44"/>
  <c r="C112" i="44"/>
  <c r="D112" i="44"/>
  <c r="E112" i="44"/>
  <c r="A113" i="44"/>
  <c r="B113" i="44"/>
  <c r="C113" i="44"/>
  <c r="D113" i="44"/>
  <c r="E113" i="44"/>
  <c r="A114" i="44"/>
  <c r="B114" i="44"/>
  <c r="C114" i="44"/>
  <c r="D114" i="44"/>
  <c r="E114" i="44"/>
  <c r="A115" i="44"/>
  <c r="B115" i="44"/>
  <c r="C115" i="44"/>
  <c r="D115" i="44"/>
  <c r="E115" i="44"/>
  <c r="A116" i="44"/>
  <c r="B116" i="44"/>
  <c r="C116" i="44"/>
  <c r="D116" i="44"/>
  <c r="E116" i="44"/>
  <c r="A117" i="44"/>
  <c r="B117" i="44"/>
  <c r="C117" i="44"/>
  <c r="D117" i="44"/>
  <c r="E117" i="44"/>
  <c r="A118" i="44"/>
  <c r="B118" i="44"/>
  <c r="C118" i="44"/>
  <c r="D118" i="44"/>
  <c r="E118" i="44"/>
  <c r="A119" i="44"/>
  <c r="B119" i="44"/>
  <c r="C119" i="44"/>
  <c r="D119" i="44"/>
  <c r="E119" i="44"/>
  <c r="A120" i="44"/>
  <c r="B120" i="44"/>
  <c r="C120" i="44"/>
  <c r="D120" i="44"/>
  <c r="E120" i="44"/>
  <c r="A121" i="44"/>
  <c r="B121" i="44"/>
  <c r="C121" i="44"/>
  <c r="D121" i="44"/>
  <c r="E121" i="44"/>
  <c r="A122" i="44"/>
  <c r="B122" i="44"/>
  <c r="C122" i="44"/>
  <c r="D122" i="44"/>
  <c r="E122" i="44"/>
  <c r="A123" i="44"/>
  <c r="B123" i="44"/>
  <c r="C123" i="44"/>
  <c r="D123" i="44"/>
  <c r="E123" i="44"/>
  <c r="A124" i="44"/>
  <c r="B124" i="44"/>
  <c r="C124" i="44"/>
  <c r="D124" i="44"/>
  <c r="E124" i="44"/>
  <c r="A125" i="44"/>
  <c r="B125" i="44"/>
  <c r="C125" i="44"/>
  <c r="D125" i="44"/>
  <c r="E125" i="44"/>
  <c r="O2" i="43"/>
  <c r="O9" i="43" s="1"/>
  <c r="P2" i="43"/>
  <c r="Q2" i="43"/>
  <c r="R2" i="43"/>
  <c r="O3" i="43"/>
  <c r="P3" i="43"/>
  <c r="Q3" i="43"/>
  <c r="R3" i="43"/>
  <c r="AO3" i="43"/>
  <c r="AQ3" i="43"/>
  <c r="AT3" i="43"/>
  <c r="BB3" i="43"/>
  <c r="O4" i="43"/>
  <c r="P4" i="43"/>
  <c r="Q4" i="43"/>
  <c r="R4" i="43"/>
  <c r="R6" i="43" s="1"/>
  <c r="AO4" i="43"/>
  <c r="AQ4" i="43"/>
  <c r="AT4" i="43"/>
  <c r="BB4" i="43"/>
  <c r="O5" i="43"/>
  <c r="O6" i="43" s="1"/>
  <c r="P5" i="43"/>
  <c r="Q5" i="43"/>
  <c r="R5" i="43"/>
  <c r="AO5" i="43"/>
  <c r="AQ5" i="43"/>
  <c r="AT5" i="43"/>
  <c r="BB5" i="43"/>
  <c r="P6" i="43"/>
  <c r="P10" i="43" s="1"/>
  <c r="Q6" i="43"/>
  <c r="Q10" i="43" s="1"/>
  <c r="AO6" i="43"/>
  <c r="AQ6" i="43"/>
  <c r="AT6" i="43"/>
  <c r="BB6" i="43"/>
  <c r="O7" i="43"/>
  <c r="O8" i="43" s="1"/>
  <c r="P7" i="43"/>
  <c r="Q7" i="43"/>
  <c r="R7" i="43"/>
  <c r="R8" i="43" s="1"/>
  <c r="AO7" i="43"/>
  <c r="AR7" i="43"/>
  <c r="AQ7" i="43" s="1"/>
  <c r="AT7" i="43"/>
  <c r="AX7" i="43"/>
  <c r="BB7" i="43"/>
  <c r="P8" i="43"/>
  <c r="Q8" i="43"/>
  <c r="AO8" i="43"/>
  <c r="AR8" i="43"/>
  <c r="AQ8" i="43" s="1"/>
  <c r="AT8" i="43"/>
  <c r="AX8" i="43"/>
  <c r="BB8" i="43"/>
  <c r="P9" i="43"/>
  <c r="Q9" i="43"/>
  <c r="R9" i="43"/>
  <c r="AO9" i="43"/>
  <c r="AQ9" i="43"/>
  <c r="AR9" i="43"/>
  <c r="AT9" i="43"/>
  <c r="AX9" i="43"/>
  <c r="BB9" i="43"/>
  <c r="R10" i="43"/>
  <c r="AO10" i="43"/>
  <c r="AR10" i="43"/>
  <c r="AQ10" i="43" s="1"/>
  <c r="AT10" i="43"/>
  <c r="AX10" i="43"/>
  <c r="AX14" i="43" s="1"/>
  <c r="BB10" i="43"/>
  <c r="AO11" i="43"/>
  <c r="AR11" i="43"/>
  <c r="AQ11" i="43" s="1"/>
  <c r="AT11" i="43"/>
  <c r="AX11" i="43"/>
  <c r="BB11" i="43"/>
  <c r="AO12" i="43"/>
  <c r="AR12" i="43"/>
  <c r="AQ12" i="43" s="1"/>
  <c r="AT12" i="43"/>
  <c r="AX12" i="43"/>
  <c r="BB12" i="43"/>
  <c r="AO13" i="43"/>
  <c r="AQ13" i="43"/>
  <c r="AR13" i="43"/>
  <c r="AT13" i="43"/>
  <c r="AX13" i="43"/>
  <c r="BB13" i="43"/>
  <c r="AO14" i="43"/>
  <c r="AR14" i="43"/>
  <c r="AT14" i="43"/>
  <c r="BB14" i="43"/>
  <c r="AO15" i="43"/>
  <c r="AT15" i="43"/>
  <c r="AX15" i="43"/>
  <c r="BB15" i="43"/>
  <c r="AO16" i="43"/>
  <c r="AR16" i="43"/>
  <c r="AQ16" i="43" s="1"/>
  <c r="AT16" i="43"/>
  <c r="BB16" i="43"/>
  <c r="AO17" i="43"/>
  <c r="AQ17" i="43"/>
  <c r="AR17" i="43"/>
  <c r="AT17" i="43"/>
  <c r="AX17" i="43"/>
  <c r="BB17" i="43"/>
  <c r="AO18" i="43"/>
  <c r="AT18" i="43"/>
  <c r="BB18" i="43"/>
  <c r="AO19" i="43"/>
  <c r="AT19" i="43"/>
  <c r="BB19" i="43"/>
  <c r="AO20" i="43"/>
  <c r="AQ20" i="43"/>
  <c r="AR20" i="43"/>
  <c r="AT20" i="43"/>
  <c r="BB20" i="43"/>
  <c r="AO21" i="43"/>
  <c r="AQ21" i="43"/>
  <c r="AR21" i="43"/>
  <c r="AT21" i="43"/>
  <c r="AX21" i="43"/>
  <c r="AX25" i="43" s="1"/>
  <c r="BB21" i="43"/>
  <c r="AO22" i="43"/>
  <c r="AT22" i="43"/>
  <c r="BB22" i="43"/>
  <c r="AO23" i="43"/>
  <c r="AT23" i="43"/>
  <c r="BB23" i="43"/>
  <c r="AO24" i="43"/>
  <c r="AQ24" i="43"/>
  <c r="AR24" i="43"/>
  <c r="AT24" i="43"/>
  <c r="BB24" i="43"/>
  <c r="AO25" i="43"/>
  <c r="AQ25" i="43"/>
  <c r="AR25" i="43"/>
  <c r="AT25" i="43"/>
  <c r="BB25" i="43"/>
  <c r="AO26" i="43"/>
  <c r="AT26" i="43"/>
  <c r="BB26" i="43"/>
  <c r="AO27" i="43"/>
  <c r="AT27" i="43"/>
  <c r="BB27" i="43"/>
  <c r="AO28" i="43"/>
  <c r="AQ28" i="43"/>
  <c r="AR28" i="43"/>
  <c r="AT28" i="43"/>
  <c r="BB28" i="43"/>
  <c r="AO29" i="43"/>
  <c r="AQ29" i="43"/>
  <c r="AR29" i="43"/>
  <c r="AT29" i="43"/>
  <c r="BB29" i="43"/>
  <c r="AO30" i="43"/>
  <c r="AT30" i="43"/>
  <c r="BB30" i="43"/>
  <c r="B88" i="43"/>
  <c r="C88" i="43"/>
  <c r="D88" i="43"/>
  <c r="E88" i="43"/>
  <c r="A98" i="43"/>
  <c r="B98" i="43"/>
  <c r="C98" i="43"/>
  <c r="D98" i="43"/>
  <c r="E98" i="43"/>
  <c r="A99" i="43"/>
  <c r="B99" i="43"/>
  <c r="C99" i="43"/>
  <c r="D99" i="43"/>
  <c r="E99" i="43"/>
  <c r="A100" i="43"/>
  <c r="B100" i="43"/>
  <c r="C100" i="43"/>
  <c r="D100" i="43"/>
  <c r="E100" i="43"/>
  <c r="A101" i="43"/>
  <c r="B101" i="43"/>
  <c r="C101" i="43"/>
  <c r="D101" i="43"/>
  <c r="E101" i="43"/>
  <c r="A102" i="43"/>
  <c r="B102" i="43"/>
  <c r="C102" i="43"/>
  <c r="D102" i="43"/>
  <c r="E102" i="43"/>
  <c r="A103" i="43"/>
  <c r="B103" i="43"/>
  <c r="C103" i="43"/>
  <c r="D103" i="43"/>
  <c r="E103" i="43"/>
  <c r="A104" i="43"/>
  <c r="B104" i="43"/>
  <c r="C104" i="43"/>
  <c r="D104" i="43"/>
  <c r="E104" i="43"/>
  <c r="A105" i="43"/>
  <c r="B105" i="43"/>
  <c r="C105" i="43"/>
  <c r="D105" i="43"/>
  <c r="E105" i="43"/>
  <c r="A106" i="43"/>
  <c r="B106" i="43"/>
  <c r="C106" i="43"/>
  <c r="D106" i="43"/>
  <c r="E106" i="43"/>
  <c r="A107" i="43"/>
  <c r="B107" i="43"/>
  <c r="C107" i="43"/>
  <c r="D107" i="43"/>
  <c r="E107" i="43"/>
  <c r="A108" i="43"/>
  <c r="B108" i="43"/>
  <c r="C108" i="43"/>
  <c r="D108" i="43"/>
  <c r="E108" i="43"/>
  <c r="A109" i="43"/>
  <c r="B109" i="43"/>
  <c r="C109" i="43"/>
  <c r="D109" i="43"/>
  <c r="E109" i="43"/>
  <c r="A110" i="43"/>
  <c r="B110" i="43"/>
  <c r="C110" i="43"/>
  <c r="D110" i="43"/>
  <c r="E110" i="43"/>
  <c r="A111" i="43"/>
  <c r="B111" i="43"/>
  <c r="C111" i="43"/>
  <c r="D111" i="43"/>
  <c r="E111" i="43"/>
  <c r="A112" i="43"/>
  <c r="B112" i="43"/>
  <c r="C112" i="43"/>
  <c r="D112" i="43"/>
  <c r="E112" i="43"/>
  <c r="A113" i="43"/>
  <c r="B113" i="43"/>
  <c r="C113" i="43"/>
  <c r="D113" i="43"/>
  <c r="E113" i="43"/>
  <c r="A114" i="43"/>
  <c r="B114" i="43"/>
  <c r="C114" i="43"/>
  <c r="D114" i="43"/>
  <c r="E114" i="43"/>
  <c r="A115" i="43"/>
  <c r="B115" i="43"/>
  <c r="C115" i="43"/>
  <c r="D115" i="43"/>
  <c r="E115" i="43"/>
  <c r="A116" i="43"/>
  <c r="B116" i="43"/>
  <c r="C116" i="43"/>
  <c r="D116" i="43"/>
  <c r="E116" i="43"/>
  <c r="A117" i="43"/>
  <c r="B117" i="43"/>
  <c r="C117" i="43"/>
  <c r="D117" i="43"/>
  <c r="E117" i="43"/>
  <c r="A118" i="43"/>
  <c r="B118" i="43"/>
  <c r="C118" i="43"/>
  <c r="D118" i="43"/>
  <c r="E118" i="43"/>
  <c r="A119" i="43"/>
  <c r="B119" i="43"/>
  <c r="C119" i="43"/>
  <c r="D119" i="43"/>
  <c r="E119" i="43"/>
  <c r="A120" i="43"/>
  <c r="B120" i="43"/>
  <c r="C120" i="43"/>
  <c r="D120" i="43"/>
  <c r="E120" i="43"/>
  <c r="A121" i="43"/>
  <c r="B121" i="43"/>
  <c r="C121" i="43"/>
  <c r="D121" i="43"/>
  <c r="E121" i="43"/>
  <c r="A122" i="43"/>
  <c r="B122" i="43"/>
  <c r="C122" i="43"/>
  <c r="D122" i="43"/>
  <c r="E122" i="43"/>
  <c r="A123" i="43"/>
  <c r="B123" i="43"/>
  <c r="C123" i="43"/>
  <c r="D123" i="43"/>
  <c r="E123" i="43"/>
  <c r="A124" i="43"/>
  <c r="B124" i="43"/>
  <c r="C124" i="43"/>
  <c r="D124" i="43"/>
  <c r="E124" i="43"/>
  <c r="A125" i="43"/>
  <c r="B125" i="43"/>
  <c r="C125" i="43"/>
  <c r="D125" i="43"/>
  <c r="E125" i="43"/>
  <c r="O2" i="42"/>
  <c r="P2" i="42"/>
  <c r="P9" i="42" s="1"/>
  <c r="Q2" i="42"/>
  <c r="R2" i="42"/>
  <c r="O3" i="42"/>
  <c r="P3" i="42"/>
  <c r="Q3" i="42"/>
  <c r="R3" i="42"/>
  <c r="Y3" i="42"/>
  <c r="AO3" i="42"/>
  <c r="AQ3" i="42"/>
  <c r="AT3" i="42"/>
  <c r="BB3" i="42"/>
  <c r="O4" i="42"/>
  <c r="P4" i="42"/>
  <c r="Q4" i="42"/>
  <c r="R4" i="42"/>
  <c r="AO4" i="42"/>
  <c r="AQ4" i="42"/>
  <c r="AT4" i="42"/>
  <c r="BB4" i="42"/>
  <c r="O5" i="42"/>
  <c r="O6" i="42" s="1"/>
  <c r="Y2" i="42" s="1"/>
  <c r="P5" i="42"/>
  <c r="P6" i="42" s="1"/>
  <c r="Q5" i="42"/>
  <c r="R5" i="42"/>
  <c r="AO5" i="42"/>
  <c r="AQ5" i="42"/>
  <c r="AT5" i="42"/>
  <c r="BB5" i="42"/>
  <c r="Q6" i="42"/>
  <c r="Q10" i="42" s="1"/>
  <c r="R6" i="42"/>
  <c r="R10" i="42" s="1"/>
  <c r="AO6" i="42"/>
  <c r="AQ6" i="42"/>
  <c r="AT6" i="42"/>
  <c r="BB6" i="42"/>
  <c r="O7" i="42"/>
  <c r="P7" i="42"/>
  <c r="Q7" i="42"/>
  <c r="R7" i="42"/>
  <c r="R8" i="42" s="1"/>
  <c r="AO7" i="42"/>
  <c r="AQ7" i="42"/>
  <c r="AR7" i="42"/>
  <c r="AT7" i="42"/>
  <c r="AX7" i="42"/>
  <c r="BB7" i="42"/>
  <c r="Q8" i="42"/>
  <c r="AO8" i="42"/>
  <c r="AQ8" i="42"/>
  <c r="AR8" i="42"/>
  <c r="AT8" i="42"/>
  <c r="AX8" i="42"/>
  <c r="BB8" i="42"/>
  <c r="Q9" i="42"/>
  <c r="R9" i="42"/>
  <c r="AO9" i="42"/>
  <c r="AR9" i="42"/>
  <c r="AQ9" i="42" s="1"/>
  <c r="AT9" i="42"/>
  <c r="AX9" i="42"/>
  <c r="BB9" i="42"/>
  <c r="AO10" i="42"/>
  <c r="AR10" i="42"/>
  <c r="AT10" i="42"/>
  <c r="AX10" i="42"/>
  <c r="BB10" i="42"/>
  <c r="AO11" i="42"/>
  <c r="AQ11" i="42"/>
  <c r="AR11" i="42"/>
  <c r="AT11" i="42"/>
  <c r="BB11" i="42"/>
  <c r="AO12" i="42"/>
  <c r="AQ12" i="42"/>
  <c r="AR12" i="42"/>
  <c r="AT12" i="42"/>
  <c r="BB12" i="42"/>
  <c r="AO13" i="42"/>
  <c r="AQ13" i="42"/>
  <c r="AR13" i="42"/>
  <c r="AR17" i="42" s="1"/>
  <c r="AT13" i="42"/>
  <c r="AX13" i="42"/>
  <c r="BB13" i="42"/>
  <c r="AO14" i="42"/>
  <c r="AT14" i="42"/>
  <c r="AX14" i="42"/>
  <c r="BB14" i="42"/>
  <c r="AO15" i="42"/>
  <c r="AQ15" i="42"/>
  <c r="AR15" i="42"/>
  <c r="AT15" i="42"/>
  <c r="BB15" i="42"/>
  <c r="AO16" i="42"/>
  <c r="AQ16" i="42"/>
  <c r="AR16" i="42"/>
  <c r="AT16" i="42"/>
  <c r="BB16" i="42"/>
  <c r="AO17" i="42"/>
  <c r="AT17" i="42"/>
  <c r="AX17" i="42"/>
  <c r="BB17" i="42"/>
  <c r="AO18" i="42"/>
  <c r="AT18" i="42"/>
  <c r="AX18" i="42"/>
  <c r="BB18" i="42"/>
  <c r="AO19" i="42"/>
  <c r="AQ19" i="42"/>
  <c r="AR19" i="42"/>
  <c r="AT19" i="42"/>
  <c r="BB19" i="42"/>
  <c r="AO20" i="42"/>
  <c r="AQ20" i="42"/>
  <c r="AR20" i="42"/>
  <c r="AT20" i="42"/>
  <c r="BB20" i="42"/>
  <c r="AO21" i="42"/>
  <c r="AT21" i="42"/>
  <c r="AX21" i="42"/>
  <c r="BB21" i="42"/>
  <c r="AO22" i="42"/>
  <c r="AT22" i="42"/>
  <c r="AX22" i="42"/>
  <c r="BB22" i="42"/>
  <c r="AO23" i="42"/>
  <c r="AQ23" i="42"/>
  <c r="AR23" i="42"/>
  <c r="AT23" i="42"/>
  <c r="BB23" i="42"/>
  <c r="AO24" i="42"/>
  <c r="AQ24" i="42"/>
  <c r="AR24" i="42"/>
  <c r="AT24" i="42"/>
  <c r="BB24" i="42"/>
  <c r="AO25" i="42"/>
  <c r="AT25" i="42"/>
  <c r="AX25" i="42"/>
  <c r="AX29" i="42" s="1"/>
  <c r="BB25" i="42"/>
  <c r="AO26" i="42"/>
  <c r="AT26" i="42"/>
  <c r="AX26" i="42"/>
  <c r="BB26" i="42"/>
  <c r="AO27" i="42"/>
  <c r="AQ27" i="42"/>
  <c r="AR27" i="42"/>
  <c r="AT27" i="42"/>
  <c r="BB27" i="42"/>
  <c r="AO28" i="42"/>
  <c r="AQ28" i="42"/>
  <c r="AR28" i="42"/>
  <c r="AT28" i="42"/>
  <c r="BB28" i="42"/>
  <c r="AO29" i="42"/>
  <c r="AT29" i="42"/>
  <c r="BB29" i="42"/>
  <c r="AO30" i="42"/>
  <c r="AT30" i="42"/>
  <c r="AX30" i="42"/>
  <c r="BB30" i="42"/>
  <c r="B88" i="42"/>
  <c r="C88" i="42"/>
  <c r="D88" i="42"/>
  <c r="E88" i="42"/>
  <c r="A98" i="42"/>
  <c r="B98" i="42"/>
  <c r="C98" i="42"/>
  <c r="D98" i="42"/>
  <c r="E98" i="42"/>
  <c r="A99" i="42"/>
  <c r="B99" i="42"/>
  <c r="C99" i="42"/>
  <c r="D99" i="42"/>
  <c r="E99" i="42"/>
  <c r="A100" i="42"/>
  <c r="B100" i="42"/>
  <c r="C100" i="42"/>
  <c r="D100" i="42"/>
  <c r="E100" i="42"/>
  <c r="A101" i="42"/>
  <c r="B101" i="42"/>
  <c r="C101" i="42"/>
  <c r="D101" i="42"/>
  <c r="E101" i="42"/>
  <c r="A102" i="42"/>
  <c r="B102" i="42"/>
  <c r="C102" i="42"/>
  <c r="D102" i="42"/>
  <c r="E102" i="42"/>
  <c r="A103" i="42"/>
  <c r="B103" i="42"/>
  <c r="C103" i="42"/>
  <c r="D103" i="42"/>
  <c r="E103" i="42"/>
  <c r="A104" i="42"/>
  <c r="B104" i="42"/>
  <c r="C104" i="42"/>
  <c r="D104" i="42"/>
  <c r="E104" i="42"/>
  <c r="A105" i="42"/>
  <c r="B105" i="42"/>
  <c r="C105" i="42"/>
  <c r="D105" i="42"/>
  <c r="E105" i="42"/>
  <c r="A106" i="42"/>
  <c r="B106" i="42"/>
  <c r="C106" i="42"/>
  <c r="D106" i="42"/>
  <c r="E106" i="42"/>
  <c r="A107" i="42"/>
  <c r="B107" i="42"/>
  <c r="C107" i="42"/>
  <c r="D107" i="42"/>
  <c r="E107" i="42"/>
  <c r="A108" i="42"/>
  <c r="B108" i="42"/>
  <c r="C108" i="42"/>
  <c r="D108" i="42"/>
  <c r="E108" i="42"/>
  <c r="A109" i="42"/>
  <c r="B109" i="42"/>
  <c r="C109" i="42"/>
  <c r="D109" i="42"/>
  <c r="E109" i="42"/>
  <c r="A110" i="42"/>
  <c r="B110" i="42"/>
  <c r="C110" i="42"/>
  <c r="D110" i="42"/>
  <c r="E110" i="42"/>
  <c r="A111" i="42"/>
  <c r="B111" i="42"/>
  <c r="C111" i="42"/>
  <c r="D111" i="42"/>
  <c r="E111" i="42"/>
  <c r="A112" i="42"/>
  <c r="B112" i="42"/>
  <c r="C112" i="42"/>
  <c r="D112" i="42"/>
  <c r="E112" i="42"/>
  <c r="A113" i="42"/>
  <c r="B113" i="42"/>
  <c r="C113" i="42"/>
  <c r="D113" i="42"/>
  <c r="E113" i="42"/>
  <c r="A114" i="42"/>
  <c r="B114" i="42"/>
  <c r="C114" i="42"/>
  <c r="D114" i="42"/>
  <c r="E114" i="42"/>
  <c r="A115" i="42"/>
  <c r="B115" i="42"/>
  <c r="C115" i="42"/>
  <c r="D115" i="42"/>
  <c r="E115" i="42"/>
  <c r="A116" i="42"/>
  <c r="B116" i="42"/>
  <c r="C116" i="42"/>
  <c r="D116" i="42"/>
  <c r="E116" i="42"/>
  <c r="A117" i="42"/>
  <c r="B117" i="42"/>
  <c r="C117" i="42"/>
  <c r="D117" i="42"/>
  <c r="E117" i="42"/>
  <c r="A118" i="42"/>
  <c r="B118" i="42"/>
  <c r="C118" i="42"/>
  <c r="D118" i="42"/>
  <c r="E118" i="42"/>
  <c r="A119" i="42"/>
  <c r="B119" i="42"/>
  <c r="C119" i="42"/>
  <c r="D119" i="42"/>
  <c r="E119" i="42"/>
  <c r="A120" i="42"/>
  <c r="B120" i="42"/>
  <c r="C120" i="42"/>
  <c r="D120" i="42"/>
  <c r="E120" i="42"/>
  <c r="A121" i="42"/>
  <c r="B121" i="42"/>
  <c r="C121" i="42"/>
  <c r="D121" i="42"/>
  <c r="E121" i="42"/>
  <c r="A122" i="42"/>
  <c r="B122" i="42"/>
  <c r="C122" i="42"/>
  <c r="D122" i="42"/>
  <c r="E122" i="42"/>
  <c r="A123" i="42"/>
  <c r="B123" i="42"/>
  <c r="C123" i="42"/>
  <c r="D123" i="42"/>
  <c r="E123" i="42"/>
  <c r="A124" i="42"/>
  <c r="B124" i="42"/>
  <c r="C124" i="42"/>
  <c r="D124" i="42"/>
  <c r="E124" i="42"/>
  <c r="A125" i="42"/>
  <c r="B125" i="42"/>
  <c r="C125" i="42"/>
  <c r="D125" i="42"/>
  <c r="E125" i="42"/>
  <c r="O2" i="41"/>
  <c r="P2" i="41"/>
  <c r="Q2" i="41"/>
  <c r="Q9" i="41" s="1"/>
  <c r="R2" i="41"/>
  <c r="O3" i="41"/>
  <c r="P3" i="41"/>
  <c r="Q3" i="41"/>
  <c r="R3" i="41"/>
  <c r="AO3" i="41"/>
  <c r="AQ3" i="41"/>
  <c r="AT3" i="41"/>
  <c r="BB3" i="41"/>
  <c r="O4" i="41"/>
  <c r="P4" i="41"/>
  <c r="Q4" i="41"/>
  <c r="R4" i="41"/>
  <c r="AO4" i="41"/>
  <c r="AQ4" i="41"/>
  <c r="AT4" i="41"/>
  <c r="BB4" i="41"/>
  <c r="O5" i="41"/>
  <c r="P5" i="41"/>
  <c r="P6" i="41" s="1"/>
  <c r="Q5" i="41"/>
  <c r="R5" i="41"/>
  <c r="AO5" i="41"/>
  <c r="AQ5" i="41"/>
  <c r="AT5" i="41"/>
  <c r="BB5" i="41"/>
  <c r="O6" i="41"/>
  <c r="R6" i="41"/>
  <c r="R10" i="41" s="1"/>
  <c r="AO6" i="41"/>
  <c r="AQ6" i="41"/>
  <c r="AT6" i="41"/>
  <c r="BB6" i="41"/>
  <c r="O7" i="41"/>
  <c r="O8" i="41" s="1"/>
  <c r="P7" i="41"/>
  <c r="Q7" i="41"/>
  <c r="Q8" i="41" s="1"/>
  <c r="R7" i="41"/>
  <c r="AO7" i="41"/>
  <c r="AQ7" i="41"/>
  <c r="AR7" i="41"/>
  <c r="AT7" i="41"/>
  <c r="AX7" i="41"/>
  <c r="BB7" i="41"/>
  <c r="R8" i="41"/>
  <c r="AO8" i="41"/>
  <c r="AR8" i="41"/>
  <c r="AT8" i="41"/>
  <c r="AX8" i="41"/>
  <c r="BB8" i="41"/>
  <c r="O9" i="41"/>
  <c r="R9" i="41"/>
  <c r="AO9" i="41"/>
  <c r="AR9" i="41"/>
  <c r="AQ9" i="41" s="1"/>
  <c r="AT9" i="41"/>
  <c r="AX9" i="41"/>
  <c r="BB9" i="41"/>
  <c r="P10" i="41"/>
  <c r="AO10" i="41"/>
  <c r="AQ10" i="41"/>
  <c r="AR10" i="41"/>
  <c r="AT10" i="41"/>
  <c r="AX10" i="41"/>
  <c r="BB10" i="41"/>
  <c r="AO11" i="41"/>
  <c r="AQ11" i="41"/>
  <c r="AR11" i="41"/>
  <c r="AT11" i="41"/>
  <c r="BB11" i="41"/>
  <c r="AO12" i="41"/>
  <c r="AT12" i="41"/>
  <c r="AX12" i="41"/>
  <c r="BB12" i="41"/>
  <c r="AO13" i="41"/>
  <c r="AR13" i="41"/>
  <c r="AT13" i="41"/>
  <c r="AX13" i="41"/>
  <c r="BB13" i="41"/>
  <c r="AO14" i="41"/>
  <c r="AQ14" i="41"/>
  <c r="AR14" i="41"/>
  <c r="AR18" i="41" s="1"/>
  <c r="AR22" i="41" s="1"/>
  <c r="AR26" i="41" s="1"/>
  <c r="AR30" i="41" s="1"/>
  <c r="AT14" i="41"/>
  <c r="BB14" i="41"/>
  <c r="AO15" i="41"/>
  <c r="AQ15" i="41"/>
  <c r="AR15" i="41"/>
  <c r="AT15" i="41"/>
  <c r="BB15" i="41"/>
  <c r="AO16" i="41"/>
  <c r="AT16" i="41"/>
  <c r="AX16" i="41"/>
  <c r="BB16" i="41"/>
  <c r="AO17" i="41"/>
  <c r="AT17" i="41"/>
  <c r="BB17" i="41"/>
  <c r="AO18" i="41"/>
  <c r="AQ18" i="41"/>
  <c r="AT18" i="41"/>
  <c r="BB18" i="41"/>
  <c r="AO19" i="41"/>
  <c r="AQ19" i="41"/>
  <c r="AR19" i="41"/>
  <c r="AT19" i="41"/>
  <c r="BB19" i="41"/>
  <c r="AO20" i="41"/>
  <c r="AT20" i="41"/>
  <c r="AX20" i="41"/>
  <c r="AX24" i="41" s="1"/>
  <c r="BB20" i="41"/>
  <c r="AO21" i="41"/>
  <c r="AT21" i="41"/>
  <c r="BB21" i="41"/>
  <c r="AO22" i="41"/>
  <c r="AQ22" i="41"/>
  <c r="AT22" i="41"/>
  <c r="BB22" i="41"/>
  <c r="AO23" i="41"/>
  <c r="AQ23" i="41"/>
  <c r="AR23" i="41"/>
  <c r="AT23" i="41"/>
  <c r="BB23" i="41"/>
  <c r="AO24" i="41"/>
  <c r="AT24" i="41"/>
  <c r="BB24" i="41"/>
  <c r="AO25" i="41"/>
  <c r="AT25" i="41"/>
  <c r="BB25" i="41"/>
  <c r="AO26" i="41"/>
  <c r="AQ26" i="41"/>
  <c r="AT26" i="41"/>
  <c r="BB26" i="41"/>
  <c r="AO27" i="41"/>
  <c r="AQ27" i="41"/>
  <c r="AR27" i="41"/>
  <c r="AT27" i="41"/>
  <c r="BB27" i="41"/>
  <c r="AO28" i="41"/>
  <c r="AT28" i="41"/>
  <c r="BB28" i="41"/>
  <c r="AO29" i="41"/>
  <c r="AT29" i="41"/>
  <c r="BB29" i="41"/>
  <c r="AO30" i="41"/>
  <c r="AQ30" i="41"/>
  <c r="AT30" i="41"/>
  <c r="BB30" i="41"/>
  <c r="B88" i="41"/>
  <c r="C88" i="41"/>
  <c r="D88" i="41"/>
  <c r="E88" i="41"/>
  <c r="A98" i="41"/>
  <c r="B98" i="41"/>
  <c r="C98" i="41"/>
  <c r="D98" i="41"/>
  <c r="E98" i="41"/>
  <c r="A99" i="41"/>
  <c r="B99" i="41"/>
  <c r="C99" i="41"/>
  <c r="D99" i="41"/>
  <c r="E99" i="41"/>
  <c r="A100" i="41"/>
  <c r="B100" i="41"/>
  <c r="C100" i="41"/>
  <c r="D100" i="41"/>
  <c r="E100" i="41"/>
  <c r="A101" i="41"/>
  <c r="B101" i="41"/>
  <c r="C101" i="41"/>
  <c r="D101" i="41"/>
  <c r="E101" i="41"/>
  <c r="A102" i="41"/>
  <c r="B102" i="41"/>
  <c r="C102" i="41"/>
  <c r="D102" i="41"/>
  <c r="E102" i="41"/>
  <c r="A103" i="41"/>
  <c r="B103" i="41"/>
  <c r="C103" i="41"/>
  <c r="D103" i="41"/>
  <c r="E103" i="41"/>
  <c r="A104" i="41"/>
  <c r="B104" i="41"/>
  <c r="C104" i="41"/>
  <c r="D104" i="41"/>
  <c r="E104" i="41"/>
  <c r="A105" i="41"/>
  <c r="B105" i="41"/>
  <c r="C105" i="41"/>
  <c r="D105" i="41"/>
  <c r="E105" i="41"/>
  <c r="A106" i="41"/>
  <c r="B106" i="41"/>
  <c r="C106" i="41"/>
  <c r="D106" i="41"/>
  <c r="E106" i="41"/>
  <c r="A107" i="41"/>
  <c r="B107" i="41"/>
  <c r="C107" i="41"/>
  <c r="D107" i="41"/>
  <c r="E107" i="41"/>
  <c r="A108" i="41"/>
  <c r="B108" i="41"/>
  <c r="C108" i="41"/>
  <c r="D108" i="41"/>
  <c r="E108" i="41"/>
  <c r="A109" i="41"/>
  <c r="B109" i="41"/>
  <c r="C109" i="41"/>
  <c r="D109" i="41"/>
  <c r="E109" i="41"/>
  <c r="A110" i="41"/>
  <c r="B110" i="41"/>
  <c r="C110" i="41"/>
  <c r="D110" i="41"/>
  <c r="E110" i="41"/>
  <c r="A111" i="41"/>
  <c r="B111" i="41"/>
  <c r="C111" i="41"/>
  <c r="D111" i="41"/>
  <c r="E111" i="41"/>
  <c r="A112" i="41"/>
  <c r="B112" i="41"/>
  <c r="C112" i="41"/>
  <c r="D112" i="41"/>
  <c r="E112" i="41"/>
  <c r="A113" i="41"/>
  <c r="B113" i="41"/>
  <c r="C113" i="41"/>
  <c r="D113" i="41"/>
  <c r="E113" i="41"/>
  <c r="A114" i="41"/>
  <c r="B114" i="41"/>
  <c r="C114" i="41"/>
  <c r="D114" i="41"/>
  <c r="E114" i="41"/>
  <c r="A115" i="41"/>
  <c r="B115" i="41"/>
  <c r="C115" i="41"/>
  <c r="D115" i="41"/>
  <c r="E115" i="41"/>
  <c r="A116" i="41"/>
  <c r="B116" i="41"/>
  <c r="C116" i="41"/>
  <c r="D116" i="41"/>
  <c r="E116" i="41"/>
  <c r="A117" i="41"/>
  <c r="B117" i="41"/>
  <c r="C117" i="41"/>
  <c r="D117" i="41"/>
  <c r="E117" i="41"/>
  <c r="A118" i="41"/>
  <c r="B118" i="41"/>
  <c r="C118" i="41"/>
  <c r="D118" i="41"/>
  <c r="E118" i="41"/>
  <c r="A119" i="41"/>
  <c r="B119" i="41"/>
  <c r="C119" i="41"/>
  <c r="D119" i="41"/>
  <c r="E119" i="41"/>
  <c r="A120" i="41"/>
  <c r="B120" i="41"/>
  <c r="C120" i="41"/>
  <c r="D120" i="41"/>
  <c r="E120" i="41"/>
  <c r="A121" i="41"/>
  <c r="B121" i="41"/>
  <c r="C121" i="41"/>
  <c r="D121" i="41"/>
  <c r="E121" i="41"/>
  <c r="A122" i="41"/>
  <c r="B122" i="41"/>
  <c r="C122" i="41"/>
  <c r="D122" i="41"/>
  <c r="E122" i="41"/>
  <c r="A123" i="41"/>
  <c r="B123" i="41"/>
  <c r="C123" i="41"/>
  <c r="D123" i="41"/>
  <c r="E123" i="41"/>
  <c r="A124" i="41"/>
  <c r="B124" i="41"/>
  <c r="C124" i="41"/>
  <c r="D124" i="41"/>
  <c r="E124" i="41"/>
  <c r="A125" i="41"/>
  <c r="B125" i="41"/>
  <c r="C125" i="41"/>
  <c r="D125" i="41"/>
  <c r="E125" i="41"/>
  <c r="O2" i="40"/>
  <c r="P2" i="40"/>
  <c r="Q2" i="40"/>
  <c r="R2" i="40"/>
  <c r="O3" i="40"/>
  <c r="O9" i="40" s="1"/>
  <c r="P3" i="40"/>
  <c r="Q3" i="40"/>
  <c r="R3" i="40"/>
  <c r="AO3" i="40"/>
  <c r="AQ3" i="40"/>
  <c r="AT3" i="40"/>
  <c r="BB3" i="40"/>
  <c r="O4" i="40"/>
  <c r="O6" i="40" s="1"/>
  <c r="P4" i="40"/>
  <c r="P6" i="40" s="1"/>
  <c r="Q4" i="40"/>
  <c r="Q6" i="40" s="1"/>
  <c r="R4" i="40"/>
  <c r="R6" i="40" s="1"/>
  <c r="AO4" i="40"/>
  <c r="AQ4" i="40"/>
  <c r="AT4" i="40"/>
  <c r="BB4" i="40"/>
  <c r="O5" i="40"/>
  <c r="P5" i="40"/>
  <c r="Q5" i="40"/>
  <c r="R5" i="40"/>
  <c r="AO5" i="40"/>
  <c r="AQ5" i="40"/>
  <c r="AT5" i="40"/>
  <c r="BB5" i="40"/>
  <c r="AO6" i="40"/>
  <c r="AQ6" i="40"/>
  <c r="AT6" i="40"/>
  <c r="BB6" i="40"/>
  <c r="O7" i="40"/>
  <c r="P7" i="40"/>
  <c r="P8" i="40" s="1"/>
  <c r="Q7" i="40"/>
  <c r="R7" i="40"/>
  <c r="AO7" i="40"/>
  <c r="AQ7" i="40"/>
  <c r="AR7" i="40"/>
  <c r="AR11" i="40" s="1"/>
  <c r="AT7" i="40"/>
  <c r="AX7" i="40"/>
  <c r="BB7" i="40"/>
  <c r="O8" i="40"/>
  <c r="Q8" i="40"/>
  <c r="R8" i="40"/>
  <c r="AO8" i="40"/>
  <c r="AR8" i="40"/>
  <c r="AQ8" i="40" s="1"/>
  <c r="AT8" i="40"/>
  <c r="AX8" i="40"/>
  <c r="BB8" i="40"/>
  <c r="P9" i="40"/>
  <c r="Q9" i="40"/>
  <c r="R9" i="40"/>
  <c r="AO9" i="40"/>
  <c r="AQ9" i="40"/>
  <c r="AR9" i="40"/>
  <c r="AT9" i="40"/>
  <c r="AX9" i="40"/>
  <c r="BB9" i="40"/>
  <c r="P10" i="40"/>
  <c r="Q10" i="40"/>
  <c r="R10" i="40"/>
  <c r="AO10" i="40"/>
  <c r="AR10" i="40"/>
  <c r="AQ10" i="40" s="1"/>
  <c r="AT10" i="40"/>
  <c r="AX10" i="40"/>
  <c r="AX14" i="40" s="1"/>
  <c r="BB10" i="40"/>
  <c r="AO11" i="40"/>
  <c r="AT11" i="40"/>
  <c r="AX11" i="40"/>
  <c r="BB11" i="40"/>
  <c r="AO12" i="40"/>
  <c r="AT12" i="40"/>
  <c r="AX12" i="40"/>
  <c r="AX16" i="40" s="1"/>
  <c r="BB12" i="40"/>
  <c r="AO13" i="40"/>
  <c r="AQ13" i="40"/>
  <c r="AR13" i="40"/>
  <c r="AT13" i="40"/>
  <c r="AX13" i="40"/>
  <c r="BB13" i="40"/>
  <c r="AO14" i="40"/>
  <c r="AQ14" i="40"/>
  <c r="AR14" i="40"/>
  <c r="AR18" i="40" s="1"/>
  <c r="AQ18" i="40" s="1"/>
  <c r="AT14" i="40"/>
  <c r="BB14" i="40"/>
  <c r="AO15" i="40"/>
  <c r="AT15" i="40"/>
  <c r="AX15" i="40"/>
  <c r="AX19" i="40" s="1"/>
  <c r="BB15" i="40"/>
  <c r="AO16" i="40"/>
  <c r="AT16" i="40"/>
  <c r="BB16" i="40"/>
  <c r="AO17" i="40"/>
  <c r="AR17" i="40"/>
  <c r="AT17" i="40"/>
  <c r="AX17" i="40"/>
  <c r="BB17" i="40"/>
  <c r="AO18" i="40"/>
  <c r="AT18" i="40"/>
  <c r="AX18" i="40"/>
  <c r="BB18" i="40"/>
  <c r="AO19" i="40"/>
  <c r="AT19" i="40"/>
  <c r="BB19" i="40"/>
  <c r="AO20" i="40"/>
  <c r="AT20" i="40"/>
  <c r="BB20" i="40"/>
  <c r="AO21" i="40"/>
  <c r="AT21" i="40"/>
  <c r="AX21" i="40"/>
  <c r="AX25" i="40" s="1"/>
  <c r="BB21" i="40"/>
  <c r="AO22" i="40"/>
  <c r="AT22" i="40"/>
  <c r="BB22" i="40"/>
  <c r="AO23" i="40"/>
  <c r="AT23" i="40"/>
  <c r="BB23" i="40"/>
  <c r="AO24" i="40"/>
  <c r="AT24" i="40"/>
  <c r="BB24" i="40"/>
  <c r="AO25" i="40"/>
  <c r="AT25" i="40"/>
  <c r="BB25" i="40"/>
  <c r="AO26" i="40"/>
  <c r="AT26" i="40"/>
  <c r="BB26" i="40"/>
  <c r="AO27" i="40"/>
  <c r="AT27" i="40"/>
  <c r="BB27" i="40"/>
  <c r="AO28" i="40"/>
  <c r="AT28" i="40"/>
  <c r="BB28" i="40"/>
  <c r="AO29" i="40"/>
  <c r="AT29" i="40"/>
  <c r="BB29" i="40"/>
  <c r="AO30" i="40"/>
  <c r="AT30" i="40"/>
  <c r="BB30" i="40"/>
  <c r="B88" i="40"/>
  <c r="C88" i="40"/>
  <c r="D88" i="40"/>
  <c r="E88" i="40"/>
  <c r="A98" i="40"/>
  <c r="B98" i="40"/>
  <c r="C98" i="40"/>
  <c r="D98" i="40"/>
  <c r="E98" i="40"/>
  <c r="A99" i="40"/>
  <c r="B99" i="40"/>
  <c r="C99" i="40"/>
  <c r="D99" i="40"/>
  <c r="E99" i="40"/>
  <c r="A100" i="40"/>
  <c r="B100" i="40"/>
  <c r="C100" i="40"/>
  <c r="D100" i="40"/>
  <c r="E100" i="40"/>
  <c r="A101" i="40"/>
  <c r="B101" i="40"/>
  <c r="C101" i="40"/>
  <c r="D101" i="40"/>
  <c r="E101" i="40"/>
  <c r="A102" i="40"/>
  <c r="B102" i="40"/>
  <c r="C102" i="40"/>
  <c r="D102" i="40"/>
  <c r="E102" i="40"/>
  <c r="A103" i="40"/>
  <c r="B103" i="40"/>
  <c r="C103" i="40"/>
  <c r="D103" i="40"/>
  <c r="E103" i="40"/>
  <c r="A104" i="40"/>
  <c r="B104" i="40"/>
  <c r="C104" i="40"/>
  <c r="D104" i="40"/>
  <c r="E104" i="40"/>
  <c r="A105" i="40"/>
  <c r="B105" i="40"/>
  <c r="C105" i="40"/>
  <c r="D105" i="40"/>
  <c r="E105" i="40"/>
  <c r="A106" i="40"/>
  <c r="B106" i="40"/>
  <c r="C106" i="40"/>
  <c r="D106" i="40"/>
  <c r="E106" i="40"/>
  <c r="A107" i="40"/>
  <c r="B107" i="40"/>
  <c r="C107" i="40"/>
  <c r="D107" i="40"/>
  <c r="E107" i="40"/>
  <c r="A108" i="40"/>
  <c r="B108" i="40"/>
  <c r="C108" i="40"/>
  <c r="D108" i="40"/>
  <c r="E108" i="40"/>
  <c r="A109" i="40"/>
  <c r="B109" i="40"/>
  <c r="C109" i="40"/>
  <c r="D109" i="40"/>
  <c r="E109" i="40"/>
  <c r="A110" i="40"/>
  <c r="B110" i="40"/>
  <c r="C110" i="40"/>
  <c r="D110" i="40"/>
  <c r="E110" i="40"/>
  <c r="A111" i="40"/>
  <c r="B111" i="40"/>
  <c r="C111" i="40"/>
  <c r="D111" i="40"/>
  <c r="E111" i="40"/>
  <c r="A112" i="40"/>
  <c r="B112" i="40"/>
  <c r="C112" i="40"/>
  <c r="D112" i="40"/>
  <c r="E112" i="40"/>
  <c r="A113" i="40"/>
  <c r="B113" i="40"/>
  <c r="C113" i="40"/>
  <c r="D113" i="40"/>
  <c r="E113" i="40"/>
  <c r="A114" i="40"/>
  <c r="B114" i="40"/>
  <c r="C114" i="40"/>
  <c r="D114" i="40"/>
  <c r="E114" i="40"/>
  <c r="A115" i="40"/>
  <c r="B115" i="40"/>
  <c r="C115" i="40"/>
  <c r="D115" i="40"/>
  <c r="E115" i="40"/>
  <c r="A116" i="40"/>
  <c r="B116" i="40"/>
  <c r="C116" i="40"/>
  <c r="D116" i="40"/>
  <c r="E116" i="40"/>
  <c r="A117" i="40"/>
  <c r="B117" i="40"/>
  <c r="C117" i="40"/>
  <c r="D117" i="40"/>
  <c r="E117" i="40"/>
  <c r="A118" i="40"/>
  <c r="B118" i="40"/>
  <c r="C118" i="40"/>
  <c r="D118" i="40"/>
  <c r="E118" i="40"/>
  <c r="A119" i="40"/>
  <c r="B119" i="40"/>
  <c r="C119" i="40"/>
  <c r="D119" i="40"/>
  <c r="E119" i="40"/>
  <c r="A120" i="40"/>
  <c r="B120" i="40"/>
  <c r="C120" i="40"/>
  <c r="D120" i="40"/>
  <c r="E120" i="40"/>
  <c r="A121" i="40"/>
  <c r="B121" i="40"/>
  <c r="C121" i="40"/>
  <c r="D121" i="40"/>
  <c r="E121" i="40"/>
  <c r="A122" i="40"/>
  <c r="B122" i="40"/>
  <c r="C122" i="40"/>
  <c r="D122" i="40"/>
  <c r="E122" i="40"/>
  <c r="A123" i="40"/>
  <c r="B123" i="40"/>
  <c r="C123" i="40"/>
  <c r="D123" i="40"/>
  <c r="E123" i="40"/>
  <c r="A124" i="40"/>
  <c r="B124" i="40"/>
  <c r="C124" i="40"/>
  <c r="D124" i="40"/>
  <c r="E124" i="40"/>
  <c r="A125" i="40"/>
  <c r="B125" i="40"/>
  <c r="C125" i="40"/>
  <c r="D125" i="40"/>
  <c r="E125" i="40"/>
  <c r="O2" i="39"/>
  <c r="P2" i="39"/>
  <c r="Q2" i="39"/>
  <c r="Q8" i="39" s="1"/>
  <c r="R2" i="39"/>
  <c r="R9" i="39" s="1"/>
  <c r="O3" i="39"/>
  <c r="O9" i="39" s="1"/>
  <c r="P3" i="39"/>
  <c r="Q3" i="39"/>
  <c r="R3" i="39"/>
  <c r="AO3" i="39"/>
  <c r="AQ3" i="39"/>
  <c r="AT3" i="39"/>
  <c r="BB3" i="39"/>
  <c r="O4" i="39"/>
  <c r="P4" i="39"/>
  <c r="P6" i="39" s="1"/>
  <c r="Q4" i="39"/>
  <c r="Q6" i="39" s="1"/>
  <c r="R4" i="39"/>
  <c r="AO4" i="39"/>
  <c r="AQ4" i="39"/>
  <c r="AT4" i="39"/>
  <c r="BB4" i="39"/>
  <c r="O5" i="39"/>
  <c r="P5" i="39"/>
  <c r="Q5" i="39"/>
  <c r="R5" i="39"/>
  <c r="AO5" i="39"/>
  <c r="AQ5" i="39"/>
  <c r="AT5" i="39"/>
  <c r="BB5" i="39"/>
  <c r="AO6" i="39"/>
  <c r="AQ6" i="39"/>
  <c r="AT6" i="39"/>
  <c r="BB6" i="39"/>
  <c r="O7" i="39"/>
  <c r="O8" i="39" s="1"/>
  <c r="P7" i="39"/>
  <c r="Q7" i="39"/>
  <c r="R7" i="39"/>
  <c r="AO7" i="39"/>
  <c r="AQ7" i="39"/>
  <c r="AR7" i="39"/>
  <c r="AR11" i="39" s="1"/>
  <c r="AQ11" i="39" s="1"/>
  <c r="AT7" i="39"/>
  <c r="AX7" i="39"/>
  <c r="BB7" i="39"/>
  <c r="P8" i="39"/>
  <c r="AO8" i="39"/>
  <c r="AR8" i="39"/>
  <c r="AT8" i="39"/>
  <c r="AX8" i="39"/>
  <c r="BB8" i="39"/>
  <c r="P9" i="39"/>
  <c r="AO9" i="39"/>
  <c r="AQ9" i="39"/>
  <c r="AR9" i="39"/>
  <c r="AT9" i="39"/>
  <c r="AX9" i="39"/>
  <c r="BB9" i="39"/>
  <c r="P10" i="39"/>
  <c r="Q10" i="39"/>
  <c r="AO10" i="39"/>
  <c r="AQ10" i="39"/>
  <c r="AR10" i="39"/>
  <c r="AT10" i="39"/>
  <c r="AX10" i="39"/>
  <c r="BB10" i="39"/>
  <c r="AO11" i="39"/>
  <c r="AT11" i="39"/>
  <c r="AX11" i="39"/>
  <c r="BB11" i="39"/>
  <c r="AO12" i="39"/>
  <c r="AT12" i="39"/>
  <c r="AX12" i="39"/>
  <c r="BB12" i="39"/>
  <c r="AO13" i="39"/>
  <c r="AQ13" i="39"/>
  <c r="AR13" i="39"/>
  <c r="AT13" i="39"/>
  <c r="AX13" i="39"/>
  <c r="BB13" i="39"/>
  <c r="AO14" i="39"/>
  <c r="AQ14" i="39"/>
  <c r="AR14" i="39"/>
  <c r="AR18" i="39" s="1"/>
  <c r="AQ18" i="39" s="1"/>
  <c r="AT14" i="39"/>
  <c r="AX14" i="39"/>
  <c r="BB14" i="39"/>
  <c r="AO15" i="39"/>
  <c r="AT15" i="39"/>
  <c r="AX15" i="39"/>
  <c r="BB15" i="39"/>
  <c r="AO16" i="39"/>
  <c r="AT16" i="39"/>
  <c r="AX16" i="39"/>
  <c r="BB16" i="39"/>
  <c r="AO17" i="39"/>
  <c r="AR17" i="39"/>
  <c r="AQ17" i="39" s="1"/>
  <c r="AT17" i="39"/>
  <c r="AX17" i="39"/>
  <c r="BB17" i="39"/>
  <c r="AO18" i="39"/>
  <c r="AT18" i="39"/>
  <c r="AX18" i="39"/>
  <c r="AX22" i="39" s="1"/>
  <c r="AX26" i="39" s="1"/>
  <c r="BB18" i="39"/>
  <c r="AO19" i="39"/>
  <c r="AT19" i="39"/>
  <c r="AX19" i="39"/>
  <c r="BB19" i="39"/>
  <c r="AO20" i="39"/>
  <c r="AT20" i="39"/>
  <c r="AX20" i="39"/>
  <c r="BB20" i="39"/>
  <c r="AO21" i="39"/>
  <c r="AT21" i="39"/>
  <c r="AX21" i="39"/>
  <c r="AX25" i="39" s="1"/>
  <c r="AX29" i="39" s="1"/>
  <c r="BB21" i="39"/>
  <c r="AO22" i="39"/>
  <c r="AR22" i="39"/>
  <c r="AQ22" i="39" s="1"/>
  <c r="AT22" i="39"/>
  <c r="BB22" i="39"/>
  <c r="AO23" i="39"/>
  <c r="AT23" i="39"/>
  <c r="AX23" i="39"/>
  <c r="BB23" i="39"/>
  <c r="AO24" i="39"/>
  <c r="AT24" i="39"/>
  <c r="BB24" i="39"/>
  <c r="AO25" i="39"/>
  <c r="AT25" i="39"/>
  <c r="BB25" i="39"/>
  <c r="AO26" i="39"/>
  <c r="AR26" i="39"/>
  <c r="AQ26" i="39" s="1"/>
  <c r="AT26" i="39"/>
  <c r="BB26" i="39"/>
  <c r="AO27" i="39"/>
  <c r="AT27" i="39"/>
  <c r="BB27" i="39"/>
  <c r="AO28" i="39"/>
  <c r="AT28" i="39"/>
  <c r="BB28" i="39"/>
  <c r="AO29" i="39"/>
  <c r="AT29" i="39"/>
  <c r="BB29" i="39"/>
  <c r="AO30" i="39"/>
  <c r="AR30" i="39"/>
  <c r="AQ30" i="39" s="1"/>
  <c r="AT30" i="39"/>
  <c r="BB30" i="39"/>
  <c r="B88" i="39"/>
  <c r="C88" i="39"/>
  <c r="D88" i="39"/>
  <c r="E88" i="39"/>
  <c r="A98" i="39"/>
  <c r="B98" i="39"/>
  <c r="C98" i="39"/>
  <c r="D98" i="39"/>
  <c r="E98" i="39"/>
  <c r="A99" i="39"/>
  <c r="B99" i="39"/>
  <c r="C99" i="39"/>
  <c r="D99" i="39"/>
  <c r="E99" i="39"/>
  <c r="A100" i="39"/>
  <c r="B100" i="39"/>
  <c r="C100" i="39"/>
  <c r="D100" i="39"/>
  <c r="E100" i="39"/>
  <c r="A101" i="39"/>
  <c r="B101" i="39"/>
  <c r="C101" i="39"/>
  <c r="D101" i="39"/>
  <c r="E101" i="39"/>
  <c r="A102" i="39"/>
  <c r="B102" i="39"/>
  <c r="C102" i="39"/>
  <c r="D102" i="39"/>
  <c r="E102" i="39"/>
  <c r="A103" i="39"/>
  <c r="B103" i="39"/>
  <c r="C103" i="39"/>
  <c r="D103" i="39"/>
  <c r="E103" i="39"/>
  <c r="A104" i="39"/>
  <c r="B104" i="39"/>
  <c r="C104" i="39"/>
  <c r="D104" i="39"/>
  <c r="E104" i="39"/>
  <c r="A105" i="39"/>
  <c r="B105" i="39"/>
  <c r="C105" i="39"/>
  <c r="D105" i="39"/>
  <c r="E105" i="39"/>
  <c r="A106" i="39"/>
  <c r="B106" i="39"/>
  <c r="C106" i="39"/>
  <c r="D106" i="39"/>
  <c r="E106" i="39"/>
  <c r="A107" i="39"/>
  <c r="B107" i="39"/>
  <c r="C107" i="39"/>
  <c r="D107" i="39"/>
  <c r="E107" i="39"/>
  <c r="A108" i="39"/>
  <c r="B108" i="39"/>
  <c r="C108" i="39"/>
  <c r="D108" i="39"/>
  <c r="E108" i="39"/>
  <c r="A109" i="39"/>
  <c r="B109" i="39"/>
  <c r="C109" i="39"/>
  <c r="D109" i="39"/>
  <c r="E109" i="39"/>
  <c r="A110" i="39"/>
  <c r="B110" i="39"/>
  <c r="C110" i="39"/>
  <c r="D110" i="39"/>
  <c r="E110" i="39"/>
  <c r="A111" i="39"/>
  <c r="B111" i="39"/>
  <c r="C111" i="39"/>
  <c r="D111" i="39"/>
  <c r="E111" i="39"/>
  <c r="A112" i="39"/>
  <c r="B112" i="39"/>
  <c r="C112" i="39"/>
  <c r="D112" i="39"/>
  <c r="E112" i="39"/>
  <c r="A113" i="39"/>
  <c r="B113" i="39"/>
  <c r="C113" i="39"/>
  <c r="D113" i="39"/>
  <c r="E113" i="39"/>
  <c r="A114" i="39"/>
  <c r="B114" i="39"/>
  <c r="C114" i="39"/>
  <c r="D114" i="39"/>
  <c r="E114" i="39"/>
  <c r="A115" i="39"/>
  <c r="B115" i="39"/>
  <c r="C115" i="39"/>
  <c r="D115" i="39"/>
  <c r="E115" i="39"/>
  <c r="A116" i="39"/>
  <c r="B116" i="39"/>
  <c r="C116" i="39"/>
  <c r="D116" i="39"/>
  <c r="E116" i="39"/>
  <c r="A117" i="39"/>
  <c r="B117" i="39"/>
  <c r="C117" i="39"/>
  <c r="D117" i="39"/>
  <c r="E117" i="39"/>
  <c r="A118" i="39"/>
  <c r="B118" i="39"/>
  <c r="C118" i="39"/>
  <c r="D118" i="39"/>
  <c r="E118" i="39"/>
  <c r="A119" i="39"/>
  <c r="B119" i="39"/>
  <c r="C119" i="39"/>
  <c r="D119" i="39"/>
  <c r="E119" i="39"/>
  <c r="A120" i="39"/>
  <c r="B120" i="39"/>
  <c r="C120" i="39"/>
  <c r="D120" i="39"/>
  <c r="E120" i="39"/>
  <c r="A121" i="39"/>
  <c r="B121" i="39"/>
  <c r="C121" i="39"/>
  <c r="D121" i="39"/>
  <c r="E121" i="39"/>
  <c r="A122" i="39"/>
  <c r="B122" i="39"/>
  <c r="C122" i="39"/>
  <c r="D122" i="39"/>
  <c r="E122" i="39"/>
  <c r="A123" i="39"/>
  <c r="B123" i="39"/>
  <c r="C123" i="39"/>
  <c r="D123" i="39"/>
  <c r="E123" i="39"/>
  <c r="A124" i="39"/>
  <c r="B124" i="39"/>
  <c r="C124" i="39"/>
  <c r="D124" i="39"/>
  <c r="E124" i="39"/>
  <c r="A125" i="39"/>
  <c r="B125" i="39"/>
  <c r="C125" i="39"/>
  <c r="D125" i="39"/>
  <c r="E125" i="39"/>
  <c r="A33" i="38"/>
  <c r="B33" i="38"/>
  <c r="C33" i="38"/>
  <c r="D33" i="38"/>
  <c r="E33" i="38"/>
  <c r="A34" i="38"/>
  <c r="B34" i="38"/>
  <c r="C34" i="38"/>
  <c r="D34" i="38"/>
  <c r="E34" i="38"/>
  <c r="A35" i="38"/>
  <c r="B35" i="38"/>
  <c r="C35" i="38"/>
  <c r="D35" i="38"/>
  <c r="E35" i="38"/>
  <c r="A36" i="38"/>
  <c r="B36" i="38"/>
  <c r="C36" i="38"/>
  <c r="D36" i="38"/>
  <c r="E36" i="38"/>
  <c r="A37" i="38"/>
  <c r="B37" i="38"/>
  <c r="C37" i="38"/>
  <c r="D37" i="38"/>
  <c r="E37" i="38"/>
  <c r="A38" i="38"/>
  <c r="B38" i="38"/>
  <c r="C38" i="38"/>
  <c r="D38" i="38"/>
  <c r="E38" i="38"/>
  <c r="A39" i="38"/>
  <c r="B39" i="38"/>
  <c r="C39" i="38"/>
  <c r="D39" i="38"/>
  <c r="E39" i="38"/>
  <c r="A40" i="38"/>
  <c r="B40" i="38"/>
  <c r="C40" i="38"/>
  <c r="D40" i="38"/>
  <c r="E40" i="38"/>
  <c r="A41" i="38"/>
  <c r="B41" i="38"/>
  <c r="C41" i="38"/>
  <c r="D41" i="38"/>
  <c r="E41" i="38"/>
  <c r="A42" i="38"/>
  <c r="B42" i="38"/>
  <c r="C42" i="38"/>
  <c r="D42" i="38"/>
  <c r="E42" i="38"/>
  <c r="A43" i="38"/>
  <c r="B43" i="38"/>
  <c r="C43" i="38"/>
  <c r="D43" i="38"/>
  <c r="E43" i="38"/>
  <c r="A44" i="38"/>
  <c r="B44" i="38"/>
  <c r="C44" i="38"/>
  <c r="D44" i="38"/>
  <c r="E44" i="38"/>
  <c r="A45" i="38"/>
  <c r="B45" i="38"/>
  <c r="C45" i="38"/>
  <c r="D45" i="38"/>
  <c r="E45" i="38"/>
  <c r="A46" i="38"/>
  <c r="B46" i="38"/>
  <c r="C46" i="38"/>
  <c r="D46" i="38"/>
  <c r="E46" i="38"/>
  <c r="A47" i="38"/>
  <c r="B47" i="38"/>
  <c r="C47" i="38"/>
  <c r="D47" i="38"/>
  <c r="E47" i="38"/>
  <c r="A48" i="38"/>
  <c r="B48" i="38"/>
  <c r="C48" i="38"/>
  <c r="D48" i="38"/>
  <c r="E48" i="38"/>
  <c r="A49" i="38"/>
  <c r="B49" i="38"/>
  <c r="C49" i="38"/>
  <c r="D49" i="38"/>
  <c r="E49" i="38"/>
  <c r="A50" i="38"/>
  <c r="B50" i="38"/>
  <c r="C50" i="38"/>
  <c r="D50" i="38"/>
  <c r="E50" i="38"/>
  <c r="A51" i="38"/>
  <c r="B51" i="38"/>
  <c r="C51" i="38"/>
  <c r="D51" i="38"/>
  <c r="E51" i="38"/>
  <c r="A52" i="38"/>
  <c r="B52" i="38"/>
  <c r="C52" i="38"/>
  <c r="D52" i="38"/>
  <c r="E52" i="38"/>
  <c r="A53" i="38"/>
  <c r="B53" i="38"/>
  <c r="C53" i="38"/>
  <c r="D53" i="38"/>
  <c r="E53" i="38"/>
  <c r="A54" i="38"/>
  <c r="B54" i="38"/>
  <c r="C54" i="38"/>
  <c r="D54" i="38"/>
  <c r="E54" i="38"/>
  <c r="A55" i="38"/>
  <c r="B55" i="38"/>
  <c r="C55" i="38"/>
  <c r="D55" i="38"/>
  <c r="E55" i="38"/>
  <c r="A56" i="38"/>
  <c r="B56" i="38"/>
  <c r="C56" i="38"/>
  <c r="D56" i="38"/>
  <c r="E56" i="38"/>
  <c r="A57" i="38"/>
  <c r="B57" i="38"/>
  <c r="C57" i="38"/>
  <c r="D57" i="38"/>
  <c r="E57" i="38"/>
  <c r="A58" i="38"/>
  <c r="B58" i="38"/>
  <c r="C58" i="38"/>
  <c r="D58" i="38"/>
  <c r="E58" i="38"/>
  <c r="A59" i="38"/>
  <c r="B59" i="38"/>
  <c r="C59" i="38"/>
  <c r="D59" i="38"/>
  <c r="E59" i="38"/>
  <c r="A60" i="38"/>
  <c r="B60" i="38"/>
  <c r="C60" i="38"/>
  <c r="D60" i="38"/>
  <c r="E60" i="38"/>
  <c r="O2" i="37"/>
  <c r="P2" i="37"/>
  <c r="P9" i="37" s="1"/>
  <c r="Q2" i="37"/>
  <c r="R2" i="37"/>
  <c r="O3" i="37"/>
  <c r="O9" i="37" s="1"/>
  <c r="P3" i="37"/>
  <c r="Q3" i="37"/>
  <c r="R3" i="37"/>
  <c r="O4" i="37"/>
  <c r="P4" i="37"/>
  <c r="P6" i="37" s="1"/>
  <c r="P10" i="37" s="1"/>
  <c r="Q4" i="37"/>
  <c r="R4" i="37"/>
  <c r="R6" i="37" s="1"/>
  <c r="R10" i="37" s="1"/>
  <c r="O5" i="37"/>
  <c r="O6" i="37" s="1"/>
  <c r="P5" i="37"/>
  <c r="Q5" i="37"/>
  <c r="Q6" i="37" s="1"/>
  <c r="Q10" i="37" s="1"/>
  <c r="R5" i="37"/>
  <c r="O7" i="37"/>
  <c r="O8" i="37" s="1"/>
  <c r="P7" i="37"/>
  <c r="P8" i="37" s="1"/>
  <c r="Q7" i="37"/>
  <c r="R7" i="37"/>
  <c r="R8" i="37" s="1"/>
  <c r="Q8" i="37"/>
  <c r="Q9" i="37"/>
  <c r="R9" i="37"/>
  <c r="B88" i="37"/>
  <c r="C88" i="37"/>
  <c r="D88" i="37"/>
  <c r="E88" i="37"/>
  <c r="A98" i="37"/>
  <c r="B98" i="37"/>
  <c r="C98" i="37"/>
  <c r="D98" i="37"/>
  <c r="E98" i="37"/>
  <c r="A99" i="37"/>
  <c r="B99" i="37"/>
  <c r="C99" i="37"/>
  <c r="D99" i="37"/>
  <c r="E99" i="37"/>
  <c r="A100" i="37"/>
  <c r="B100" i="37"/>
  <c r="C100" i="37"/>
  <c r="D100" i="37"/>
  <c r="E100" i="37"/>
  <c r="A101" i="37"/>
  <c r="B101" i="37"/>
  <c r="C101" i="37"/>
  <c r="D101" i="37"/>
  <c r="E101" i="37"/>
  <c r="A102" i="37"/>
  <c r="B102" i="37"/>
  <c r="C102" i="37"/>
  <c r="D102" i="37"/>
  <c r="E102" i="37"/>
  <c r="A103" i="37"/>
  <c r="B103" i="37"/>
  <c r="C103" i="37"/>
  <c r="D103" i="37"/>
  <c r="E103" i="37"/>
  <c r="A104" i="37"/>
  <c r="B104" i="37"/>
  <c r="C104" i="37"/>
  <c r="D104" i="37"/>
  <c r="E104" i="37"/>
  <c r="A105" i="37"/>
  <c r="B105" i="37"/>
  <c r="C105" i="37"/>
  <c r="D105" i="37"/>
  <c r="E105" i="37"/>
  <c r="A106" i="37"/>
  <c r="B106" i="37"/>
  <c r="C106" i="37"/>
  <c r="D106" i="37"/>
  <c r="E106" i="37"/>
  <c r="A107" i="37"/>
  <c r="B107" i="37"/>
  <c r="C107" i="37"/>
  <c r="D107" i="37"/>
  <c r="E107" i="37"/>
  <c r="A108" i="37"/>
  <c r="B108" i="37"/>
  <c r="C108" i="37"/>
  <c r="D108" i="37"/>
  <c r="E108" i="37"/>
  <c r="A109" i="37"/>
  <c r="B109" i="37"/>
  <c r="C109" i="37"/>
  <c r="D109" i="37"/>
  <c r="E109" i="37"/>
  <c r="A110" i="37"/>
  <c r="B110" i="37"/>
  <c r="C110" i="37"/>
  <c r="D110" i="37"/>
  <c r="E110" i="37"/>
  <c r="A111" i="37"/>
  <c r="B111" i="37"/>
  <c r="C111" i="37"/>
  <c r="D111" i="37"/>
  <c r="E111" i="37"/>
  <c r="A112" i="37"/>
  <c r="B112" i="37"/>
  <c r="C112" i="37"/>
  <c r="D112" i="37"/>
  <c r="E112" i="37"/>
  <c r="A113" i="37"/>
  <c r="B113" i="37"/>
  <c r="C113" i="37"/>
  <c r="D113" i="37"/>
  <c r="E113" i="37"/>
  <c r="A114" i="37"/>
  <c r="B114" i="37"/>
  <c r="C114" i="37"/>
  <c r="D114" i="37"/>
  <c r="E114" i="37"/>
  <c r="A115" i="37"/>
  <c r="B115" i="37"/>
  <c r="C115" i="37"/>
  <c r="D115" i="37"/>
  <c r="E115" i="37"/>
  <c r="A116" i="37"/>
  <c r="B116" i="37"/>
  <c r="C116" i="37"/>
  <c r="D116" i="37"/>
  <c r="E116" i="37"/>
  <c r="A117" i="37"/>
  <c r="B117" i="37"/>
  <c r="C117" i="37"/>
  <c r="D117" i="37"/>
  <c r="E117" i="37"/>
  <c r="A118" i="37"/>
  <c r="B118" i="37"/>
  <c r="C118" i="37"/>
  <c r="D118" i="37"/>
  <c r="E118" i="37"/>
  <c r="A119" i="37"/>
  <c r="B119" i="37"/>
  <c r="C119" i="37"/>
  <c r="D119" i="37"/>
  <c r="E119" i="37"/>
  <c r="A120" i="37"/>
  <c r="B120" i="37"/>
  <c r="C120" i="37"/>
  <c r="D120" i="37"/>
  <c r="E120" i="37"/>
  <c r="A121" i="37"/>
  <c r="B121" i="37"/>
  <c r="C121" i="37"/>
  <c r="D121" i="37"/>
  <c r="E121" i="37"/>
  <c r="A122" i="37"/>
  <c r="B122" i="37"/>
  <c r="C122" i="37"/>
  <c r="D122" i="37"/>
  <c r="E122" i="37"/>
  <c r="A123" i="37"/>
  <c r="B123" i="37"/>
  <c r="C123" i="37"/>
  <c r="D123" i="37"/>
  <c r="E123" i="37"/>
  <c r="A124" i="37"/>
  <c r="B124" i="37"/>
  <c r="C124" i="37"/>
  <c r="D124" i="37"/>
  <c r="E124" i="37"/>
  <c r="A125" i="37"/>
  <c r="B125" i="37"/>
  <c r="C125" i="37"/>
  <c r="D125" i="37"/>
  <c r="E125" i="37"/>
  <c r="P6" i="38" l="1"/>
  <c r="P10" i="38" s="1"/>
  <c r="P8" i="38"/>
  <c r="O6" i="38"/>
  <c r="O10" i="38" s="1"/>
  <c r="AP16" i="41"/>
  <c r="AP20" i="40"/>
  <c r="AP23" i="42"/>
  <c r="AS23" i="42" s="1"/>
  <c r="AP5" i="41"/>
  <c r="AS5" i="41" s="1"/>
  <c r="AP12" i="41"/>
  <c r="AP15" i="42"/>
  <c r="AS15" i="42" s="1"/>
  <c r="AP8" i="42"/>
  <c r="AS8" i="42" s="1"/>
  <c r="AP3" i="40"/>
  <c r="AS3" i="40" s="1"/>
  <c r="AP17" i="40"/>
  <c r="AP24" i="41"/>
  <c r="AP14" i="40"/>
  <c r="AS14" i="40" s="1"/>
  <c r="AP26" i="41"/>
  <c r="AS26" i="41" s="1"/>
  <c r="AP19" i="42"/>
  <c r="AS19" i="42" s="1"/>
  <c r="AP11" i="42"/>
  <c r="AS11" i="42" s="1"/>
  <c r="AP27" i="42"/>
  <c r="AS27" i="42" s="1"/>
  <c r="AP17" i="42"/>
  <c r="AP3" i="39"/>
  <c r="AS3" i="39" s="1"/>
  <c r="AT88" i="39"/>
  <c r="O10" i="37"/>
  <c r="Y2" i="37"/>
  <c r="Y3" i="37" s="1"/>
  <c r="AT88" i="38"/>
  <c r="AP27" i="39"/>
  <c r="O6" i="39"/>
  <c r="AR15" i="39"/>
  <c r="AP21" i="39"/>
  <c r="AP30" i="39"/>
  <c r="AS30" i="39" s="1"/>
  <c r="AP25" i="39"/>
  <c r="AP6" i="39"/>
  <c r="AS6" i="39" s="1"/>
  <c r="AP12" i="39"/>
  <c r="AP22" i="39"/>
  <c r="AS22" i="39" s="1"/>
  <c r="AP28" i="39"/>
  <c r="AP29" i="39"/>
  <c r="AP16" i="39"/>
  <c r="AP18" i="39"/>
  <c r="AS18" i="39" s="1"/>
  <c r="AP20" i="39"/>
  <c r="AP24" i="39"/>
  <c r="AX22" i="40"/>
  <c r="AX24" i="39"/>
  <c r="R6" i="39"/>
  <c r="R10" i="39" s="1"/>
  <c r="AQ11" i="40"/>
  <c r="AR15" i="40"/>
  <c r="AP14" i="39"/>
  <c r="AS14" i="39" s="1"/>
  <c r="AX30" i="39"/>
  <c r="AP26" i="39"/>
  <c r="AS26" i="39" s="1"/>
  <c r="AP23" i="39"/>
  <c r="AX27" i="39"/>
  <c r="AP23" i="40"/>
  <c r="AX29" i="40"/>
  <c r="Y2" i="41"/>
  <c r="Y3" i="41" s="1"/>
  <c r="Y4" i="41" s="1"/>
  <c r="G2" i="41" s="1"/>
  <c r="O10" i="41"/>
  <c r="O9" i="42"/>
  <c r="O10" i="42"/>
  <c r="Q9" i="39"/>
  <c r="R8" i="39"/>
  <c r="AX20" i="40"/>
  <c r="AP9" i="40"/>
  <c r="AS9" i="40" s="1"/>
  <c r="AP13" i="40"/>
  <c r="AS13" i="40" s="1"/>
  <c r="AP4" i="40"/>
  <c r="AS4" i="40" s="1"/>
  <c r="AP8" i="40"/>
  <c r="AS8" i="40" s="1"/>
  <c r="AP11" i="40"/>
  <c r="AP5" i="40"/>
  <c r="AS5" i="40" s="1"/>
  <c r="AP21" i="40"/>
  <c r="AP26" i="40"/>
  <c r="AP28" i="40"/>
  <c r="AP30" i="40"/>
  <c r="AP15" i="40"/>
  <c r="AP24" i="40"/>
  <c r="AP10" i="40"/>
  <c r="AS10" i="40" s="1"/>
  <c r="AP19" i="40"/>
  <c r="AP16" i="40"/>
  <c r="AP22" i="40"/>
  <c r="AP25" i="40"/>
  <c r="AP27" i="40"/>
  <c r="AP29" i="40"/>
  <c r="O10" i="40"/>
  <c r="Y2" i="40"/>
  <c r="Y3" i="40" s="1"/>
  <c r="AR12" i="39"/>
  <c r="AQ8" i="39"/>
  <c r="AQ17" i="40"/>
  <c r="AR21" i="40"/>
  <c r="AP12" i="40"/>
  <c r="AP6" i="40"/>
  <c r="AS6" i="40" s="1"/>
  <c r="AX28" i="41"/>
  <c r="AP20" i="43"/>
  <c r="AS20" i="43" s="1"/>
  <c r="AP21" i="43"/>
  <c r="AS21" i="43" s="1"/>
  <c r="AP22" i="43"/>
  <c r="AP28" i="43"/>
  <c r="AS28" i="43" s="1"/>
  <c r="AP29" i="43"/>
  <c r="AS29" i="43" s="1"/>
  <c r="AP12" i="43"/>
  <c r="AS12" i="43" s="1"/>
  <c r="AP19" i="43"/>
  <c r="AP27" i="43"/>
  <c r="AP24" i="43"/>
  <c r="AS24" i="43" s="1"/>
  <c r="AP8" i="43"/>
  <c r="AS8" i="43" s="1"/>
  <c r="AP25" i="43"/>
  <c r="AS25" i="43" s="1"/>
  <c r="AP17" i="43"/>
  <c r="AS17" i="43" s="1"/>
  <c r="AP26" i="43"/>
  <c r="AR21" i="39"/>
  <c r="AP10" i="39"/>
  <c r="AS10" i="39" s="1"/>
  <c r="AP9" i="39"/>
  <c r="AS9" i="39" s="1"/>
  <c r="AP13" i="39"/>
  <c r="AS13" i="39" s="1"/>
  <c r="AP8" i="39"/>
  <c r="AP15" i="39"/>
  <c r="AP17" i="39"/>
  <c r="AS17" i="39" s="1"/>
  <c r="AP19" i="39"/>
  <c r="AP11" i="39"/>
  <c r="AS11" i="39" s="1"/>
  <c r="AX23" i="40"/>
  <c r="AR22" i="40"/>
  <c r="AP18" i="40"/>
  <c r="AS18" i="40" s="1"/>
  <c r="AP3" i="41"/>
  <c r="AS3" i="41" s="1"/>
  <c r="AP18" i="43"/>
  <c r="AP5" i="39"/>
  <c r="AS5" i="39" s="1"/>
  <c r="AP7" i="39"/>
  <c r="AS7" i="39" s="1"/>
  <c r="AT88" i="40"/>
  <c r="AP7" i="40"/>
  <c r="AS7" i="40" s="1"/>
  <c r="AP28" i="41"/>
  <c r="AP11" i="41"/>
  <c r="AS11" i="41" s="1"/>
  <c r="Q6" i="41"/>
  <c r="Q10" i="41" s="1"/>
  <c r="AT88" i="42"/>
  <c r="AP4" i="39"/>
  <c r="AS4" i="39" s="1"/>
  <c r="AP18" i="41"/>
  <c r="AS18" i="41" s="1"/>
  <c r="AP10" i="41"/>
  <c r="AS10" i="41" s="1"/>
  <c r="AR12" i="41"/>
  <c r="AQ8" i="41"/>
  <c r="AP9" i="44"/>
  <c r="AS9" i="44" s="1"/>
  <c r="AP13" i="44"/>
  <c r="AS13" i="44" s="1"/>
  <c r="AP30" i="41"/>
  <c r="AS30" i="41" s="1"/>
  <c r="AP20" i="41"/>
  <c r="AP13" i="41"/>
  <c r="Y5" i="41"/>
  <c r="Y6" i="41" s="1"/>
  <c r="AR12" i="40"/>
  <c r="AP22" i="41"/>
  <c r="AS22" i="41" s="1"/>
  <c r="AT88" i="41"/>
  <c r="AX14" i="41"/>
  <c r="AR21" i="42"/>
  <c r="AQ17" i="42"/>
  <c r="AX18" i="43"/>
  <c r="AQ13" i="41"/>
  <c r="AR17" i="41"/>
  <c r="AX11" i="41"/>
  <c r="O8" i="42"/>
  <c r="Y5" i="42"/>
  <c r="Y6" i="42" s="1"/>
  <c r="Y4" i="42"/>
  <c r="G2" i="42" s="1"/>
  <c r="AX29" i="43"/>
  <c r="AX19" i="43"/>
  <c r="AP14" i="41"/>
  <c r="AS14" i="41" s="1"/>
  <c r="AP7" i="42"/>
  <c r="AS7" i="42" s="1"/>
  <c r="AP4" i="42"/>
  <c r="AS4" i="42" s="1"/>
  <c r="AR14" i="42"/>
  <c r="AQ10" i="42"/>
  <c r="AX12" i="42"/>
  <c r="P10" i="42"/>
  <c r="AP29" i="41"/>
  <c r="AP27" i="41"/>
  <c r="AS27" i="41" s="1"/>
  <c r="AP25" i="41"/>
  <c r="AP23" i="41"/>
  <c r="AS23" i="41" s="1"/>
  <c r="AP21" i="41"/>
  <c r="AP19" i="41"/>
  <c r="AS19" i="41" s="1"/>
  <c r="AX17" i="41"/>
  <c r="AP17" i="41"/>
  <c r="AP15" i="41"/>
  <c r="AS15" i="41" s="1"/>
  <c r="AP6" i="41"/>
  <c r="AS6" i="41" s="1"/>
  <c r="AP9" i="41"/>
  <c r="AS9" i="41" s="1"/>
  <c r="AP4" i="41"/>
  <c r="AS4" i="41" s="1"/>
  <c r="AP8" i="41"/>
  <c r="AQ14" i="43"/>
  <c r="AR18" i="43"/>
  <c r="AP15" i="43"/>
  <c r="AT88" i="44"/>
  <c r="P8" i="41"/>
  <c r="P9" i="41"/>
  <c r="AP7" i="41"/>
  <c r="AS7" i="41" s="1"/>
  <c r="AP29" i="42"/>
  <c r="AP25" i="42"/>
  <c r="AP21" i="42"/>
  <c r="AX11" i="42"/>
  <c r="P8" i="42"/>
  <c r="AP6" i="42"/>
  <c r="AS6" i="42" s="1"/>
  <c r="AP12" i="42"/>
  <c r="AS12" i="42" s="1"/>
  <c r="AP16" i="42"/>
  <c r="AS16" i="42" s="1"/>
  <c r="AP18" i="42"/>
  <c r="AP20" i="42"/>
  <c r="AS20" i="42" s="1"/>
  <c r="AP22" i="42"/>
  <c r="AP24" i="42"/>
  <c r="AS24" i="42" s="1"/>
  <c r="AP26" i="42"/>
  <c r="AP28" i="42"/>
  <c r="AS28" i="42" s="1"/>
  <c r="AP30" i="42"/>
  <c r="AP5" i="42"/>
  <c r="AS5" i="42" s="1"/>
  <c r="AP10" i="42"/>
  <c r="AP9" i="42"/>
  <c r="AS9" i="42" s="1"/>
  <c r="AP13" i="42"/>
  <c r="AS13" i="42" s="1"/>
  <c r="AP3" i="42"/>
  <c r="AS3" i="42" s="1"/>
  <c r="AP14" i="42"/>
  <c r="AT88" i="43"/>
  <c r="AP3" i="43"/>
  <c r="AS3" i="43" s="1"/>
  <c r="AP6" i="43"/>
  <c r="AS6" i="43" s="1"/>
  <c r="Y2" i="43"/>
  <c r="Y3" i="43" s="1"/>
  <c r="O10" i="43"/>
  <c r="AX18" i="44"/>
  <c r="AP7" i="44"/>
  <c r="AS7" i="44" s="1"/>
  <c r="AP11" i="44"/>
  <c r="AS11" i="44" s="1"/>
  <c r="AP14" i="44"/>
  <c r="AS14" i="44" s="1"/>
  <c r="AP6" i="44"/>
  <c r="AS6" i="44" s="1"/>
  <c r="AP12" i="44"/>
  <c r="AS12" i="44" s="1"/>
  <c r="AP16" i="44"/>
  <c r="AS16" i="44" s="1"/>
  <c r="AP18" i="44"/>
  <c r="AS18" i="44" s="1"/>
  <c r="AP20" i="44"/>
  <c r="AS20" i="44" s="1"/>
  <c r="AP22" i="44"/>
  <c r="AS22" i="44" s="1"/>
  <c r="AP24" i="44"/>
  <c r="AS24" i="44" s="1"/>
  <c r="AP26" i="44"/>
  <c r="AS26" i="44" s="1"/>
  <c r="AP28" i="44"/>
  <c r="AS28" i="44" s="1"/>
  <c r="AP30" i="44"/>
  <c r="AS30" i="44" s="1"/>
  <c r="AP5" i="44"/>
  <c r="AS5" i="44" s="1"/>
  <c r="AP10" i="44"/>
  <c r="AS10" i="44" s="1"/>
  <c r="AP4" i="44"/>
  <c r="AS4" i="44" s="1"/>
  <c r="AP8" i="44"/>
  <c r="AS8" i="44" s="1"/>
  <c r="AP15" i="44"/>
  <c r="AS15" i="44" s="1"/>
  <c r="AP17" i="44"/>
  <c r="AS17" i="44" s="1"/>
  <c r="AP19" i="44"/>
  <c r="AS19" i="44" s="1"/>
  <c r="AP21" i="44"/>
  <c r="AS21" i="44" s="1"/>
  <c r="AP23" i="44"/>
  <c r="AS23" i="44" s="1"/>
  <c r="AP25" i="44"/>
  <c r="AS25" i="44" s="1"/>
  <c r="AP27" i="44"/>
  <c r="AS27" i="44" s="1"/>
  <c r="AP29" i="44"/>
  <c r="AS29" i="44" s="1"/>
  <c r="AP30" i="43"/>
  <c r="AX16" i="43"/>
  <c r="AP10" i="43"/>
  <c r="AS10" i="43" s="1"/>
  <c r="AP9" i="43"/>
  <c r="AS9" i="43" s="1"/>
  <c r="AP13" i="43"/>
  <c r="AS13" i="43" s="1"/>
  <c r="AX17" i="44"/>
  <c r="Y5" i="44"/>
  <c r="Y6" i="44" s="1"/>
  <c r="Y4" i="44"/>
  <c r="G2" i="44" s="1"/>
  <c r="AP3" i="44"/>
  <c r="AS3" i="44" s="1"/>
  <c r="AP4" i="43"/>
  <c r="AS4" i="43" s="1"/>
  <c r="AP23" i="43"/>
  <c r="AP16" i="43"/>
  <c r="AS16" i="43" s="1"/>
  <c r="AP14" i="43"/>
  <c r="AP11" i="43"/>
  <c r="AS11" i="43" s="1"/>
  <c r="AP7" i="43"/>
  <c r="AS7" i="43" s="1"/>
  <c r="AP5" i="43"/>
  <c r="AS5" i="43" s="1"/>
  <c r="AR15" i="43"/>
  <c r="AS17" i="42" l="1"/>
  <c r="AS17" i="40"/>
  <c r="AS11" i="40"/>
  <c r="AU28" i="44"/>
  <c r="AS14" i="43"/>
  <c r="AU8" i="44"/>
  <c r="AU10" i="44"/>
  <c r="AS8" i="39"/>
  <c r="AU18" i="44"/>
  <c r="AU15" i="44"/>
  <c r="AU22" i="44"/>
  <c r="AU16" i="44"/>
  <c r="AU13" i="44"/>
  <c r="AU30" i="44"/>
  <c r="AU19" i="44"/>
  <c r="AU20" i="44"/>
  <c r="AU5" i="44"/>
  <c r="AU27" i="44"/>
  <c r="AU23" i="44"/>
  <c r="AU21" i="44"/>
  <c r="AU26" i="44"/>
  <c r="AU24" i="44"/>
  <c r="AU12" i="44"/>
  <c r="AU4" i="44"/>
  <c r="AU25" i="44"/>
  <c r="AU6" i="44"/>
  <c r="AS10" i="42"/>
  <c r="AU3" i="44"/>
  <c r="AU11" i="44"/>
  <c r="AS13" i="41"/>
  <c r="AU7" i="44"/>
  <c r="AU14" i="44"/>
  <c r="AU29" i="44"/>
  <c r="AU17" i="44"/>
  <c r="AV6" i="44"/>
  <c r="BC6" i="44" s="1"/>
  <c r="AV12" i="44"/>
  <c r="BC12" i="44" s="1"/>
  <c r="AV16" i="44"/>
  <c r="BC16" i="44" s="1"/>
  <c r="AV18" i="44"/>
  <c r="BC18" i="44" s="1"/>
  <c r="AV20" i="44"/>
  <c r="BC20" i="44" s="1"/>
  <c r="AV22" i="44"/>
  <c r="BC22" i="44" s="1"/>
  <c r="AV24" i="44"/>
  <c r="BC24" i="44" s="1"/>
  <c r="AV26" i="44"/>
  <c r="BC26" i="44" s="1"/>
  <c r="AV28" i="44"/>
  <c r="BC28" i="44" s="1"/>
  <c r="AV30" i="44"/>
  <c r="BC30" i="44" s="1"/>
  <c r="AV5" i="44"/>
  <c r="BC5" i="44" s="1"/>
  <c r="AV10" i="44"/>
  <c r="BC10" i="44" s="1"/>
  <c r="AV4" i="44"/>
  <c r="BC4" i="44" s="1"/>
  <c r="AV9" i="44"/>
  <c r="BC9" i="44" s="1"/>
  <c r="AV13" i="44"/>
  <c r="BC13" i="44" s="1"/>
  <c r="AV8" i="44"/>
  <c r="BC8" i="44" s="1"/>
  <c r="AV15" i="44"/>
  <c r="BC15" i="44" s="1"/>
  <c r="AV17" i="44"/>
  <c r="BC17" i="44" s="1"/>
  <c r="AV19" i="44"/>
  <c r="BC19" i="44" s="1"/>
  <c r="AV21" i="44"/>
  <c r="BC21" i="44" s="1"/>
  <c r="AV23" i="44"/>
  <c r="BC23" i="44" s="1"/>
  <c r="AV25" i="44"/>
  <c r="BC25" i="44" s="1"/>
  <c r="AV27" i="44"/>
  <c r="BC27" i="44" s="1"/>
  <c r="AV29" i="44"/>
  <c r="BC29" i="44" s="1"/>
  <c r="AV14" i="44"/>
  <c r="BC14" i="44" s="1"/>
  <c r="AV7" i="44"/>
  <c r="BC7" i="44" s="1"/>
  <c r="AV11" i="44"/>
  <c r="BC11" i="44" s="1"/>
  <c r="AS32" i="44"/>
  <c r="AS88" i="44" s="1"/>
  <c r="AV3" i="44"/>
  <c r="AR19" i="43"/>
  <c r="AQ15" i="43"/>
  <c r="AS15" i="43" s="1"/>
  <c r="AQ18" i="43"/>
  <c r="AS18" i="43" s="1"/>
  <c r="AR22" i="43"/>
  <c r="Y4" i="43"/>
  <c r="G2" i="43" s="1"/>
  <c r="Y5" i="43"/>
  <c r="Y6" i="43" s="1"/>
  <c r="AX23" i="43"/>
  <c r="Y4" i="40"/>
  <c r="G2" i="40" s="1"/>
  <c r="Y5" i="40"/>
  <c r="Y6" i="40" s="1"/>
  <c r="H2" i="44"/>
  <c r="F2" i="44" s="1"/>
  <c r="AU9" i="44"/>
  <c r="AX21" i="41"/>
  <c r="AX15" i="41"/>
  <c r="AQ21" i="39"/>
  <c r="AS21" i="39" s="1"/>
  <c r="AR25" i="39"/>
  <c r="O10" i="39"/>
  <c r="Y2" i="39"/>
  <c r="Y3" i="39" s="1"/>
  <c r="AQ12" i="40"/>
  <c r="AS12" i="40" s="1"/>
  <c r="AR16" i="40"/>
  <c r="AX22" i="43"/>
  <c r="AX21" i="44"/>
  <c r="AS8" i="41"/>
  <c r="AX22" i="44"/>
  <c r="AX16" i="42"/>
  <c r="AR25" i="42"/>
  <c r="AQ21" i="42"/>
  <c r="AS21" i="42" s="1"/>
  <c r="AX24" i="40"/>
  <c r="H2" i="41"/>
  <c r="F2" i="41"/>
  <c r="AX26" i="40"/>
  <c r="AX20" i="43"/>
  <c r="AX15" i="42"/>
  <c r="H2" i="42"/>
  <c r="F2" i="42"/>
  <c r="AR21" i="41"/>
  <c r="AQ17" i="41"/>
  <c r="AS17" i="41" s="1"/>
  <c r="AR16" i="41"/>
  <c r="AQ12" i="41"/>
  <c r="AS12" i="41" s="1"/>
  <c r="AR26" i="40"/>
  <c r="AQ22" i="40"/>
  <c r="AS22" i="40" s="1"/>
  <c r="AQ15" i="40"/>
  <c r="AS15" i="40" s="1"/>
  <c r="AR19" i="40"/>
  <c r="AQ15" i="39"/>
  <c r="AS15" i="39" s="1"/>
  <c r="AR19" i="39"/>
  <c r="AQ14" i="42"/>
  <c r="AS14" i="42" s="1"/>
  <c r="AR18" i="42"/>
  <c r="AX18" i="41"/>
  <c r="AX27" i="40"/>
  <c r="AQ21" i="40"/>
  <c r="AS21" i="40" s="1"/>
  <c r="AR25" i="40"/>
  <c r="AQ12" i="39"/>
  <c r="AS12" i="39" s="1"/>
  <c r="AR16" i="39"/>
  <c r="AX28" i="39"/>
  <c r="Y4" i="37"/>
  <c r="G2" i="37" s="1"/>
  <c r="Y5" i="37"/>
  <c r="Y6" i="37" s="1"/>
  <c r="AW17" i="44" l="1"/>
  <c r="AW12" i="44"/>
  <c r="AW8" i="44"/>
  <c r="AW28" i="44"/>
  <c r="AW24" i="44"/>
  <c r="AW5" i="44"/>
  <c r="AW4" i="44"/>
  <c r="AW20" i="44"/>
  <c r="AW9" i="44"/>
  <c r="AW16" i="44"/>
  <c r="AW13" i="44"/>
  <c r="AU32" i="44"/>
  <c r="AU88" i="44" s="1"/>
  <c r="Y4" i="39"/>
  <c r="G2" i="39" s="1"/>
  <c r="Y5" i="39"/>
  <c r="Y6" i="39" s="1"/>
  <c r="AR29" i="42"/>
  <c r="AQ29" i="42" s="1"/>
  <c r="AS29" i="42" s="1"/>
  <c r="AQ25" i="42"/>
  <c r="AS25" i="42" s="1"/>
  <c r="AQ16" i="40"/>
  <c r="AS16" i="40" s="1"/>
  <c r="AR20" i="40"/>
  <c r="AV32" i="44"/>
  <c r="AV88" i="44" s="1"/>
  <c r="BC3" i="44"/>
  <c r="AW6" i="44" s="1"/>
  <c r="I2" i="44"/>
  <c r="G3" i="44"/>
  <c r="AX24" i="43"/>
  <c r="AQ16" i="39"/>
  <c r="AS16" i="39" s="1"/>
  <c r="AR20" i="39"/>
  <c r="AX22" i="41"/>
  <c r="AQ26" i="40"/>
  <c r="AS26" i="40" s="1"/>
  <c r="AR30" i="40"/>
  <c r="AQ30" i="40" s="1"/>
  <c r="AS30" i="40" s="1"/>
  <c r="AX19" i="42"/>
  <c r="AX28" i="40"/>
  <c r="AX20" i="42"/>
  <c r="AX26" i="43"/>
  <c r="AQ19" i="40"/>
  <c r="AS19" i="40" s="1"/>
  <c r="AR23" i="40"/>
  <c r="AR25" i="41"/>
  <c r="AQ21" i="41"/>
  <c r="AS21" i="41" s="1"/>
  <c r="AX26" i="44"/>
  <c r="I2" i="41"/>
  <c r="G3" i="41"/>
  <c r="H2" i="43"/>
  <c r="F2" i="43" s="1"/>
  <c r="AR23" i="43"/>
  <c r="AQ19" i="43"/>
  <c r="AS19" i="43" s="1"/>
  <c r="AQ18" i="42"/>
  <c r="AS18" i="42" s="1"/>
  <c r="AR22" i="42"/>
  <c r="AQ19" i="39"/>
  <c r="AS19" i="39" s="1"/>
  <c r="AR23" i="39"/>
  <c r="AX19" i="41"/>
  <c r="AR20" i="41"/>
  <c r="AQ16" i="41"/>
  <c r="AS16" i="41" s="1"/>
  <c r="AX30" i="40"/>
  <c r="AX25" i="44"/>
  <c r="AW21" i="44"/>
  <c r="AX25" i="41"/>
  <c r="AX27" i="43"/>
  <c r="AQ22" i="43"/>
  <c r="AS22" i="43" s="1"/>
  <c r="AR26" i="43"/>
  <c r="AQ25" i="39"/>
  <c r="AS25" i="39" s="1"/>
  <c r="AR29" i="39"/>
  <c r="AQ29" i="39" s="1"/>
  <c r="AS29" i="39" s="1"/>
  <c r="I2" i="42"/>
  <c r="G3" i="42"/>
  <c r="H2" i="37"/>
  <c r="AQ25" i="40"/>
  <c r="AS25" i="40" s="1"/>
  <c r="AR29" i="40"/>
  <c r="AQ29" i="40" s="1"/>
  <c r="AS29" i="40" s="1"/>
  <c r="H2" i="40"/>
  <c r="AW10" i="44" l="1"/>
  <c r="AW23" i="44"/>
  <c r="AW7" i="44"/>
  <c r="AW14" i="44"/>
  <c r="AW27" i="44"/>
  <c r="AW11" i="44"/>
  <c r="AW3" i="44"/>
  <c r="AW22" i="44"/>
  <c r="AW19" i="44"/>
  <c r="AW15" i="44"/>
  <c r="AW18" i="44"/>
  <c r="J2" i="42"/>
  <c r="AQ22" i="42"/>
  <c r="AS22" i="42" s="1"/>
  <c r="AR26" i="42"/>
  <c r="G3" i="37"/>
  <c r="I2" i="37"/>
  <c r="AX23" i="41"/>
  <c r="F2" i="37"/>
  <c r="H3" i="42"/>
  <c r="AX29" i="41"/>
  <c r="AQ23" i="39"/>
  <c r="AS23" i="39" s="1"/>
  <c r="AR27" i="39"/>
  <c r="AQ27" i="39" s="1"/>
  <c r="AS27" i="39" s="1"/>
  <c r="AQ23" i="40"/>
  <c r="AS23" i="40" s="1"/>
  <c r="AR27" i="40"/>
  <c r="AQ27" i="40" s="1"/>
  <c r="AS27" i="40" s="1"/>
  <c r="AX28" i="43"/>
  <c r="AX29" i="44"/>
  <c r="AW29" i="44" s="1"/>
  <c r="AW25" i="44"/>
  <c r="J2" i="41"/>
  <c r="AX26" i="41"/>
  <c r="F3" i="44"/>
  <c r="H3" i="44"/>
  <c r="F2" i="39"/>
  <c r="H2" i="39"/>
  <c r="I2" i="43"/>
  <c r="G3" i="43"/>
  <c r="AX24" i="42"/>
  <c r="AR24" i="41"/>
  <c r="AQ20" i="41"/>
  <c r="AS20" i="41" s="1"/>
  <c r="AW26" i="44"/>
  <c r="AX30" i="44"/>
  <c r="AW30" i="44" s="1"/>
  <c r="AX30" i="43"/>
  <c r="J2" i="44"/>
  <c r="H3" i="41"/>
  <c r="G3" i="40"/>
  <c r="I2" i="40"/>
  <c r="AQ20" i="39"/>
  <c r="AS20" i="39" s="1"/>
  <c r="AR24" i="39"/>
  <c r="F2" i="40"/>
  <c r="AX23" i="42"/>
  <c r="AQ26" i="43"/>
  <c r="AS26" i="43" s="1"/>
  <c r="AR30" i="43"/>
  <c r="AQ30" i="43" s="1"/>
  <c r="AS30" i="43" s="1"/>
  <c r="AR27" i="43"/>
  <c r="AQ27" i="43" s="1"/>
  <c r="AS27" i="43" s="1"/>
  <c r="AQ23" i="43"/>
  <c r="AS23" i="43" s="1"/>
  <c r="AR29" i="41"/>
  <c r="AQ29" i="41" s="1"/>
  <c r="AS29" i="41" s="1"/>
  <c r="AQ25" i="41"/>
  <c r="AS25" i="41" s="1"/>
  <c r="AR24" i="40"/>
  <c r="AQ20" i="40"/>
  <c r="AS20" i="40" s="1"/>
  <c r="AU9" i="43" l="1"/>
  <c r="AU21" i="43"/>
  <c r="AU27" i="43"/>
  <c r="AU15" i="43"/>
  <c r="AU13" i="43"/>
  <c r="AU3" i="43"/>
  <c r="AU22" i="43"/>
  <c r="AU8" i="43"/>
  <c r="AU12" i="43"/>
  <c r="AU6" i="43"/>
  <c r="AU20" i="43"/>
  <c r="AU10" i="43"/>
  <c r="AU17" i="43"/>
  <c r="AU4" i="43"/>
  <c r="AU11" i="43"/>
  <c r="AU26" i="43"/>
  <c r="AU25" i="43"/>
  <c r="AU5" i="43"/>
  <c r="AU23" i="43"/>
  <c r="AU16" i="43"/>
  <c r="AV8" i="43"/>
  <c r="BC8" i="43" s="1"/>
  <c r="AU19" i="43"/>
  <c r="AU18" i="43"/>
  <c r="AU28" i="43"/>
  <c r="AU30" i="43"/>
  <c r="AU29" i="43"/>
  <c r="AU24" i="43"/>
  <c r="AU7" i="43"/>
  <c r="AV7" i="43"/>
  <c r="BC7" i="43" s="1"/>
  <c r="AV17" i="43"/>
  <c r="BC17" i="43" s="1"/>
  <c r="AQ24" i="40"/>
  <c r="AS24" i="40" s="1"/>
  <c r="AR28" i="40"/>
  <c r="AQ28" i="40" s="1"/>
  <c r="AS28" i="40" s="1"/>
  <c r="AV19" i="43"/>
  <c r="BC19" i="43" s="1"/>
  <c r="AV26" i="43"/>
  <c r="BC26" i="43" s="1"/>
  <c r="AV9" i="43"/>
  <c r="BC9" i="43" s="1"/>
  <c r="AV3" i="43"/>
  <c r="AR28" i="41"/>
  <c r="AQ28" i="41" s="1"/>
  <c r="AS28" i="41" s="1"/>
  <c r="AQ24" i="41"/>
  <c r="AS24" i="41" s="1"/>
  <c r="AX30" i="41"/>
  <c r="G4" i="42"/>
  <c r="I3" i="42"/>
  <c r="AQ26" i="42"/>
  <c r="AS26" i="42" s="1"/>
  <c r="AR30" i="42"/>
  <c r="AQ30" i="42" s="1"/>
  <c r="AS30" i="42" s="1"/>
  <c r="AV28" i="43"/>
  <c r="BC28" i="43" s="1"/>
  <c r="AV6" i="43"/>
  <c r="BC6" i="43" s="1"/>
  <c r="F3" i="43"/>
  <c r="H3" i="43"/>
  <c r="G3" i="39"/>
  <c r="I2" i="39"/>
  <c r="F3" i="42"/>
  <c r="AV13" i="43"/>
  <c r="BC13" i="43" s="1"/>
  <c r="AX27" i="41"/>
  <c r="AV29" i="43"/>
  <c r="BC29" i="43" s="1"/>
  <c r="AX27" i="42"/>
  <c r="AR28" i="39"/>
  <c r="AQ28" i="39" s="1"/>
  <c r="AS28" i="39" s="1"/>
  <c r="AQ24" i="39"/>
  <c r="AS24" i="39" s="1"/>
  <c r="G4" i="41"/>
  <c r="I3" i="41"/>
  <c r="J2" i="43"/>
  <c r="AS32" i="43"/>
  <c r="AS88" i="43" s="1"/>
  <c r="J2" i="37"/>
  <c r="AV11" i="43"/>
  <c r="BC11" i="43" s="1"/>
  <c r="F3" i="41"/>
  <c r="AV18" i="43"/>
  <c r="BC18" i="43" s="1"/>
  <c r="AV22" i="43"/>
  <c r="BC22" i="43" s="1"/>
  <c r="H3" i="37"/>
  <c r="AV27" i="43"/>
  <c r="BC27" i="43" s="1"/>
  <c r="AV20" i="43"/>
  <c r="BC20" i="43" s="1"/>
  <c r="J2" i="40"/>
  <c r="AX28" i="42"/>
  <c r="AV25" i="43"/>
  <c r="BC25" i="43" s="1"/>
  <c r="AU14" i="43"/>
  <c r="AV16" i="43"/>
  <c r="BC16" i="43" s="1"/>
  <c r="AV15" i="43"/>
  <c r="BC15" i="43" s="1"/>
  <c r="AV4" i="43"/>
  <c r="BC4" i="43" s="1"/>
  <c r="AV24" i="43"/>
  <c r="BC24" i="43" s="1"/>
  <c r="AV23" i="43"/>
  <c r="BC23" i="43" s="1"/>
  <c r="AV14" i="43"/>
  <c r="BC14" i="43" s="1"/>
  <c r="AV21" i="43"/>
  <c r="BC21" i="43" s="1"/>
  <c r="AV5" i="43"/>
  <c r="BC5" i="43" s="1"/>
  <c r="AV10" i="43"/>
  <c r="BC10" i="43" s="1"/>
  <c r="H3" i="40"/>
  <c r="F3" i="40"/>
  <c r="AV30" i="43"/>
  <c r="BC30" i="43" s="1"/>
  <c r="G4" i="44"/>
  <c r="I3" i="44"/>
  <c r="AV12" i="43"/>
  <c r="BC12" i="43" s="1"/>
  <c r="AW32" i="44"/>
  <c r="AW88" i="44" s="1"/>
  <c r="AU20" i="42" l="1"/>
  <c r="AU28" i="42"/>
  <c r="AU4" i="41"/>
  <c r="AU12" i="41"/>
  <c r="AU3" i="39"/>
  <c r="AU18" i="40"/>
  <c r="AU5" i="41"/>
  <c r="AU26" i="40"/>
  <c r="AU11" i="41"/>
  <c r="AU3" i="41"/>
  <c r="AU21" i="39"/>
  <c r="AU29" i="39"/>
  <c r="AU30" i="40"/>
  <c r="AU10" i="41"/>
  <c r="AU3" i="40"/>
  <c r="AU25" i="39"/>
  <c r="AU7" i="40"/>
  <c r="AU8" i="40"/>
  <c r="AU16" i="39"/>
  <c r="AU9" i="41"/>
  <c r="AU27" i="41"/>
  <c r="AU22" i="40"/>
  <c r="AU4" i="42"/>
  <c r="AU24" i="42"/>
  <c r="AU13" i="39"/>
  <c r="AU12" i="42"/>
  <c r="AU24" i="39"/>
  <c r="AU20" i="41"/>
  <c r="AU10" i="40"/>
  <c r="AU27" i="39"/>
  <c r="AS88" i="38"/>
  <c r="AU24" i="40"/>
  <c r="AU6" i="39"/>
  <c r="AU29" i="41"/>
  <c r="AU17" i="40"/>
  <c r="AU5" i="42"/>
  <c r="AU22" i="42"/>
  <c r="AU21" i="42"/>
  <c r="AU28" i="40"/>
  <c r="AU28" i="41"/>
  <c r="AU20" i="40"/>
  <c r="AU14" i="42"/>
  <c r="AU30" i="41"/>
  <c r="AU7" i="39"/>
  <c r="AU20" i="39"/>
  <c r="AU6" i="42"/>
  <c r="AU5" i="39"/>
  <c r="AU16" i="40"/>
  <c r="AU4" i="40"/>
  <c r="AU27" i="42"/>
  <c r="AU8" i="42"/>
  <c r="AU8" i="41"/>
  <c r="AU23" i="41"/>
  <c r="AU4" i="39"/>
  <c r="AU23" i="39"/>
  <c r="AU16" i="41"/>
  <c r="AU6" i="41"/>
  <c r="AU22" i="39"/>
  <c r="AU18" i="42"/>
  <c r="AU13" i="42"/>
  <c r="AU26" i="42"/>
  <c r="AU15" i="40"/>
  <c r="AU19" i="40"/>
  <c r="AV16" i="40"/>
  <c r="BC16" i="40" s="1"/>
  <c r="AW16" i="43"/>
  <c r="AV11" i="39"/>
  <c r="BC11" i="39" s="1"/>
  <c r="AU24" i="41"/>
  <c r="AU22" i="41"/>
  <c r="AU30" i="42"/>
  <c r="AU27" i="40"/>
  <c r="AU5" i="40"/>
  <c r="AU26" i="39"/>
  <c r="AU18" i="39"/>
  <c r="AU16" i="42"/>
  <c r="AU11" i="42"/>
  <c r="AW8" i="43"/>
  <c r="AU14" i="40"/>
  <c r="AU25" i="40"/>
  <c r="AW17" i="43"/>
  <c r="AV18" i="41"/>
  <c r="BC18" i="41" s="1"/>
  <c r="AU26" i="41"/>
  <c r="AU9" i="40"/>
  <c r="AV18" i="42"/>
  <c r="BC18" i="42" s="1"/>
  <c r="AW21" i="43"/>
  <c r="AV6" i="41"/>
  <c r="BC6" i="41" s="1"/>
  <c r="AU17" i="39"/>
  <c r="AU19" i="39"/>
  <c r="AU10" i="39"/>
  <c r="AU14" i="39"/>
  <c r="AV16" i="41"/>
  <c r="BC16" i="41" s="1"/>
  <c r="AV25" i="40"/>
  <c r="BC25" i="40" s="1"/>
  <c r="AU17" i="42"/>
  <c r="AU29" i="42"/>
  <c r="AU29" i="40"/>
  <c r="AV30" i="40"/>
  <c r="BC30" i="40" s="1"/>
  <c r="AV23" i="40"/>
  <c r="BC23" i="40" s="1"/>
  <c r="AU11" i="40"/>
  <c r="AV13" i="40"/>
  <c r="BC13" i="40" s="1"/>
  <c r="AU7" i="41"/>
  <c r="AU14" i="41"/>
  <c r="AU9" i="39"/>
  <c r="AV8" i="40"/>
  <c r="BC8" i="40" s="1"/>
  <c r="AU15" i="41"/>
  <c r="AU17" i="41"/>
  <c r="AV20" i="40"/>
  <c r="BC20" i="40" s="1"/>
  <c r="AU3" i="42"/>
  <c r="AU10" i="42"/>
  <c r="AV19" i="40"/>
  <c r="BC19" i="40" s="1"/>
  <c r="AV5" i="40"/>
  <c r="BC5" i="40" s="1"/>
  <c r="AV10" i="40"/>
  <c r="BC10" i="40" s="1"/>
  <c r="AV3" i="40"/>
  <c r="BC3" i="40" s="1"/>
  <c r="AW9" i="43"/>
  <c r="AV15" i="40"/>
  <c r="BC15" i="40" s="1"/>
  <c r="AV24" i="40"/>
  <c r="BC24" i="40" s="1"/>
  <c r="AV27" i="40"/>
  <c r="BC27" i="40" s="1"/>
  <c r="AV12" i="40"/>
  <c r="BC12" i="40" s="1"/>
  <c r="AV19" i="41"/>
  <c r="BC19" i="41" s="1"/>
  <c r="AW20" i="43"/>
  <c r="AW24" i="43"/>
  <c r="AV28" i="40"/>
  <c r="BC28" i="40" s="1"/>
  <c r="AU9" i="42"/>
  <c r="AU12" i="39"/>
  <c r="AU28" i="39"/>
  <c r="AV7" i="42"/>
  <c r="BC7" i="42" s="1"/>
  <c r="AV16" i="42"/>
  <c r="BC16" i="42" s="1"/>
  <c r="AU7" i="42"/>
  <c r="AW5" i="43"/>
  <c r="AV20" i="42"/>
  <c r="BC20" i="42" s="1"/>
  <c r="AV24" i="42"/>
  <c r="BC24" i="42" s="1"/>
  <c r="AW4" i="43"/>
  <c r="AV17" i="42"/>
  <c r="BC17" i="42" s="1"/>
  <c r="AU15" i="39"/>
  <c r="AU6" i="40"/>
  <c r="AU13" i="40"/>
  <c r="AV7" i="40"/>
  <c r="BC7" i="40" s="1"/>
  <c r="AU23" i="40"/>
  <c r="AV10" i="42"/>
  <c r="BC10" i="42" s="1"/>
  <c r="AU18" i="41"/>
  <c r="AU25" i="41"/>
  <c r="AV27" i="39"/>
  <c r="BC27" i="39" s="1"/>
  <c r="AV12" i="42"/>
  <c r="BC12" i="42" s="1"/>
  <c r="AS32" i="42"/>
  <c r="AS88" i="42" s="1"/>
  <c r="AU19" i="42"/>
  <c r="AU15" i="42"/>
  <c r="AU13" i="41"/>
  <c r="AU19" i="41"/>
  <c r="AW29" i="43"/>
  <c r="AV6" i="42"/>
  <c r="BC6" i="42" s="1"/>
  <c r="AU23" i="42"/>
  <c r="AW12" i="43"/>
  <c r="AV22" i="39"/>
  <c r="BC22" i="39" s="1"/>
  <c r="AV17" i="40"/>
  <c r="BC17" i="40" s="1"/>
  <c r="AU30" i="39"/>
  <c r="AW13" i="43"/>
  <c r="AW25" i="43"/>
  <c r="AW28" i="43"/>
  <c r="AV5" i="42"/>
  <c r="BC5" i="42" s="1"/>
  <c r="AV23" i="42"/>
  <c r="BC23" i="42" s="1"/>
  <c r="AV28" i="41"/>
  <c r="BC28" i="41" s="1"/>
  <c r="J2" i="39"/>
  <c r="AV15" i="42"/>
  <c r="BC15" i="42" s="1"/>
  <c r="AV10" i="41"/>
  <c r="BC10" i="41" s="1"/>
  <c r="F4" i="42"/>
  <c r="H4" i="42"/>
  <c r="AU21" i="41"/>
  <c r="AV8" i="41"/>
  <c r="BC8" i="41" s="1"/>
  <c r="AV11" i="41"/>
  <c r="BC11" i="41" s="1"/>
  <c r="AV25" i="41"/>
  <c r="BC25" i="41" s="1"/>
  <c r="AV15" i="41"/>
  <c r="BC15" i="41" s="1"/>
  <c r="I3" i="37"/>
  <c r="G4" i="37"/>
  <c r="AV9" i="41"/>
  <c r="BC9" i="41" s="1"/>
  <c r="AV3" i="41"/>
  <c r="H4" i="41"/>
  <c r="F4" i="41" s="1"/>
  <c r="AV20" i="41"/>
  <c r="BC20" i="41" s="1"/>
  <c r="I3" i="40"/>
  <c r="G4" i="40"/>
  <c r="AV17" i="39"/>
  <c r="BC17" i="39" s="1"/>
  <c r="F3" i="37"/>
  <c r="AU8" i="39"/>
  <c r="AV20" i="39"/>
  <c r="BC20" i="39" s="1"/>
  <c r="AV7" i="39"/>
  <c r="BC7" i="39" s="1"/>
  <c r="AV19" i="39"/>
  <c r="BC19" i="39" s="1"/>
  <c r="AV16" i="39"/>
  <c r="BC16" i="39" s="1"/>
  <c r="AV26" i="39"/>
  <c r="BC26" i="39" s="1"/>
  <c r="AV6" i="39"/>
  <c r="BC6" i="39" s="1"/>
  <c r="AV10" i="39"/>
  <c r="BC10" i="39" s="1"/>
  <c r="AV28" i="39"/>
  <c r="BC28" i="39" s="1"/>
  <c r="AV13" i="39"/>
  <c r="BC13" i="39" s="1"/>
  <c r="AV30" i="39"/>
  <c r="BC30" i="39" s="1"/>
  <c r="AS32" i="39"/>
  <c r="AS88" i="39" s="1"/>
  <c r="AV5" i="39"/>
  <c r="BC5" i="39" s="1"/>
  <c r="AV15" i="39"/>
  <c r="BC15" i="39" s="1"/>
  <c r="AV14" i="39"/>
  <c r="BC14" i="39" s="1"/>
  <c r="AV24" i="39"/>
  <c r="BC24" i="39" s="1"/>
  <c r="AV23" i="39"/>
  <c r="BC23" i="39" s="1"/>
  <c r="AV4" i="39"/>
  <c r="BC4" i="39" s="1"/>
  <c r="AV29" i="39"/>
  <c r="BC29" i="39" s="1"/>
  <c r="AV25" i="39"/>
  <c r="BC25" i="39" s="1"/>
  <c r="AV21" i="39"/>
  <c r="BC21" i="39" s="1"/>
  <c r="G4" i="43"/>
  <c r="I3" i="43"/>
  <c r="AV25" i="42"/>
  <c r="BC25" i="42" s="1"/>
  <c r="AV4" i="41"/>
  <c r="BC4" i="41" s="1"/>
  <c r="BC3" i="43"/>
  <c r="AW30" i="43" s="1"/>
  <c r="AV32" i="43"/>
  <c r="AV88" i="43" s="1"/>
  <c r="J3" i="41"/>
  <c r="AV27" i="41"/>
  <c r="BC27" i="41" s="1"/>
  <c r="AU11" i="39"/>
  <c r="AV3" i="39"/>
  <c r="AV30" i="41"/>
  <c r="BC30" i="41" s="1"/>
  <c r="AV24" i="41"/>
  <c r="BC24" i="41" s="1"/>
  <c r="AU25" i="42"/>
  <c r="AV9" i="42"/>
  <c r="BC9" i="42" s="1"/>
  <c r="AV11" i="42"/>
  <c r="BC11" i="42" s="1"/>
  <c r="AV3" i="42"/>
  <c r="AV27" i="42"/>
  <c r="BC27" i="42" s="1"/>
  <c r="AV29" i="42"/>
  <c r="BC29" i="42" s="1"/>
  <c r="AV8" i="42"/>
  <c r="BC8" i="42" s="1"/>
  <c r="AV28" i="42"/>
  <c r="BC28" i="42" s="1"/>
  <c r="AV23" i="41"/>
  <c r="BC23" i="41" s="1"/>
  <c r="AU12" i="40"/>
  <c r="AV22" i="40"/>
  <c r="BC22" i="40" s="1"/>
  <c r="AV26" i="40"/>
  <c r="BC26" i="40" s="1"/>
  <c r="H3" i="39"/>
  <c r="J3" i="44"/>
  <c r="AV26" i="41"/>
  <c r="BC26" i="41" s="1"/>
  <c r="AV13" i="41"/>
  <c r="BC13" i="41" s="1"/>
  <c r="AV9" i="39"/>
  <c r="BC9" i="39" s="1"/>
  <c r="AV22" i="42"/>
  <c r="BC22" i="42" s="1"/>
  <c r="AV29" i="41"/>
  <c r="BC29" i="41" s="1"/>
  <c r="AV4" i="42"/>
  <c r="BC4" i="42" s="1"/>
  <c r="AU21" i="40"/>
  <c r="AV4" i="40"/>
  <c r="BC4" i="40" s="1"/>
  <c r="AV6" i="40"/>
  <c r="BC6" i="40" s="1"/>
  <c r="AV14" i="40"/>
  <c r="BC14" i="40" s="1"/>
  <c r="AV29" i="40"/>
  <c r="BC29" i="40" s="1"/>
  <c r="AV18" i="40"/>
  <c r="BC18" i="40" s="1"/>
  <c r="AS32" i="40"/>
  <c r="AS88" i="40" s="1"/>
  <c r="AV9" i="40"/>
  <c r="BC9" i="40" s="1"/>
  <c r="AV11" i="40"/>
  <c r="BC11" i="40" s="1"/>
  <c r="AV21" i="40"/>
  <c r="BC21" i="40" s="1"/>
  <c r="H4" i="44"/>
  <c r="F4" i="44" s="1"/>
  <c r="AV14" i="41"/>
  <c r="BC14" i="41" s="1"/>
  <c r="AV22" i="41"/>
  <c r="BC22" i="41" s="1"/>
  <c r="AV21" i="41"/>
  <c r="BC21" i="41" s="1"/>
  <c r="AV13" i="42"/>
  <c r="BC13" i="42" s="1"/>
  <c r="AV26" i="42"/>
  <c r="BC26" i="42" s="1"/>
  <c r="AV5" i="41"/>
  <c r="BC5" i="41" s="1"/>
  <c r="AV21" i="42"/>
  <c r="BC21" i="42" s="1"/>
  <c r="AV19" i="42"/>
  <c r="BC19" i="42" s="1"/>
  <c r="AU32" i="43"/>
  <c r="AU88" i="43" s="1"/>
  <c r="AV8" i="39"/>
  <c r="BC8" i="39" s="1"/>
  <c r="AV18" i="39"/>
  <c r="BC18" i="39" s="1"/>
  <c r="AV17" i="41"/>
  <c r="BC17" i="41" s="1"/>
  <c r="AV7" i="41"/>
  <c r="BC7" i="41" s="1"/>
  <c r="AV12" i="39"/>
  <c r="BC12" i="39" s="1"/>
  <c r="AV30" i="42"/>
  <c r="BC30" i="42" s="1"/>
  <c r="AS32" i="41"/>
  <c r="AS88" i="41" s="1"/>
  <c r="J3" i="42"/>
  <c r="AV14" i="42"/>
  <c r="BC14" i="42" s="1"/>
  <c r="AV12" i="41"/>
  <c r="BC12" i="41" s="1"/>
  <c r="AW22" i="43" l="1"/>
  <c r="AW27" i="43"/>
  <c r="AU88" i="38"/>
  <c r="AW19" i="43"/>
  <c r="AV88" i="38"/>
  <c r="AW8" i="40"/>
  <c r="AW24" i="42"/>
  <c r="AW18" i="43"/>
  <c r="AW6" i="43"/>
  <c r="AW24" i="40"/>
  <c r="AW14" i="43"/>
  <c r="AW11" i="43"/>
  <c r="AW29" i="40"/>
  <c r="AW23" i="43"/>
  <c r="AW17" i="41"/>
  <c r="AW20" i="40"/>
  <c r="AW4" i="42"/>
  <c r="AW25" i="41"/>
  <c r="AW24" i="41"/>
  <c r="AW29" i="39"/>
  <c r="AW27" i="40"/>
  <c r="AW12" i="39"/>
  <c r="AW7" i="43"/>
  <c r="AW16" i="42"/>
  <c r="AW4" i="40"/>
  <c r="AW3" i="40"/>
  <c r="AU32" i="42"/>
  <c r="AU88" i="42" s="1"/>
  <c r="AW25" i="39"/>
  <c r="AW10" i="43"/>
  <c r="AU32" i="41"/>
  <c r="AU88" i="41" s="1"/>
  <c r="AW16" i="41"/>
  <c r="AW15" i="43"/>
  <c r="AW18" i="40"/>
  <c r="AW9" i="40"/>
  <c r="AW6" i="40"/>
  <c r="AW13" i="39"/>
  <c r="AW20" i="41"/>
  <c r="AW28" i="40"/>
  <c r="AW26" i="40"/>
  <c r="AW21" i="42"/>
  <c r="AW21" i="39"/>
  <c r="AW14" i="40"/>
  <c r="AW16" i="40"/>
  <c r="AW28" i="42"/>
  <c r="AW26" i="43"/>
  <c r="AW9" i="39"/>
  <c r="AW9" i="41"/>
  <c r="AW5" i="39"/>
  <c r="AW13" i="42"/>
  <c r="AW10" i="40"/>
  <c r="AW5" i="41"/>
  <c r="AW8" i="41"/>
  <c r="AW28" i="39"/>
  <c r="AW15" i="40"/>
  <c r="AW29" i="41"/>
  <c r="AW7" i="40"/>
  <c r="AW12" i="40"/>
  <c r="AW19" i="40"/>
  <c r="AW17" i="42"/>
  <c r="AW8" i="42"/>
  <c r="AW22" i="40"/>
  <c r="AW25" i="40"/>
  <c r="AW29" i="42"/>
  <c r="AW30" i="40"/>
  <c r="AW28" i="41"/>
  <c r="AW4" i="39"/>
  <c r="AW16" i="39"/>
  <c r="AW8" i="39"/>
  <c r="AW20" i="42"/>
  <c r="AW24" i="39"/>
  <c r="AW17" i="40"/>
  <c r="AW25" i="42"/>
  <c r="AW9" i="42"/>
  <c r="AW5" i="40"/>
  <c r="AW3" i="43"/>
  <c r="AW21" i="40"/>
  <c r="AW17" i="39"/>
  <c r="AW23" i="40"/>
  <c r="AW4" i="41"/>
  <c r="AW13" i="41"/>
  <c r="AW20" i="39"/>
  <c r="AW12" i="41"/>
  <c r="AW12" i="42"/>
  <c r="AW21" i="41"/>
  <c r="AW5" i="42"/>
  <c r="AW13" i="40"/>
  <c r="AW11" i="40"/>
  <c r="H4" i="37"/>
  <c r="I3" i="39"/>
  <c r="G4" i="39"/>
  <c r="J3" i="37"/>
  <c r="F3" i="39"/>
  <c r="AU32" i="39"/>
  <c r="AU88" i="39" s="1"/>
  <c r="AV32" i="40"/>
  <c r="AV88" i="40" s="1"/>
  <c r="BC3" i="42"/>
  <c r="AW7" i="42" s="1"/>
  <c r="AV32" i="42"/>
  <c r="AV88" i="42" s="1"/>
  <c r="J3" i="43"/>
  <c r="G5" i="44"/>
  <c r="I4" i="44"/>
  <c r="F4" i="43"/>
  <c r="H4" i="43"/>
  <c r="AU32" i="40"/>
  <c r="AU88" i="40" s="1"/>
  <c r="AV32" i="39"/>
  <c r="AV88" i="39" s="1"/>
  <c r="BC3" i="39"/>
  <c r="AW7" i="39" s="1"/>
  <c r="I4" i="41"/>
  <c r="G5" i="41"/>
  <c r="H4" i="40"/>
  <c r="F4" i="40" s="1"/>
  <c r="BC3" i="41"/>
  <c r="AW18" i="41" s="1"/>
  <c r="AV32" i="41"/>
  <c r="AV88" i="41" s="1"/>
  <c r="J3" i="40"/>
  <c r="I4" i="42"/>
  <c r="G5" i="42"/>
  <c r="AW27" i="42" l="1"/>
  <c r="AW27" i="39"/>
  <c r="AW15" i="39"/>
  <c r="AW22" i="42"/>
  <c r="AW10" i="39"/>
  <c r="AW27" i="41"/>
  <c r="AW23" i="42"/>
  <c r="AW3" i="39"/>
  <c r="AW11" i="42"/>
  <c r="AW14" i="42"/>
  <c r="AW18" i="39"/>
  <c r="AW15" i="41"/>
  <c r="AW19" i="42"/>
  <c r="AW26" i="41"/>
  <c r="AW23" i="39"/>
  <c r="AW11" i="41"/>
  <c r="AW6" i="39"/>
  <c r="AW23" i="41"/>
  <c r="AW11" i="39"/>
  <c r="AW3" i="41"/>
  <c r="AW19" i="41"/>
  <c r="AW22" i="39"/>
  <c r="AW3" i="42"/>
  <c r="AW14" i="39"/>
  <c r="AW10" i="41"/>
  <c r="AW30" i="39"/>
  <c r="AW32" i="43"/>
  <c r="AW88" i="43" s="1"/>
  <c r="AW7" i="41"/>
  <c r="AW18" i="42"/>
  <c r="AW10" i="42"/>
  <c r="AW30" i="42"/>
  <c r="AW22" i="41"/>
  <c r="AW30" i="41"/>
  <c r="AW26" i="42"/>
  <c r="AW6" i="41"/>
  <c r="AW32" i="40"/>
  <c r="AW88" i="40" s="1"/>
  <c r="AW19" i="39"/>
  <c r="AW15" i="42"/>
  <c r="AW6" i="42"/>
  <c r="AW26" i="39"/>
  <c r="AW14" i="41"/>
  <c r="J3" i="39"/>
  <c r="I4" i="37"/>
  <c r="G5" i="37"/>
  <c r="F4" i="37"/>
  <c r="J4" i="44"/>
  <c r="H4" i="39"/>
  <c r="F4" i="39"/>
  <c r="G5" i="40"/>
  <c r="I4" i="40"/>
  <c r="H5" i="44"/>
  <c r="H5" i="42"/>
  <c r="F5" i="42"/>
  <c r="H5" i="41"/>
  <c r="F5" i="41"/>
  <c r="J4" i="42"/>
  <c r="J4" i="41"/>
  <c r="G5" i="43"/>
  <c r="I4" i="43"/>
  <c r="AW88" i="38" l="1"/>
  <c r="AW32" i="42"/>
  <c r="AW88" i="42" s="1"/>
  <c r="AW32" i="39"/>
  <c r="AW88" i="39" s="1"/>
  <c r="AW32" i="41"/>
  <c r="AW88" i="41" s="1"/>
  <c r="H5" i="40"/>
  <c r="J4" i="43"/>
  <c r="H5" i="43"/>
  <c r="F5" i="43" s="1"/>
  <c r="I5" i="42"/>
  <c r="G6" i="42"/>
  <c r="I5" i="41"/>
  <c r="G6" i="41"/>
  <c r="I4" i="39"/>
  <c r="G5" i="39"/>
  <c r="I5" i="44"/>
  <c r="G6" i="44"/>
  <c r="F5" i="44"/>
  <c r="J4" i="40"/>
  <c r="H5" i="37"/>
  <c r="F5" i="37" s="1"/>
  <c r="J4" i="37"/>
  <c r="J5" i="41" l="1"/>
  <c r="H6" i="42"/>
  <c r="F6" i="42" s="1"/>
  <c r="J5" i="42"/>
  <c r="H6" i="44"/>
  <c r="F6" i="44" s="1"/>
  <c r="G6" i="40"/>
  <c r="I5" i="40"/>
  <c r="H6" i="41"/>
  <c r="J5" i="44"/>
  <c r="F5" i="40"/>
  <c r="F5" i="39"/>
  <c r="H5" i="39"/>
  <c r="I5" i="37"/>
  <c r="G6" i="37"/>
  <c r="J4" i="39"/>
  <c r="G6" i="43"/>
  <c r="I5" i="43"/>
  <c r="J5" i="37" l="1"/>
  <c r="G7" i="42"/>
  <c r="I6" i="42"/>
  <c r="I6" i="44"/>
  <c r="G7" i="44"/>
  <c r="H6" i="40"/>
  <c r="G7" i="41"/>
  <c r="I6" i="41"/>
  <c r="J5" i="43"/>
  <c r="G6" i="39"/>
  <c r="I5" i="39"/>
  <c r="F6" i="41"/>
  <c r="F6" i="37"/>
  <c r="H6" i="37"/>
  <c r="F6" i="43"/>
  <c r="H6" i="43"/>
  <c r="J5" i="40"/>
  <c r="H6" i="39" l="1"/>
  <c r="H7" i="42"/>
  <c r="F7" i="42" s="1"/>
  <c r="J5" i="39"/>
  <c r="I6" i="40"/>
  <c r="G7" i="40"/>
  <c r="J6" i="42"/>
  <c r="I6" i="43"/>
  <c r="G7" i="43"/>
  <c r="F6" i="40"/>
  <c r="J6" i="41"/>
  <c r="F7" i="44"/>
  <c r="H7" i="44"/>
  <c r="G7" i="37"/>
  <c r="I6" i="37"/>
  <c r="F7" i="41"/>
  <c r="H7" i="41"/>
  <c r="J6" i="44"/>
  <c r="H7" i="43" l="1"/>
  <c r="J6" i="43"/>
  <c r="G7" i="39"/>
  <c r="I6" i="39"/>
  <c r="G8" i="41"/>
  <c r="I7" i="41"/>
  <c r="F6" i="39"/>
  <c r="G8" i="42"/>
  <c r="I7" i="42"/>
  <c r="H7" i="40"/>
  <c r="F7" i="40" s="1"/>
  <c r="J6" i="40"/>
  <c r="J6" i="37"/>
  <c r="F7" i="37"/>
  <c r="H7" i="37"/>
  <c r="G8" i="44"/>
  <c r="I7" i="44"/>
  <c r="J7" i="44" l="1"/>
  <c r="J7" i="41"/>
  <c r="H8" i="44"/>
  <c r="I7" i="37"/>
  <c r="G8" i="37"/>
  <c r="F8" i="41"/>
  <c r="H8" i="41"/>
  <c r="H8" i="42"/>
  <c r="I7" i="40"/>
  <c r="G8" i="40"/>
  <c r="J6" i="39"/>
  <c r="G8" i="43"/>
  <c r="I7" i="43"/>
  <c r="J7" i="42"/>
  <c r="H7" i="39"/>
  <c r="F7" i="39" s="1"/>
  <c r="F7" i="43"/>
  <c r="J7" i="43" l="1"/>
  <c r="G9" i="41"/>
  <c r="I8" i="41"/>
  <c r="H8" i="37"/>
  <c r="J7" i="37"/>
  <c r="H8" i="40"/>
  <c r="F8" i="40"/>
  <c r="H8" i="43"/>
  <c r="F8" i="43"/>
  <c r="J7" i="40"/>
  <c r="G8" i="39"/>
  <c r="I7" i="39"/>
  <c r="G9" i="42"/>
  <c r="I8" i="42"/>
  <c r="G9" i="44"/>
  <c r="I8" i="44"/>
  <c r="F8" i="42"/>
  <c r="F8" i="44"/>
  <c r="I8" i="40" l="1"/>
  <c r="G9" i="40"/>
  <c r="J8" i="44"/>
  <c r="F9" i="44"/>
  <c r="H9" i="44"/>
  <c r="J8" i="41"/>
  <c r="J8" i="42"/>
  <c r="H9" i="41"/>
  <c r="F9" i="42"/>
  <c r="H9" i="42"/>
  <c r="G9" i="37"/>
  <c r="I8" i="37"/>
  <c r="H8" i="39"/>
  <c r="F8" i="39"/>
  <c r="J7" i="39"/>
  <c r="I8" i="43"/>
  <c r="G9" i="43"/>
  <c r="F8" i="37"/>
  <c r="J8" i="37" l="1"/>
  <c r="H9" i="43"/>
  <c r="F9" i="43" s="1"/>
  <c r="H9" i="37"/>
  <c r="J8" i="43"/>
  <c r="G10" i="42"/>
  <c r="I9" i="42"/>
  <c r="G10" i="41"/>
  <c r="I9" i="41"/>
  <c r="I8" i="39"/>
  <c r="G9" i="39"/>
  <c r="H9" i="40"/>
  <c r="F9" i="41"/>
  <c r="G10" i="44"/>
  <c r="I9" i="44"/>
  <c r="J8" i="40"/>
  <c r="J9" i="41" l="1"/>
  <c r="H10" i="41"/>
  <c r="F10" i="41"/>
  <c r="I9" i="40"/>
  <c r="G10" i="40"/>
  <c r="H10" i="42"/>
  <c r="F10" i="42" s="1"/>
  <c r="J9" i="42"/>
  <c r="F9" i="40"/>
  <c r="I9" i="37"/>
  <c r="G10" i="37"/>
  <c r="J9" i="44"/>
  <c r="G10" i="43"/>
  <c r="I9" i="43"/>
  <c r="F10" i="44"/>
  <c r="H10" i="44"/>
  <c r="H9" i="39"/>
  <c r="F9" i="39" s="1"/>
  <c r="J8" i="39"/>
  <c r="F9" i="37"/>
  <c r="H10" i="43" l="1"/>
  <c r="I10" i="41"/>
  <c r="G11" i="41"/>
  <c r="J9" i="40"/>
  <c r="I9" i="39"/>
  <c r="G10" i="39"/>
  <c r="H10" i="37"/>
  <c r="I10" i="42"/>
  <c r="G11" i="42"/>
  <c r="J9" i="43"/>
  <c r="G11" i="44"/>
  <c r="I10" i="44"/>
  <c r="J9" i="37"/>
  <c r="H10" i="40"/>
  <c r="J10" i="44" l="1"/>
  <c r="I10" i="37"/>
  <c r="G11" i="37"/>
  <c r="H11" i="42"/>
  <c r="F11" i="42"/>
  <c r="F11" i="44"/>
  <c r="H11" i="44"/>
  <c r="F10" i="37"/>
  <c r="J10" i="42"/>
  <c r="H10" i="39"/>
  <c r="F10" i="39"/>
  <c r="H11" i="41"/>
  <c r="J9" i="39"/>
  <c r="G11" i="40"/>
  <c r="I10" i="40"/>
  <c r="G11" i="43"/>
  <c r="I10" i="43"/>
  <c r="J10" i="41"/>
  <c r="F10" i="40"/>
  <c r="F10" i="43"/>
  <c r="I11" i="41" l="1"/>
  <c r="G12" i="41"/>
  <c r="I11" i="44"/>
  <c r="G12" i="44"/>
  <c r="J10" i="40"/>
  <c r="I11" i="42"/>
  <c r="G12" i="42"/>
  <c r="H11" i="37"/>
  <c r="I10" i="39"/>
  <c r="G11" i="39"/>
  <c r="J10" i="37"/>
  <c r="H11" i="40"/>
  <c r="J10" i="43"/>
  <c r="H11" i="43"/>
  <c r="F11" i="43"/>
  <c r="F11" i="41"/>
  <c r="H11" i="39" l="1"/>
  <c r="G12" i="37"/>
  <c r="I11" i="37"/>
  <c r="G12" i="40"/>
  <c r="I11" i="40"/>
  <c r="F11" i="37"/>
  <c r="J10" i="39"/>
  <c r="F11" i="40"/>
  <c r="H12" i="44"/>
  <c r="J11" i="44"/>
  <c r="G12" i="43"/>
  <c r="I11" i="43"/>
  <c r="F12" i="42"/>
  <c r="H12" i="42"/>
  <c r="H12" i="41"/>
  <c r="F12" i="41"/>
  <c r="J11" i="42"/>
  <c r="J11" i="41"/>
  <c r="J11" i="37" l="1"/>
  <c r="J11" i="43"/>
  <c r="H12" i="43"/>
  <c r="F12" i="43"/>
  <c r="J11" i="40"/>
  <c r="F12" i="37"/>
  <c r="H12" i="37"/>
  <c r="I12" i="41"/>
  <c r="G13" i="41"/>
  <c r="G13" i="44"/>
  <c r="I12" i="44"/>
  <c r="H12" i="40"/>
  <c r="F12" i="40" s="1"/>
  <c r="G12" i="39"/>
  <c r="I11" i="39"/>
  <c r="I12" i="42"/>
  <c r="G13" i="42"/>
  <c r="F12" i="44"/>
  <c r="F11" i="39"/>
  <c r="J12" i="44" l="1"/>
  <c r="H13" i="44"/>
  <c r="F13" i="44"/>
  <c r="I12" i="43"/>
  <c r="G13" i="43"/>
  <c r="H13" i="42"/>
  <c r="H13" i="41"/>
  <c r="J12" i="41"/>
  <c r="J12" i="42"/>
  <c r="I12" i="40"/>
  <c r="G13" i="40"/>
  <c r="J11" i="39"/>
  <c r="H12" i="39"/>
  <c r="G13" i="37"/>
  <c r="I12" i="37"/>
  <c r="H13" i="40" l="1"/>
  <c r="I13" i="41"/>
  <c r="G14" i="41"/>
  <c r="I13" i="44"/>
  <c r="G14" i="44"/>
  <c r="J12" i="43"/>
  <c r="G14" i="42"/>
  <c r="I13" i="42"/>
  <c r="I12" i="39"/>
  <c r="G13" i="39"/>
  <c r="J12" i="37"/>
  <c r="H13" i="37"/>
  <c r="F13" i="37" s="1"/>
  <c r="F13" i="42"/>
  <c r="J12" i="40"/>
  <c r="F13" i="41"/>
  <c r="F12" i="39"/>
  <c r="H13" i="43"/>
  <c r="J13" i="44" l="1"/>
  <c r="J13" i="42"/>
  <c r="H14" i="42"/>
  <c r="I14" i="42" s="1"/>
  <c r="F14" i="42"/>
  <c r="H14" i="41"/>
  <c r="I14" i="41" s="1"/>
  <c r="J13" i="41"/>
  <c r="I13" i="43"/>
  <c r="G14" i="43"/>
  <c r="F13" i="43"/>
  <c r="G14" i="40"/>
  <c r="I13" i="40"/>
  <c r="H14" i="44"/>
  <c r="I14" i="44" s="1"/>
  <c r="G14" i="37"/>
  <c r="I13" i="37"/>
  <c r="H13" i="39"/>
  <c r="F13" i="40"/>
  <c r="J12" i="39"/>
  <c r="J14" i="44" l="1"/>
  <c r="J14" i="42"/>
  <c r="J13" i="43"/>
  <c r="J13" i="37"/>
  <c r="J13" i="40"/>
  <c r="J14" i="41"/>
  <c r="H14" i="37"/>
  <c r="I14" i="37" s="1"/>
  <c r="I13" i="39"/>
  <c r="G14" i="39"/>
  <c r="F14" i="41"/>
  <c r="F14" i="44"/>
  <c r="H14" i="43"/>
  <c r="I14" i="43" s="1"/>
  <c r="H14" i="40"/>
  <c r="I14" i="40" s="1"/>
  <c r="F13" i="39"/>
  <c r="H14" i="39" l="1"/>
  <c r="I14" i="39" s="1"/>
  <c r="J15" i="41"/>
  <c r="F14" i="40"/>
  <c r="K14" i="42"/>
  <c r="J15" i="42"/>
  <c r="J13" i="39"/>
  <c r="J14" i="40"/>
  <c r="J14" i="37"/>
  <c r="J14" i="43"/>
  <c r="F14" i="43"/>
  <c r="F14" i="37"/>
  <c r="K14" i="44"/>
  <c r="J15" i="44"/>
  <c r="J15" i="40" l="1"/>
  <c r="L2" i="41"/>
  <c r="K2" i="41"/>
  <c r="L3" i="41"/>
  <c r="K3" i="41"/>
  <c r="L4" i="41"/>
  <c r="K4" i="41"/>
  <c r="L5" i="41"/>
  <c r="K5" i="41"/>
  <c r="L6" i="41"/>
  <c r="K6" i="41"/>
  <c r="L7" i="41"/>
  <c r="K7" i="41"/>
  <c r="L8" i="41"/>
  <c r="K8" i="41"/>
  <c r="L9" i="41"/>
  <c r="K9" i="41"/>
  <c r="L10" i="41"/>
  <c r="K10" i="41"/>
  <c r="L11" i="41"/>
  <c r="K11" i="41"/>
  <c r="L12" i="41"/>
  <c r="K12" i="41"/>
  <c r="L13" i="41"/>
  <c r="K13" i="41"/>
  <c r="L14" i="41"/>
  <c r="J15" i="43"/>
  <c r="K14" i="41"/>
  <c r="J14" i="39"/>
  <c r="J15" i="37"/>
  <c r="L2" i="44"/>
  <c r="K2" i="44"/>
  <c r="K15" i="44" s="1"/>
  <c r="L3" i="44"/>
  <c r="K3" i="44"/>
  <c r="L4" i="44"/>
  <c r="K4" i="44"/>
  <c r="L5" i="44"/>
  <c r="K5" i="44"/>
  <c r="L6" i="44"/>
  <c r="K6" i="44"/>
  <c r="L7" i="44"/>
  <c r="K7" i="44"/>
  <c r="L8" i="44"/>
  <c r="K8" i="44"/>
  <c r="L9" i="44"/>
  <c r="K9" i="44"/>
  <c r="L10" i="44"/>
  <c r="K10" i="44"/>
  <c r="L11" i="44"/>
  <c r="K11" i="44"/>
  <c r="L12" i="44"/>
  <c r="K12" i="44"/>
  <c r="L13" i="44"/>
  <c r="L14" i="44"/>
  <c r="K13" i="44"/>
  <c r="L2" i="42"/>
  <c r="K2" i="42"/>
  <c r="L3" i="42"/>
  <c r="K3" i="42"/>
  <c r="L4" i="42"/>
  <c r="K4" i="42"/>
  <c r="L5" i="42"/>
  <c r="K5" i="42"/>
  <c r="L6" i="42"/>
  <c r="K6" i="42"/>
  <c r="L7" i="42"/>
  <c r="K7" i="42"/>
  <c r="L8" i="42"/>
  <c r="K8" i="42"/>
  <c r="L9" i="42"/>
  <c r="K9" i="42"/>
  <c r="L10" i="42"/>
  <c r="K10" i="42"/>
  <c r="L11" i="42"/>
  <c r="K11" i="42"/>
  <c r="L12" i="42"/>
  <c r="K12" i="42"/>
  <c r="L13" i="42"/>
  <c r="L14" i="42"/>
  <c r="K13" i="42"/>
  <c r="F14" i="39"/>
  <c r="L2" i="43" l="1"/>
  <c r="K2" i="43"/>
  <c r="L3" i="43"/>
  <c r="K3" i="43"/>
  <c r="L4" i="43"/>
  <c r="K4" i="43"/>
  <c r="L5" i="43"/>
  <c r="K5" i="43"/>
  <c r="L6" i="43"/>
  <c r="K6" i="43"/>
  <c r="L7" i="43"/>
  <c r="K7" i="43"/>
  <c r="L8" i="43"/>
  <c r="K8" i="43"/>
  <c r="L9" i="43"/>
  <c r="K9" i="43"/>
  <c r="L10" i="43"/>
  <c r="K10" i="43"/>
  <c r="L11" i="43"/>
  <c r="K11" i="43"/>
  <c r="L12" i="43"/>
  <c r="K12" i="43"/>
  <c r="L13" i="43"/>
  <c r="L14" i="43"/>
  <c r="K13" i="43"/>
  <c r="K15" i="42"/>
  <c r="L2" i="37"/>
  <c r="K2" i="37"/>
  <c r="L3" i="37"/>
  <c r="K3" i="37"/>
  <c r="L4" i="37"/>
  <c r="K4" i="37"/>
  <c r="L5" i="37"/>
  <c r="K5" i="37"/>
  <c r="L6" i="37"/>
  <c r="K6" i="37"/>
  <c r="L7" i="37"/>
  <c r="K7" i="37"/>
  <c r="L8" i="37"/>
  <c r="K8" i="37"/>
  <c r="L9" i="37"/>
  <c r="K9" i="37"/>
  <c r="L10" i="37"/>
  <c r="K10" i="37"/>
  <c r="L11" i="37"/>
  <c r="K11" i="37"/>
  <c r="L12" i="37"/>
  <c r="K12" i="37"/>
  <c r="L13" i="37"/>
  <c r="L14" i="37"/>
  <c r="K13" i="37"/>
  <c r="K14" i="43"/>
  <c r="K15" i="41"/>
  <c r="K14" i="37"/>
  <c r="L2" i="40"/>
  <c r="K2" i="40"/>
  <c r="L3" i="40"/>
  <c r="K3" i="40"/>
  <c r="L4" i="40"/>
  <c r="K4" i="40"/>
  <c r="L5" i="40"/>
  <c r="K5" i="40"/>
  <c r="L6" i="40"/>
  <c r="K6" i="40"/>
  <c r="L7" i="40"/>
  <c r="K7" i="40"/>
  <c r="L8" i="40"/>
  <c r="K8" i="40"/>
  <c r="L9" i="40"/>
  <c r="K9" i="40"/>
  <c r="L10" i="40"/>
  <c r="K10" i="40"/>
  <c r="L11" i="40"/>
  <c r="K11" i="40"/>
  <c r="L12" i="40"/>
  <c r="K12" i="40"/>
  <c r="L13" i="40"/>
  <c r="L14" i="40"/>
  <c r="K13" i="40"/>
  <c r="J15" i="39"/>
  <c r="K14" i="40"/>
  <c r="K15" i="37" l="1"/>
  <c r="K15" i="43"/>
  <c r="L2" i="39"/>
  <c r="K2" i="39"/>
  <c r="L3" i="39"/>
  <c r="K3" i="39"/>
  <c r="L4" i="39"/>
  <c r="K4" i="39"/>
  <c r="L5" i="39"/>
  <c r="K5" i="39"/>
  <c r="L6" i="39"/>
  <c r="K6" i="39"/>
  <c r="L7" i="39"/>
  <c r="K7" i="39"/>
  <c r="L8" i="39"/>
  <c r="K8" i="39"/>
  <c r="L9" i="39"/>
  <c r="K9" i="39"/>
  <c r="L10" i="39"/>
  <c r="K10" i="39"/>
  <c r="L11" i="39"/>
  <c r="K11" i="39"/>
  <c r="L12" i="39"/>
  <c r="K12" i="39"/>
  <c r="L13" i="39"/>
  <c r="K13" i="39"/>
  <c r="L14" i="39"/>
  <c r="K14" i="39"/>
  <c r="K15" i="40"/>
  <c r="K15" i="39" l="1"/>
  <c r="G10" i="35" l="1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5" i="35"/>
  <c r="G6" i="35"/>
  <c r="G7" i="35"/>
  <c r="G8" i="35"/>
  <c r="G9" i="35"/>
  <c r="G4" i="35"/>
  <c r="C9" i="35" l="1"/>
  <c r="D9" i="35"/>
  <c r="E9" i="35"/>
  <c r="C10" i="35"/>
  <c r="D10" i="35"/>
  <c r="D14" i="35" s="1"/>
  <c r="D18" i="35" s="1"/>
  <c r="D22" i="35" s="1"/>
  <c r="D26" i="35" s="1"/>
  <c r="D30" i="35" s="1"/>
  <c r="E10" i="35"/>
  <c r="E14" i="35" s="1"/>
  <c r="E18" i="35" s="1"/>
  <c r="E22" i="35" s="1"/>
  <c r="E26" i="35" s="1"/>
  <c r="E30" i="35" s="1"/>
  <c r="C11" i="35"/>
  <c r="D11" i="35"/>
  <c r="E11" i="35"/>
  <c r="E12" i="35"/>
  <c r="E16" i="35" s="1"/>
  <c r="E20" i="35" s="1"/>
  <c r="E24" i="35" s="1"/>
  <c r="E28" i="35" s="1"/>
  <c r="C13" i="35"/>
  <c r="D13" i="35"/>
  <c r="E13" i="35"/>
  <c r="C14" i="35"/>
  <c r="C18" i="35" s="1"/>
  <c r="C22" i="35" s="1"/>
  <c r="C26" i="35" s="1"/>
  <c r="C30" i="35" s="1"/>
  <c r="C15" i="35"/>
  <c r="D15" i="35"/>
  <c r="E15" i="35"/>
  <c r="C17" i="35"/>
  <c r="C21" i="35" s="1"/>
  <c r="C25" i="35" s="1"/>
  <c r="C29" i="35" s="1"/>
  <c r="D17" i="35"/>
  <c r="E17" i="35"/>
  <c r="C19" i="35"/>
  <c r="C23" i="35" s="1"/>
  <c r="C27" i="35" s="1"/>
  <c r="C31" i="35" s="1"/>
  <c r="D19" i="35"/>
  <c r="D23" i="35" s="1"/>
  <c r="D27" i="35" s="1"/>
  <c r="D31" i="35" s="1"/>
  <c r="E19" i="35"/>
  <c r="D21" i="35"/>
  <c r="E21" i="35"/>
  <c r="E25" i="35" s="1"/>
  <c r="E29" i="35" s="1"/>
  <c r="E23" i="35"/>
  <c r="E27" i="35" s="1"/>
  <c r="E31" i="35" s="1"/>
  <c r="D25" i="35"/>
  <c r="D29" i="35" s="1"/>
  <c r="C8" i="35"/>
  <c r="C12" i="35" s="1"/>
  <c r="C16" i="35" s="1"/>
  <c r="C20" i="35" s="1"/>
  <c r="C24" i="35" s="1"/>
  <c r="C28" i="35" s="1"/>
  <c r="D8" i="35"/>
  <c r="D12" i="35" s="1"/>
  <c r="D16" i="35" s="1"/>
  <c r="D20" i="35" s="1"/>
  <c r="D24" i="35" s="1"/>
  <c r="D28" i="35" s="1"/>
  <c r="E8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18"/>
  <c r="L5" i="11"/>
  <c r="L6" i="11" s="1"/>
  <c r="K20" i="11" l="1"/>
  <c r="L9" i="11"/>
  <c r="K21" i="1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" i="31"/>
  <c r="D7" i="34" l="1"/>
  <c r="C7" i="34"/>
  <c r="E5" i="34" l="1"/>
  <c r="E6" i="34"/>
  <c r="E7" i="34"/>
  <c r="E4" i="34"/>
  <c r="F8" i="34" l="1"/>
  <c r="G8" i="34" s="1"/>
  <c r="H8" i="34" s="1"/>
  <c r="I8" i="34" s="1"/>
  <c r="C8" i="34"/>
  <c r="D8" i="34" l="1"/>
  <c r="E8" i="34"/>
  <c r="C9" i="34" l="1"/>
  <c r="D9" i="34" s="1"/>
  <c r="C10" i="34" l="1"/>
  <c r="E9" i="34"/>
  <c r="D10" i="34" l="1"/>
  <c r="C11" i="34" s="1"/>
  <c r="E10" i="34"/>
  <c r="E11" i="34" l="1"/>
  <c r="D11" i="34"/>
  <c r="C12" i="34" s="1"/>
  <c r="D12" i="34" l="1"/>
  <c r="C13" i="34" s="1"/>
  <c r="E12" i="34"/>
  <c r="E13" i="34" l="1"/>
  <c r="D13" i="34"/>
  <c r="C14" i="34" l="1"/>
  <c r="E14" i="34" l="1"/>
  <c r="D14" i="34"/>
  <c r="C15" i="34" l="1"/>
  <c r="E15" i="34" l="1"/>
  <c r="D15" i="34"/>
  <c r="C16" i="34" s="1"/>
  <c r="D16" i="34" l="1"/>
  <c r="C17" i="34" s="1"/>
  <c r="E16" i="34"/>
  <c r="F16" i="34"/>
  <c r="G16" i="34" s="1"/>
  <c r="H16" i="34" s="1"/>
  <c r="D17" i="34" l="1"/>
  <c r="C18" i="34" s="1"/>
  <c r="E17" i="34"/>
  <c r="F17" i="34"/>
  <c r="G17" i="34" s="1"/>
  <c r="H17" i="34" s="1"/>
  <c r="F18" i="34" l="1"/>
  <c r="G18" i="34" s="1"/>
  <c r="H18" i="34" s="1"/>
  <c r="E18" i="34"/>
  <c r="D18" i="34"/>
  <c r="C19" i="34" l="1"/>
  <c r="F19" i="34"/>
  <c r="G19" i="34" s="1"/>
  <c r="H19" i="34" s="1"/>
  <c r="E19" i="34" l="1"/>
  <c r="D19" i="34"/>
  <c r="C20" i="34" l="1"/>
  <c r="F20" i="34"/>
  <c r="G20" i="34" s="1"/>
  <c r="H20" i="34" s="1"/>
  <c r="E20" i="34" l="1"/>
  <c r="D20" i="34"/>
  <c r="C21" i="34" l="1"/>
  <c r="F21" i="34"/>
  <c r="G21" i="34" s="1"/>
  <c r="H21" i="34" s="1"/>
  <c r="E21" i="34" l="1"/>
  <c r="D21" i="34"/>
  <c r="F22" i="34" s="1"/>
  <c r="G22" i="34" s="1"/>
  <c r="H22" i="34" s="1"/>
  <c r="C22" i="34" l="1"/>
  <c r="D22" i="34" l="1"/>
  <c r="C23" i="34" s="1"/>
  <c r="E22" i="34"/>
  <c r="F23" i="34" l="1"/>
  <c r="G23" i="34" s="1"/>
  <c r="H23" i="34" s="1"/>
  <c r="E23" i="34"/>
  <c r="D23" i="34"/>
  <c r="C24" i="34" l="1"/>
  <c r="D24" i="34" s="1"/>
  <c r="F24" i="34"/>
  <c r="G24" i="34" s="1"/>
  <c r="H24" i="34" s="1"/>
  <c r="F25" i="34" l="1"/>
  <c r="G25" i="34" s="1"/>
  <c r="H25" i="34" s="1"/>
  <c r="C25" i="34"/>
  <c r="E24" i="34"/>
  <c r="E25" i="34" l="1"/>
  <c r="D25" i="34"/>
  <c r="F26" i="34" l="1"/>
  <c r="G26" i="34" s="1"/>
  <c r="H26" i="34" s="1"/>
  <c r="C26" i="34"/>
  <c r="E26" i="34" l="1"/>
  <c r="D26" i="34"/>
  <c r="F27" i="34" l="1"/>
  <c r="G27" i="34" s="1"/>
  <c r="H27" i="34" s="1"/>
  <c r="C27" i="34"/>
  <c r="D27" i="34" s="1"/>
  <c r="C28" i="34" l="1"/>
  <c r="F28" i="34"/>
  <c r="G28" i="34" s="1"/>
  <c r="H28" i="34" s="1"/>
  <c r="E27" i="34"/>
  <c r="E28" i="34" l="1"/>
  <c r="D28" i="34"/>
  <c r="C29" i="34" s="1"/>
  <c r="E29" i="34" l="1"/>
  <c r="F29" i="34"/>
  <c r="G29" i="34" s="1"/>
  <c r="H29" i="34" s="1"/>
  <c r="D29" i="34"/>
  <c r="C30" i="34" l="1"/>
  <c r="F30" i="34"/>
  <c r="G30" i="34" s="1"/>
  <c r="H30" i="34" s="1"/>
  <c r="E30" i="34" l="1"/>
  <c r="D30" i="34"/>
  <c r="C31" i="34" l="1"/>
  <c r="F31" i="34"/>
  <c r="G31" i="34" s="1"/>
  <c r="H31" i="34" s="1"/>
  <c r="E31" i="34" l="1"/>
  <c r="D31" i="34"/>
  <c r="F32" i="34" s="1"/>
  <c r="F9" i="34" l="1"/>
  <c r="G9" i="34" s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F10" i="34" l="1"/>
  <c r="G10" i="34" s="1"/>
  <c r="H10" i="34" s="1"/>
  <c r="D4" i="32"/>
  <c r="E5" i="32" s="1"/>
  <c r="C5" i="32" s="1"/>
  <c r="I10" i="34" l="1"/>
  <c r="D5" i="32"/>
  <c r="F11" i="34" l="1"/>
  <c r="G11" i="34" s="1"/>
  <c r="H11" i="34" s="1"/>
  <c r="E6" i="32"/>
  <c r="C6" i="32" s="1"/>
  <c r="I11" i="34" l="1"/>
  <c r="F12" i="34"/>
  <c r="G12" i="34" s="1"/>
  <c r="H12" i="34" s="1"/>
  <c r="D6" i="32"/>
  <c r="I12" i="34" l="1"/>
  <c r="E7" i="32"/>
  <c r="C7" i="32" s="1"/>
  <c r="F13" i="34" l="1"/>
  <c r="G13" i="34" s="1"/>
  <c r="H13" i="34" s="1"/>
  <c r="D7" i="32"/>
  <c r="I13" i="34" l="1"/>
  <c r="F14" i="34"/>
  <c r="G14" i="34" s="1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F15" i="34" l="1"/>
  <c r="G15" i="34" s="1"/>
  <c r="H15" i="34" s="1"/>
  <c r="D10" i="32"/>
  <c r="C3" i="33"/>
  <c r="M17" i="33"/>
  <c r="L6" i="33"/>
  <c r="L7" i="33" s="1"/>
  <c r="L8" i="33" s="1"/>
  <c r="L9" i="33" s="1"/>
  <c r="L10" i="33" s="1"/>
  <c r="L11" i="33" s="1"/>
  <c r="L12" i="33" s="1"/>
  <c r="L13" i="33" s="1"/>
  <c r="L14" i="33" s="1"/>
  <c r="L15" i="33" s="1"/>
  <c r="L16" i="33" s="1"/>
  <c r="M17" i="3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C3" i="31"/>
  <c r="C4" i="31" s="1"/>
  <c r="D4" i="31" s="1"/>
  <c r="E4" i="31" s="1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F4" i="33" s="1"/>
  <c r="E3" i="33"/>
  <c r="D11" i="32"/>
  <c r="F5" i="32"/>
  <c r="G5" i="32" s="1"/>
  <c r="G4" i="32"/>
  <c r="I3" i="33"/>
  <c r="G4" i="31"/>
  <c r="F4" i="31"/>
  <c r="E4" i="33" l="1"/>
  <c r="G4" i="33" s="1"/>
  <c r="D8" i="31"/>
  <c r="F8" i="31" s="1"/>
  <c r="D10" i="31"/>
  <c r="F10" i="31" s="1"/>
  <c r="D5" i="31"/>
  <c r="F5" i="31" s="1"/>
  <c r="D6" i="31"/>
  <c r="F6" i="31" s="1"/>
  <c r="D25" i="31"/>
  <c r="E25" i="31" s="1"/>
  <c r="G25" i="31" s="1"/>
  <c r="D28" i="31"/>
  <c r="E28" i="31" s="1"/>
  <c r="G28" i="31" s="1"/>
  <c r="D13" i="31"/>
  <c r="E13" i="31" s="1"/>
  <c r="G13" i="31" s="1"/>
  <c r="D16" i="31"/>
  <c r="F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F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I4" i="33"/>
  <c r="D6" i="33"/>
  <c r="E10" i="31"/>
  <c r="G10" i="31" s="1"/>
  <c r="T6" i="24"/>
  <c r="T10" i="24" s="1"/>
  <c r="T9" i="24"/>
  <c r="T8" i="24"/>
  <c r="E8" i="31" l="1"/>
  <c r="G8" i="31" s="1"/>
  <c r="H4" i="33"/>
  <c r="E6" i="31"/>
  <c r="G6" i="31" s="1"/>
  <c r="F25" i="31"/>
  <c r="E30" i="31"/>
  <c r="G30" i="31" s="1"/>
  <c r="F13" i="31"/>
  <c r="F28" i="31"/>
  <c r="E16" i="31"/>
  <c r="G16" i="31" s="1"/>
  <c r="E5" i="31"/>
  <c r="Y2" i="24"/>
  <c r="Y3" i="24" s="1"/>
  <c r="Y4" i="24" s="1"/>
  <c r="F2" i="24" s="1"/>
  <c r="G2" i="24" s="1"/>
  <c r="H2" i="24" s="1"/>
  <c r="F11" i="31"/>
  <c r="E24" i="31"/>
  <c r="G24" i="31" s="1"/>
  <c r="E22" i="31"/>
  <c r="G22" i="31" s="1"/>
  <c r="F9" i="31"/>
  <c r="F7" i="31"/>
  <c r="I7" i="31" s="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F5" i="33"/>
  <c r="I5" i="33" s="1"/>
  <c r="J4" i="33"/>
  <c r="F6" i="33"/>
  <c r="E6" i="33"/>
  <c r="D7" i="33"/>
  <c r="I9" i="31"/>
  <c r="I6" i="31"/>
  <c r="I5" i="31"/>
  <c r="H7" i="31" l="1"/>
  <c r="Y5" i="24"/>
  <c r="Y6" i="24" s="1"/>
  <c r="H5" i="31"/>
  <c r="I13" i="31"/>
  <c r="I12" i="31"/>
  <c r="H9" i="31"/>
  <c r="I14" i="31"/>
  <c r="H11" i="31"/>
  <c r="G5" i="31"/>
  <c r="J17" i="31" s="1"/>
  <c r="H10" i="31"/>
  <c r="I10" i="31"/>
  <c r="H6" i="31"/>
  <c r="I29" i="31"/>
  <c r="H8" i="31"/>
  <c r="I8" i="31"/>
  <c r="I11" i="31"/>
  <c r="L2" i="24"/>
  <c r="N2" i="24"/>
  <c r="H5" i="33"/>
  <c r="H6" i="33"/>
  <c r="I20" i="31"/>
  <c r="I28" i="31"/>
  <c r="I25" i="31"/>
  <c r="I19" i="31"/>
  <c r="I16" i="31"/>
  <c r="I27" i="31"/>
  <c r="I24" i="31"/>
  <c r="I26" i="31"/>
  <c r="I18" i="31"/>
  <c r="I30" i="31"/>
  <c r="H15" i="31"/>
  <c r="I17" i="31"/>
  <c r="I23" i="31"/>
  <c r="I22" i="31"/>
  <c r="I15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F3" i="24"/>
  <c r="E2" i="24"/>
  <c r="J5" i="31" l="1"/>
  <c r="J26" i="31"/>
  <c r="J20" i="31"/>
  <c r="J15" i="31"/>
  <c r="J10" i="31"/>
  <c r="J24" i="31"/>
  <c r="M2" i="24"/>
  <c r="J9" i="31"/>
  <c r="J27" i="31"/>
  <c r="J25" i="31"/>
  <c r="J30" i="31"/>
  <c r="M5" i="31" s="1"/>
  <c r="J7" i="31"/>
  <c r="J28" i="31"/>
  <c r="J23" i="31"/>
  <c r="J6" i="31"/>
  <c r="J29" i="31"/>
  <c r="J16" i="31"/>
  <c r="J11" i="31"/>
  <c r="J22" i="31"/>
  <c r="J18" i="31"/>
  <c r="J19" i="31"/>
  <c r="J21" i="31"/>
  <c r="J13" i="31"/>
  <c r="J12" i="31"/>
  <c r="J14" i="31"/>
  <c r="J8" i="31"/>
  <c r="D13" i="32"/>
  <c r="E8" i="33"/>
  <c r="F8" i="33"/>
  <c r="I8" i="33" s="1"/>
  <c r="J6" i="33"/>
  <c r="D9" i="33"/>
  <c r="I7" i="33"/>
  <c r="G7" i="33"/>
  <c r="H7" i="33"/>
  <c r="I2" i="24"/>
  <c r="G3" i="24"/>
  <c r="N3" i="24" l="1"/>
  <c r="H3" i="24"/>
  <c r="E3" i="24"/>
  <c r="L3" i="24"/>
  <c r="E14" i="32"/>
  <c r="C14" i="32" s="1"/>
  <c r="F7" i="32"/>
  <c r="G7" i="32" s="1"/>
  <c r="G8" i="33"/>
  <c r="H8" i="33"/>
  <c r="E9" i="33"/>
  <c r="F9" i="33"/>
  <c r="I9" i="33" s="1"/>
  <c r="J7" i="33"/>
  <c r="D10" i="33"/>
  <c r="F4" i="24"/>
  <c r="M3" i="24" l="1"/>
  <c r="D14" i="32"/>
  <c r="D11" i="33"/>
  <c r="G9" i="33"/>
  <c r="H9" i="33"/>
  <c r="F10" i="33"/>
  <c r="I10" i="33" s="1"/>
  <c r="E10" i="33"/>
  <c r="J8" i="33"/>
  <c r="I3" i="24"/>
  <c r="G4" i="24"/>
  <c r="N4" i="24" l="1"/>
  <c r="H4" i="24"/>
  <c r="E4" i="24"/>
  <c r="L4" i="24"/>
  <c r="E15" i="32"/>
  <c r="C15" i="32" s="1"/>
  <c r="F8" i="32"/>
  <c r="G10" i="33"/>
  <c r="D12" i="33"/>
  <c r="J9" i="33"/>
  <c r="F11" i="33"/>
  <c r="I11" i="33" s="1"/>
  <c r="E11" i="33"/>
  <c r="H10" i="33"/>
  <c r="F5" i="24"/>
  <c r="M4" i="24" l="1"/>
  <c r="D15" i="32"/>
  <c r="G8" i="32"/>
  <c r="F12" i="33"/>
  <c r="I12" i="33" s="1"/>
  <c r="E12" i="33"/>
  <c r="D13" i="33"/>
  <c r="G11" i="33"/>
  <c r="J11" i="33" s="1"/>
  <c r="H11" i="33"/>
  <c r="J10" i="33"/>
  <c r="G5" i="24"/>
  <c r="H5" i="24" s="1"/>
  <c r="I4" i="24"/>
  <c r="L5" i="24" l="1"/>
  <c r="N5" i="24"/>
  <c r="E16" i="32"/>
  <c r="C16" i="32" s="1"/>
  <c r="D14" i="33"/>
  <c r="F13" i="33"/>
  <c r="I13" i="33" s="1"/>
  <c r="E13" i="33"/>
  <c r="G12" i="33"/>
  <c r="J12" i="33" s="1"/>
  <c r="H12" i="33"/>
  <c r="F6" i="24"/>
  <c r="E5" i="24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M5" i="24" l="1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D16" i="32"/>
  <c r="F9" i="32"/>
  <c r="G13" i="33"/>
  <c r="J13" i="33" s="1"/>
  <c r="H13" i="33"/>
  <c r="F14" i="33"/>
  <c r="I14" i="33" s="1"/>
  <c r="E14" i="33"/>
  <c r="D15" i="33"/>
  <c r="G6" i="24"/>
  <c r="H6" i="24" s="1"/>
  <c r="I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E8" i="18"/>
  <c r="E4" i="18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D2" i="14"/>
  <c r="E2" i="14"/>
  <c r="L6" i="24" l="1"/>
  <c r="N6" i="24"/>
  <c r="L8" i="11"/>
  <c r="H2" i="11"/>
  <c r="E17" i="32"/>
  <c r="C17" i="32" s="1"/>
  <c r="D17" i="32" s="1"/>
  <c r="G9" i="32"/>
  <c r="F15" i="33"/>
  <c r="I15" i="33" s="1"/>
  <c r="E15" i="33"/>
  <c r="G14" i="33"/>
  <c r="J14" i="33" s="1"/>
  <c r="H14" i="33"/>
  <c r="D16" i="33"/>
  <c r="F7" i="24"/>
  <c r="E6" i="24"/>
  <c r="G2" i="11"/>
  <c r="F3" i="14"/>
  <c r="M6" i="11" l="1"/>
  <c r="M6" i="24"/>
  <c r="E18" i="32"/>
  <c r="C18" i="32" s="1"/>
  <c r="D18" i="32" s="1"/>
  <c r="E16" i="33"/>
  <c r="F16" i="33"/>
  <c r="I16" i="33" s="1"/>
  <c r="G15" i="33"/>
  <c r="J15" i="33" s="1"/>
  <c r="H15" i="33"/>
  <c r="D17" i="33"/>
  <c r="I6" i="24"/>
  <c r="G7" i="24"/>
  <c r="I53" i="11"/>
  <c r="I2" i="11"/>
  <c r="D3" i="14"/>
  <c r="G3" i="14"/>
  <c r="N7" i="24" l="1"/>
  <c r="H7" i="24"/>
  <c r="E7" i="24"/>
  <c r="L7" i="24"/>
  <c r="M7" i="24" s="1"/>
  <c r="E19" i="32"/>
  <c r="C19" i="32" s="1"/>
  <c r="F10" i="32"/>
  <c r="F17" i="33"/>
  <c r="I17" i="33" s="1"/>
  <c r="E17" i="33"/>
  <c r="D18" i="33"/>
  <c r="G16" i="33"/>
  <c r="J16" i="33" s="1"/>
  <c r="H16" i="33"/>
  <c r="F8" i="24"/>
  <c r="H3" i="14"/>
  <c r="E3" i="14"/>
  <c r="F4" i="14" s="1"/>
  <c r="D19" i="32" l="1"/>
  <c r="G10" i="32"/>
  <c r="F18" i="33"/>
  <c r="I18" i="33" s="1"/>
  <c r="E18" i="33"/>
  <c r="D19" i="33"/>
  <c r="G17" i="33"/>
  <c r="J17" i="33" s="1"/>
  <c r="H17" i="33"/>
  <c r="I7" i="24"/>
  <c r="G8" i="24"/>
  <c r="B67" i="14"/>
  <c r="B54" i="14"/>
  <c r="B51" i="14"/>
  <c r="B34" i="14"/>
  <c r="B25" i="14"/>
  <c r="B55" i="14"/>
  <c r="B40" i="14"/>
  <c r="B77" i="14"/>
  <c r="B13" i="15"/>
  <c r="B60" i="14"/>
  <c r="B5" i="15"/>
  <c r="B43" i="14"/>
  <c r="B29" i="14"/>
  <c r="B63" i="14"/>
  <c r="B68" i="14"/>
  <c r="B47" i="14"/>
  <c r="B69" i="14"/>
  <c r="B22" i="14"/>
  <c r="B61" i="14"/>
  <c r="B50" i="14"/>
  <c r="B7" i="14"/>
  <c r="B76" i="14"/>
  <c r="B33" i="14"/>
  <c r="B19" i="14"/>
  <c r="B17" i="15"/>
  <c r="B74" i="14"/>
  <c r="B10" i="14"/>
  <c r="B65" i="14"/>
  <c r="B31" i="14"/>
  <c r="B14" i="15"/>
  <c r="B53" i="14"/>
  <c r="B56" i="14"/>
  <c r="B41" i="14"/>
  <c r="B32" i="14"/>
  <c r="B72" i="14"/>
  <c r="B16" i="15"/>
  <c r="B73" i="14"/>
  <c r="B9" i="14"/>
  <c r="B66" i="14"/>
  <c r="B75" i="14"/>
  <c r="B57" i="14"/>
  <c r="B23" i="15"/>
  <c r="B70" i="14"/>
  <c r="B45" i="14"/>
  <c r="B71" i="14"/>
  <c r="B12" i="14"/>
  <c r="B42" i="14"/>
  <c r="B58" i="14"/>
  <c r="B59" i="14"/>
  <c r="B49" i="14"/>
  <c r="B15" i="14"/>
  <c r="B62" i="14"/>
  <c r="B64" i="14"/>
  <c r="B20" i="14"/>
  <c r="D4" i="14"/>
  <c r="G4" i="14"/>
  <c r="I3" i="14"/>
  <c r="J3" i="14" s="1"/>
  <c r="N8" i="24" l="1"/>
  <c r="H8" i="24"/>
  <c r="E8" i="24"/>
  <c r="L8" i="24"/>
  <c r="M8" i="24" s="1"/>
  <c r="E20" i="32"/>
  <c r="C20" i="32" s="1"/>
  <c r="F19" i="33"/>
  <c r="I19" i="33" s="1"/>
  <c r="E19" i="33"/>
  <c r="D20" i="33"/>
  <c r="G18" i="33"/>
  <c r="J18" i="33" s="1"/>
  <c r="H18" i="33"/>
  <c r="F9" i="24"/>
  <c r="B20" i="15"/>
  <c r="B39" i="14"/>
  <c r="B36" i="14"/>
  <c r="B13" i="14"/>
  <c r="B3" i="15"/>
  <c r="C3" i="15" s="1"/>
  <c r="C4" i="15" s="1"/>
  <c r="B3" i="14"/>
  <c r="B16" i="14"/>
  <c r="B46" i="14"/>
  <c r="B38" i="14"/>
  <c r="B6" i="14"/>
  <c r="B35" i="14"/>
  <c r="B6" i="15"/>
  <c r="B52" i="14"/>
  <c r="B19" i="15"/>
  <c r="B44" i="14"/>
  <c r="B18" i="14"/>
  <c r="B17" i="14"/>
  <c r="B37" i="14"/>
  <c r="B10" i="15"/>
  <c r="B24" i="14"/>
  <c r="B7" i="15"/>
  <c r="B9" i="15"/>
  <c r="B22" i="15"/>
  <c r="B28" i="14"/>
  <c r="B23" i="14"/>
  <c r="B26" i="14"/>
  <c r="B48" i="14"/>
  <c r="B30" i="14"/>
  <c r="B18" i="15"/>
  <c r="B4" i="14"/>
  <c r="B4" i="15"/>
  <c r="B8" i="15"/>
  <c r="B8" i="14"/>
  <c r="B14" i="14"/>
  <c r="B27" i="14"/>
  <c r="B21" i="15"/>
  <c r="B12" i="15"/>
  <c r="B5" i="14"/>
  <c r="B15" i="15"/>
  <c r="B21" i="14"/>
  <c r="B11" i="14"/>
  <c r="B11" i="15"/>
  <c r="H4" i="14"/>
  <c r="E4" i="14"/>
  <c r="F5" i="14" s="1"/>
  <c r="D20" i="32" l="1"/>
  <c r="F11" i="32"/>
  <c r="F20" i="33"/>
  <c r="I20" i="33" s="1"/>
  <c r="E20" i="33"/>
  <c r="D21" i="33"/>
  <c r="G19" i="33"/>
  <c r="J19" i="33" s="1"/>
  <c r="H19" i="33"/>
  <c r="G9" i="24"/>
  <c r="I8" i="24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N9" i="24" l="1"/>
  <c r="H9" i="24"/>
  <c r="E9" i="24"/>
  <c r="L9" i="24"/>
  <c r="M9" i="24" s="1"/>
  <c r="E21" i="32"/>
  <c r="C21" i="32" s="1"/>
  <c r="G11" i="32"/>
  <c r="D22" i="33"/>
  <c r="F21" i="33"/>
  <c r="I21" i="33" s="1"/>
  <c r="E21" i="33"/>
  <c r="G20" i="33"/>
  <c r="J20" i="33" s="1"/>
  <c r="H20" i="33"/>
  <c r="F10" i="24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D21" i="32" l="1"/>
  <c r="F12" i="32"/>
  <c r="D23" i="33"/>
  <c r="G21" i="33"/>
  <c r="J21" i="33" s="1"/>
  <c r="H21" i="33"/>
  <c r="F22" i="33"/>
  <c r="I22" i="33" s="1"/>
  <c r="E22" i="33"/>
  <c r="G10" i="24"/>
  <c r="H10" i="24" s="1"/>
  <c r="I9" i="24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G7" i="15"/>
  <c r="I7" i="15" s="1"/>
  <c r="J6" i="15"/>
  <c r="K6" i="15" s="1"/>
  <c r="L10" i="24" l="1"/>
  <c r="M10" i="24" s="1"/>
  <c r="N10" i="24"/>
  <c r="E10" i="24"/>
  <c r="E22" i="32"/>
  <c r="C22" i="32" s="1"/>
  <c r="G12" i="32"/>
  <c r="D24" i="33"/>
  <c r="F23" i="33"/>
  <c r="I23" i="33" s="1"/>
  <c r="E23" i="33"/>
  <c r="G22" i="33"/>
  <c r="J22" i="33" s="1"/>
  <c r="H22" i="33"/>
  <c r="F11" i="24"/>
  <c r="L4" i="15"/>
  <c r="M4" i="15" s="1"/>
  <c r="L5" i="15"/>
  <c r="M5" i="15" s="1"/>
  <c r="H6" i="14"/>
  <c r="E6" i="14"/>
  <c r="F7" i="14" s="1"/>
  <c r="L6" i="15"/>
  <c r="M6" i="15" s="1"/>
  <c r="G8" i="15"/>
  <c r="I8" i="15" s="1"/>
  <c r="J7" i="15"/>
  <c r="K7" i="15" s="1"/>
  <c r="L7" i="15" s="1"/>
  <c r="M7" i="15" s="1"/>
  <c r="D22" i="32" l="1"/>
  <c r="F13" i="32"/>
  <c r="F24" i="33"/>
  <c r="I24" i="33" s="1"/>
  <c r="E24" i="33"/>
  <c r="D25" i="33"/>
  <c r="G23" i="33"/>
  <c r="J23" i="33" s="1"/>
  <c r="H23" i="33"/>
  <c r="G11" i="24"/>
  <c r="H11" i="24" s="1"/>
  <c r="I10" i="24"/>
  <c r="D7" i="14"/>
  <c r="G7" i="14"/>
  <c r="I6" i="14"/>
  <c r="J6" i="14" s="1"/>
  <c r="G9" i="15"/>
  <c r="I9" i="15" s="1"/>
  <c r="J8" i="15"/>
  <c r="K8" i="15" s="1"/>
  <c r="L8" i="15" s="1"/>
  <c r="M8" i="15" s="1"/>
  <c r="L11" i="24" l="1"/>
  <c r="M11" i="24" s="1"/>
  <c r="N11" i="24"/>
  <c r="E23" i="32"/>
  <c r="C23" i="32" s="1"/>
  <c r="G13" i="32"/>
  <c r="G24" i="33"/>
  <c r="J24" i="33" s="1"/>
  <c r="H24" i="33"/>
  <c r="F25" i="33"/>
  <c r="I25" i="33" s="1"/>
  <c r="E25" i="33"/>
  <c r="D26" i="33"/>
  <c r="F12" i="24"/>
  <c r="E11" i="24"/>
  <c r="H7" i="14"/>
  <c r="E7" i="14"/>
  <c r="F8" i="14" s="1"/>
  <c r="G10" i="15"/>
  <c r="I10" i="15" s="1"/>
  <c r="J9" i="15"/>
  <c r="K9" i="15" s="1"/>
  <c r="L9" i="15" s="1"/>
  <c r="M9" i="15" s="1"/>
  <c r="D23" i="32" l="1"/>
  <c r="F14" i="32"/>
  <c r="F26" i="33"/>
  <c r="I26" i="33" s="1"/>
  <c r="E26" i="33"/>
  <c r="D27" i="33"/>
  <c r="G25" i="33"/>
  <c r="J25" i="33" s="1"/>
  <c r="H25" i="33"/>
  <c r="I11" i="24"/>
  <c r="G12" i="24"/>
  <c r="G8" i="14"/>
  <c r="D8" i="14"/>
  <c r="I7" i="14"/>
  <c r="J7" i="14" s="1"/>
  <c r="G11" i="15"/>
  <c r="I11" i="15" s="1"/>
  <c r="J10" i="15"/>
  <c r="K10" i="15" s="1"/>
  <c r="N12" i="24" l="1"/>
  <c r="H12" i="24"/>
  <c r="E12" i="24"/>
  <c r="L12" i="24"/>
  <c r="M12" i="24" s="1"/>
  <c r="E24" i="32"/>
  <c r="C24" i="32" s="1"/>
  <c r="G14" i="32"/>
  <c r="G26" i="33"/>
  <c r="J26" i="33" s="1"/>
  <c r="H26" i="33"/>
  <c r="F27" i="33"/>
  <c r="I27" i="33" s="1"/>
  <c r="E27" i="33"/>
  <c r="D28" i="33"/>
  <c r="F13" i="24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D24" i="32" l="1"/>
  <c r="F28" i="33"/>
  <c r="I28" i="33" s="1"/>
  <c r="E28" i="33"/>
  <c r="D29" i="33"/>
  <c r="G27" i="33"/>
  <c r="J27" i="33" s="1"/>
  <c r="H27" i="33"/>
  <c r="G13" i="24"/>
  <c r="I12" i="24"/>
  <c r="D9" i="14"/>
  <c r="G9" i="14"/>
  <c r="G13" i="15"/>
  <c r="I13" i="15" s="1"/>
  <c r="J12" i="15"/>
  <c r="K12" i="15" s="1"/>
  <c r="L12" i="15" s="1"/>
  <c r="M12" i="15" s="1"/>
  <c r="N13" i="24" l="1"/>
  <c r="H13" i="24"/>
  <c r="E13" i="24"/>
  <c r="L13" i="24"/>
  <c r="M13" i="24" s="1"/>
  <c r="E25" i="32"/>
  <c r="C25" i="32" s="1"/>
  <c r="F15" i="32"/>
  <c r="G28" i="33"/>
  <c r="J28" i="33" s="1"/>
  <c r="H28" i="33"/>
  <c r="F29" i="33"/>
  <c r="I29" i="33" s="1"/>
  <c r="E29" i="33"/>
  <c r="D30" i="33"/>
  <c r="D31" i="33" s="1"/>
  <c r="F14" i="24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D25" i="32" l="1"/>
  <c r="G15" i="32"/>
  <c r="F30" i="33"/>
  <c r="I30" i="33" s="1"/>
  <c r="E30" i="33"/>
  <c r="G29" i="33"/>
  <c r="J29" i="33" s="1"/>
  <c r="H29" i="33"/>
  <c r="I13" i="24"/>
  <c r="G14" i="24"/>
  <c r="G10" i="14"/>
  <c r="D10" i="14"/>
  <c r="G15" i="15"/>
  <c r="I15" i="15" s="1"/>
  <c r="J14" i="15"/>
  <c r="K14" i="15" s="1"/>
  <c r="L14" i="15" s="1"/>
  <c r="M14" i="15" s="1"/>
  <c r="N14" i="24" l="1"/>
  <c r="H14" i="24"/>
  <c r="I14" i="24" s="1"/>
  <c r="L14" i="24"/>
  <c r="E26" i="32"/>
  <c r="C26" i="32" s="1"/>
  <c r="F16" i="32"/>
  <c r="G30" i="33"/>
  <c r="J30" i="33" s="1"/>
  <c r="M5" i="33" s="1"/>
  <c r="H30" i="33"/>
  <c r="E14" i="24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N15" i="24" l="1"/>
  <c r="O14" i="24" s="1"/>
  <c r="O12" i="24"/>
  <c r="L15" i="24"/>
  <c r="M14" i="24"/>
  <c r="D26" i="32"/>
  <c r="G16" i="32"/>
  <c r="I15" i="24"/>
  <c r="D11" i="14"/>
  <c r="G11" i="14"/>
  <c r="G17" i="15"/>
  <c r="I17" i="15" s="1"/>
  <c r="J16" i="15"/>
  <c r="K16" i="15" s="1"/>
  <c r="L16" i="15" s="1"/>
  <c r="M16" i="15" s="1"/>
  <c r="O6" i="24" l="1"/>
  <c r="O11" i="24"/>
  <c r="O10" i="24"/>
  <c r="O5" i="24"/>
  <c r="O9" i="24"/>
  <c r="O7" i="24"/>
  <c r="O13" i="24"/>
  <c r="O4" i="24"/>
  <c r="P5" i="24" s="1"/>
  <c r="O3" i="24"/>
  <c r="O2" i="24"/>
  <c r="O8" i="24"/>
  <c r="P2" i="24"/>
  <c r="E27" i="32"/>
  <c r="C27" i="32" s="1"/>
  <c r="K2" i="24"/>
  <c r="J2" i="24"/>
  <c r="K3" i="24"/>
  <c r="J3" i="24"/>
  <c r="K4" i="24"/>
  <c r="J4" i="24"/>
  <c r="K5" i="24"/>
  <c r="J5" i="24"/>
  <c r="K6" i="24"/>
  <c r="J6" i="24"/>
  <c r="K7" i="24"/>
  <c r="J7" i="24"/>
  <c r="K8" i="24"/>
  <c r="J8" i="24"/>
  <c r="K9" i="24"/>
  <c r="J9" i="24"/>
  <c r="K10" i="24"/>
  <c r="J10" i="24"/>
  <c r="K11" i="24"/>
  <c r="J11" i="24"/>
  <c r="K12" i="24"/>
  <c r="J12" i="24"/>
  <c r="K13" i="24"/>
  <c r="K14" i="24"/>
  <c r="J13" i="24"/>
  <c r="J14" i="24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P10" i="24" l="1"/>
  <c r="P8" i="24"/>
  <c r="P6" i="24"/>
  <c r="P14" i="24"/>
  <c r="P7" i="24"/>
  <c r="O15" i="24"/>
  <c r="P12" i="24"/>
  <c r="P13" i="24"/>
  <c r="P9" i="24"/>
  <c r="P3" i="24"/>
  <c r="P4" i="24"/>
  <c r="P11" i="24"/>
  <c r="D27" i="32"/>
  <c r="F17" i="32"/>
  <c r="J15" i="24"/>
  <c r="D12" i="14"/>
  <c r="G12" i="14"/>
  <c r="G19" i="15"/>
  <c r="I19" i="15" s="1"/>
  <c r="J18" i="15"/>
  <c r="K18" i="15" s="1"/>
  <c r="L18" i="15" s="1"/>
  <c r="M18" i="15" s="1"/>
  <c r="E28" i="32" l="1"/>
  <c r="C28" i="32" s="1"/>
  <c r="G17" i="32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D28" i="32" l="1"/>
  <c r="G13" i="14"/>
  <c r="D13" i="14"/>
  <c r="G21" i="15"/>
  <c r="I21" i="15" s="1"/>
  <c r="J20" i="15"/>
  <c r="K20" i="15" s="1"/>
  <c r="L20" i="15" s="1"/>
  <c r="M20" i="15" s="1"/>
  <c r="E29" i="32" l="1"/>
  <c r="C29" i="32" s="1"/>
  <c r="F18" i="32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D29" i="32" l="1"/>
  <c r="G18" i="32"/>
  <c r="D14" i="14"/>
  <c r="G14" i="14"/>
  <c r="G23" i="15"/>
  <c r="I23" i="15" s="1"/>
  <c r="J23" i="15" s="1"/>
  <c r="K23" i="15" s="1"/>
  <c r="J22" i="15"/>
  <c r="K22" i="15" s="1"/>
  <c r="L22" i="15" s="1"/>
  <c r="M22" i="15" s="1"/>
  <c r="E30" i="32" l="1"/>
  <c r="C30" i="32" s="1"/>
  <c r="F19" i="32"/>
  <c r="H14" i="14"/>
  <c r="I14" i="14" s="1"/>
  <c r="J14" i="14" s="1"/>
  <c r="E14" i="14"/>
  <c r="F15" i="14" s="1"/>
  <c r="L23" i="15"/>
  <c r="D30" i="32" l="1"/>
  <c r="E31" i="32" s="1"/>
  <c r="C31" i="32" s="1"/>
  <c r="D31" i="32" s="1"/>
  <c r="G19" i="32"/>
  <c r="D15" i="14"/>
  <c r="G15" i="14"/>
  <c r="M23" i="15"/>
  <c r="N17" i="15"/>
  <c r="H15" i="14" l="1"/>
  <c r="I15" i="14" s="1"/>
  <c r="J15" i="14" s="1"/>
  <c r="E15" i="14"/>
  <c r="F16" i="14" s="1"/>
  <c r="F20" i="32" l="1"/>
  <c r="G16" i="14"/>
  <c r="D16" i="14"/>
  <c r="G20" i="32" l="1"/>
  <c r="E16" i="14"/>
  <c r="F17" i="14" s="1"/>
  <c r="H16" i="14"/>
  <c r="I16" i="14" s="1"/>
  <c r="J16" i="14" s="1"/>
  <c r="G17" i="14" l="1"/>
  <c r="D17" i="14"/>
  <c r="F21" i="32" l="1"/>
  <c r="E17" i="14"/>
  <c r="F18" i="14" s="1"/>
  <c r="H17" i="14"/>
  <c r="I17" i="14" s="1"/>
  <c r="J17" i="14" s="1"/>
  <c r="G21" i="32" l="1"/>
  <c r="G18" i="14"/>
  <c r="D18" i="14"/>
  <c r="F22" i="32" l="1"/>
  <c r="G22" i="32" s="1"/>
  <c r="E18" i="14"/>
  <c r="F19" i="14" s="1"/>
  <c r="H18" i="14"/>
  <c r="I18" i="14" s="1"/>
  <c r="J18" i="14" s="1"/>
  <c r="D19" i="14" l="1"/>
  <c r="G19" i="14"/>
  <c r="H19" i="14" l="1"/>
  <c r="I19" i="14" s="1"/>
  <c r="J19" i="14" s="1"/>
  <c r="E19" i="14"/>
  <c r="F20" i="14" s="1"/>
  <c r="F23" i="32" l="1"/>
  <c r="G23" i="32" s="1"/>
  <c r="G20" i="14"/>
  <c r="D20" i="14"/>
  <c r="E20" i="14" l="1"/>
  <c r="F21" i="14" s="1"/>
  <c r="H20" i="14"/>
  <c r="I20" i="14" s="1"/>
  <c r="J20" i="14" s="1"/>
  <c r="F24" i="32" l="1"/>
  <c r="G24" i="32" s="1"/>
  <c r="D21" i="14"/>
  <c r="G21" i="14"/>
  <c r="H21" i="14" l="1"/>
  <c r="I21" i="14" s="1"/>
  <c r="J21" i="14" s="1"/>
  <c r="E21" i="14"/>
  <c r="F22" i="14" s="1"/>
  <c r="F25" i="32" l="1"/>
  <c r="G25" i="32" s="1"/>
  <c r="G22" i="14"/>
  <c r="D22" i="14"/>
  <c r="E22" i="14" l="1"/>
  <c r="F23" i="14" s="1"/>
  <c r="H22" i="14"/>
  <c r="I22" i="14" s="1"/>
  <c r="J22" i="14" s="1"/>
  <c r="F26" i="32" l="1"/>
  <c r="G26" i="32" s="1"/>
  <c r="D23" i="14"/>
  <c r="G23" i="14"/>
  <c r="H23" i="14" l="1"/>
  <c r="I23" i="14" s="1"/>
  <c r="J23" i="14" s="1"/>
  <c r="E23" i="14"/>
  <c r="F24" i="14" s="1"/>
  <c r="D24" i="14" l="1"/>
  <c r="G24" i="14"/>
  <c r="F27" i="32" l="1"/>
  <c r="G27" i="32" s="1"/>
  <c r="E24" i="14"/>
  <c r="F25" i="14" s="1"/>
  <c r="H24" i="14"/>
  <c r="I24" i="14" s="1"/>
  <c r="J24" i="14" s="1"/>
  <c r="G25" i="14" l="1"/>
  <c r="D25" i="14"/>
  <c r="F28" i="32" l="1"/>
  <c r="G28" i="32" s="1"/>
  <c r="H25" i="14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F29" i="32" l="1"/>
  <c r="G29" i="32" s="1"/>
  <c r="G27" i="14"/>
  <c r="D27" i="14"/>
  <c r="H27" i="14" l="1"/>
  <c r="I27" i="14" s="1"/>
  <c r="J27" i="14" s="1"/>
  <c r="E27" i="14"/>
  <c r="F28" i="14" s="1"/>
  <c r="D28" i="14" l="1"/>
  <c r="G28" i="14"/>
  <c r="F30" i="32" l="1"/>
  <c r="G30" i="32" s="1"/>
  <c r="E28" i="14"/>
  <c r="F29" i="14" s="1"/>
  <c r="H28" i="14"/>
  <c r="I28" i="14" s="1"/>
  <c r="J28" i="14" s="1"/>
  <c r="G29" i="14" l="1"/>
  <c r="D29" i="14"/>
  <c r="F31" i="32" l="1"/>
  <c r="G31" i="32" s="1"/>
  <c r="M6" i="32" s="1"/>
  <c r="H29" i="14"/>
  <c r="I29" i="14" s="1"/>
  <c r="J29" i="14" s="1"/>
  <c r="E29" i="14"/>
  <c r="F30" i="14" s="1"/>
  <c r="E32" i="32" l="1"/>
  <c r="D30" i="14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 s="1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 s="1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O1" i="14" l="1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  <c r="N9" i="38" l="1"/>
  <c r="N8" i="38"/>
  <c r="N6" i="38"/>
  <c r="X2" i="38" s="1"/>
  <c r="X3" i="38" l="1"/>
  <c r="X4" i="38" s="1"/>
  <c r="G2" i="38" s="1"/>
  <c r="N10" i="38"/>
  <c r="H2" i="38" l="1"/>
  <c r="X5" i="38"/>
  <c r="X6" i="38" s="1"/>
  <c r="F2" i="38" l="1"/>
  <c r="I2" i="38"/>
  <c r="G3" i="38"/>
  <c r="J2" i="38" l="1"/>
  <c r="H3" i="38"/>
  <c r="I3" i="38" s="1"/>
  <c r="G4" i="38" l="1"/>
  <c r="F3" i="38"/>
  <c r="J3" i="38" l="1"/>
  <c r="H4" i="38"/>
  <c r="F4" i="38" l="1"/>
  <c r="I4" i="38"/>
  <c r="G5" i="38"/>
  <c r="H5" i="38" l="1"/>
  <c r="I5" i="38" s="1"/>
  <c r="F5" i="38"/>
  <c r="J4" i="38"/>
  <c r="G6" i="38" l="1"/>
  <c r="J5" i="38" l="1"/>
  <c r="H6" i="38"/>
  <c r="I6" i="38" s="1"/>
  <c r="F6" i="38"/>
  <c r="G7" i="38" l="1"/>
  <c r="J6" i="38" l="1"/>
  <c r="H7" i="38"/>
  <c r="I7" i="38" s="1"/>
  <c r="F7" i="38"/>
  <c r="G8" i="38" l="1"/>
  <c r="J7" i="38" l="1"/>
  <c r="H8" i="38"/>
  <c r="I8" i="38" s="1"/>
  <c r="F8" i="38"/>
  <c r="G9" i="38" l="1"/>
  <c r="H9" i="38" l="1"/>
  <c r="I9" i="38" s="1"/>
  <c r="F9" i="38"/>
  <c r="J8" i="38"/>
  <c r="G10" i="38" l="1"/>
  <c r="H10" i="38" l="1"/>
  <c r="I10" i="38" s="1"/>
  <c r="J9" i="38"/>
  <c r="G11" i="38" l="1"/>
  <c r="F10" i="38"/>
  <c r="J10" i="38" l="1"/>
  <c r="H11" i="38"/>
  <c r="I11" i="38" s="1"/>
  <c r="F11" i="38"/>
  <c r="G12" i="38" l="1"/>
  <c r="H12" i="38" l="1"/>
  <c r="I12" i="38" s="1"/>
  <c r="J11" i="38"/>
  <c r="G13" i="38" l="1"/>
  <c r="F12" i="38"/>
  <c r="J12" i="38" l="1"/>
  <c r="H13" i="38"/>
  <c r="I13" i="38" s="1"/>
  <c r="G14" i="38" l="1"/>
  <c r="F13" i="38"/>
  <c r="H14" i="38" l="1"/>
  <c r="I14" i="38" s="1"/>
  <c r="J13" i="38"/>
  <c r="J14" i="38" l="1"/>
  <c r="F14" i="38"/>
  <c r="J15" i="38" l="1"/>
  <c r="K14" i="38" s="1"/>
  <c r="K2" i="38" l="1"/>
  <c r="K3" i="38"/>
  <c r="K4" i="38"/>
  <c r="K5" i="38"/>
  <c r="K6" i="38"/>
  <c r="K7" i="38"/>
  <c r="K8" i="38"/>
  <c r="K9" i="38"/>
  <c r="K10" i="38"/>
  <c r="K11" i="38"/>
  <c r="K12" i="38"/>
  <c r="K13" i="38"/>
  <c r="K15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<sst xmlns="http://schemas.openxmlformats.org/spreadsheetml/2006/main" count="577" uniqueCount="149">
  <si>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</si>
  <si>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</si>
  <si>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</si>
  <si>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</si>
  <si>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</si>
  <si>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</si>
  <si>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</si>
  <si>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</si>
  <si>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</si>
  <si>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</si>
  <si>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</si>
  <si>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</si>
  <si>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</si>
  <si>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</si>
  <si>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</si>
  <si>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</si>
  <si>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</si>
  <si>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</si>
  <si>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</si>
  <si>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</si>
  <si>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</si>
  <si>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</si>
  <si>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</si>
  <si>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</si>
  <si>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</si>
  <si>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</si>
  <si>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</si>
  <si>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</si>
  <si>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</si>
  <si>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</si>
  <si>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</si>
  <si>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</si>
  <si>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</si>
  <si>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</si>
  <si>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</si>
  <si>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</si>
  <si>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</si>
  <si>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</si>
  <si>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</si>
  <si>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</si>
  <si>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</si>
  <si>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</si>
  <si>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</si>
  <si>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</si>
  <si>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</si>
  <si>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</si>
  <si>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</si>
  <si>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</si>
  <si>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</si>
  <si>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</si>
  <si>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</si>
  <si>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</si>
  <si>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</si>
  <si>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</si>
  <si>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</si>
  <si>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</si>
  <si>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</si>
  <si>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</si>
  <si>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</si>
  <si>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</si>
  <si>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</si>
  <si>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</si>
  <si>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</si>
  <si>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</si>
  <si>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</si>
  <si>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</si>
  <si>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</si>
  <si>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</si>
  <si>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</si>
  <si>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</si>
  <si>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</si>
  <si>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</si>
  <si>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</si>
  <si>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</si>
  <si>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</si>
  <si>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</si>
  <si>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</si>
  <si>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</si>
  <si>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</si>
  <si>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</si>
  <si>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</si>
  <si>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</si>
  <si>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</si>
  <si>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</si>
  <si>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</si>
  <si>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</si>
  <si>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</si>
  <si>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</si>
  <si>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</si>
  <si>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</si>
  <si>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</si>
  <si>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</si>
  <si>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</si>
  <si>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</si>
  <si>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</si>
  <si>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</si>
  <si>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</si>
  <si>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</si>
  <si>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</si>
  <si>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</si>
  <si>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</si>
  <si>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</si>
  <si>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</si>
  <si>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</si>
  <si>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</si>
  <si>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</si>
  <si>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</si>
  <si>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</si>
  <si>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</si>
  <si>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</si>
  <si>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</si>
  <si>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</si>
  <si>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</si>
  <si>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</si>
  <si>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</si>
  <si>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</si>
  <si>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</si>
  <si>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</si>
  <si>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</si>
  <si>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</si>
  <si>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</si>
  <si>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</si>
  <si>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</si>
  <si>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</si>
  <si>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</si>
  <si>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</si>
  <si>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gamma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</si>
  <si>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</si>
  <si>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</si>
  <si>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</si>
  <si>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</si>
  <si>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</si>
  <si>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</si>
  <si>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</si>
  <si>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</si>
  <si>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</si>
  <si>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Lower 95.0%</t>
  </si>
  <si>
    <t>Upper 95.0%</t>
  </si>
  <si>
    <t>X Variable 2</t>
  </si>
  <si>
    <t>X Variable 3</t>
  </si>
  <si>
    <t>X Variable 4</t>
  </si>
  <si>
    <t>X Variable 5</t>
  </si>
  <si>
    <t>Trend&amp; Seas</t>
  </si>
  <si>
    <t>Historical</t>
  </si>
  <si>
    <t>Poisson Fit</t>
  </si>
  <si>
    <t>Normal Fit</t>
  </si>
  <si>
    <t>NormFitCum</t>
  </si>
  <si>
    <t>PossFitCum</t>
  </si>
  <si>
    <t>3.ArdiData28Fixed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</si>
</sst>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18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16" xfId="0" applyFont="1" applyFill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9" fillId="0" borderId="14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10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4" fillId="0" borderId="0" xfId="2" applyNumberFormat="1" applyFont="1" applyBorder="1" applyAlignment="1">
      <alignment horizontal="left"/>
    </xf>
    <xf numFmtId="164" fontId="10" fillId="8" borderId="0" xfId="2" applyNumberFormat="1" applyFont="1" applyFill="1"/>
    <xf numFmtId="166" fontId="10" fillId="8" borderId="0" xfId="2" applyNumberFormat="1" applyFont="1" applyFill="1"/>
    <xf numFmtId="0" fontId="3" fillId="0" borderId="0" xfId="2" applyFont="1" applyAlignment="1">
      <alignment horizontal="center"/>
    </xf>
    <xf numFmtId="0" fontId="3" fillId="10" borderId="0" xfId="2" applyFont="1" applyFill="1" applyAlignment="1">
      <alignment horizontal="center"/>
    </xf>
    <xf numFmtId="0" fontId="3" fillId="11" borderId="0" xfId="2" applyFont="1" applyFill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64" fontId="3" fillId="0" borderId="0" xfId="2" applyNumberFormat="1"/>
    <xf numFmtId="1" fontId="3" fillId="0" borderId="0" xfId="2" applyNumberFormat="1"/>
    <xf numFmtId="0" fontId="3" fillId="0" borderId="0" xfId="2" applyFont="1" applyAlignment="1">
      <alignment horizontal="right"/>
    </xf>
    <xf numFmtId="1" fontId="4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65" fontId="3" fillId="0" borderId="0" xfId="2" applyNumberFormat="1"/>
    <xf numFmtId="1" fontId="10" fillId="2" borderId="0" xfId="2" applyNumberFormat="1" applyFont="1" applyFill="1" applyBorder="1" applyAlignment="1">
      <alignment horizontal="center"/>
    </xf>
    <xf numFmtId="164" fontId="3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6" fillId="9" borderId="4" xfId="0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9" fillId="0" borderId="14" xfId="0" applyNumberFormat="1" applyFont="1" applyFill="1" applyBorder="1" applyAlignment="1">
      <alignment horizontal="center"/>
    </xf>
    <xf numFmtId="0" fontId="5" fillId="0" borderId="0" xfId="1" applyFont="1"/>
    <xf numFmtId="0" fontId="13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16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4" fillId="0" borderId="0" xfId="2" applyFont="1" applyFill="1"/>
    <xf numFmtId="0" fontId="14" fillId="0" borderId="2" xfId="2" applyFont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2" fontId="14" fillId="0" borderId="1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4" fillId="0" borderId="4" xfId="2" applyFont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0" fontId="5" fillId="0" borderId="0" xfId="4" applyFont="1"/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14" fillId="0" borderId="7" xfId="2" applyNumberFormat="1" applyFont="1" applyBorder="1" applyAlignment="1">
      <alignment horizontal="center"/>
    </xf>
    <xf numFmtId="1" fontId="14" fillId="0" borderId="14" xfId="2" applyNumberFormat="1" applyFont="1" applyBorder="1" applyAlignment="1">
      <alignment horizontal="center"/>
    </xf>
    <xf numFmtId="2" fontId="14" fillId="0" borderId="14" xfId="2" applyNumberFormat="1" applyFont="1" applyBorder="1" applyAlignment="1">
      <alignment horizontal="center"/>
    </xf>
    <xf numFmtId="2" fontId="14" fillId="0" borderId="7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7" fillId="0" borderId="8" xfId="2" applyFont="1" applyFill="1" applyBorder="1"/>
    <xf numFmtId="0" fontId="17" fillId="0" borderId="9" xfId="2" applyFont="1" applyFill="1" applyBorder="1"/>
    <xf numFmtId="0" fontId="17" fillId="0" borderId="15" xfId="2" applyFont="1" applyFill="1" applyBorder="1"/>
    <xf numFmtId="166" fontId="17" fillId="0" borderId="8" xfId="2" applyNumberFormat="1" applyFont="1" applyFill="1" applyBorder="1"/>
    <xf numFmtId="166" fontId="17" fillId="0" borderId="9" xfId="2" applyNumberFormat="1" applyFont="1" applyFill="1" applyBorder="1"/>
    <xf numFmtId="166" fontId="17" fillId="0" borderId="15" xfId="2" applyNumberFormat="1" applyFont="1" applyFill="1" applyBorder="1"/>
    <xf numFmtId="0" fontId="14" fillId="0" borderId="10" xfId="2" applyFont="1" applyBorder="1"/>
    <xf numFmtId="0" fontId="14" fillId="0" borderId="11" xfId="2" applyFont="1" applyBorder="1"/>
    <xf numFmtId="0" fontId="14" fillId="0" borderId="1" xfId="2" applyFont="1" applyBorder="1"/>
    <xf numFmtId="0" fontId="14" fillId="14" borderId="0" xfId="2" applyFont="1" applyFill="1"/>
    <xf numFmtId="165" fontId="14" fillId="0" borderId="0" xfId="2" applyNumberFormat="1" applyFont="1" applyAlignment="1">
      <alignment horizontal="center"/>
    </xf>
    <xf numFmtId="2" fontId="14" fillId="0" borderId="0" xfId="2" applyNumberFormat="1" applyFont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Alignment="1">
      <alignment horizontal="center"/>
    </xf>
    <xf numFmtId="0" fontId="14" fillId="0" borderId="9" xfId="2" applyFont="1" applyBorder="1"/>
    <xf numFmtId="167" fontId="14" fillId="0" borderId="9" xfId="2" applyNumberFormat="1" applyFont="1" applyBorder="1"/>
    <xf numFmtId="2" fontId="14" fillId="0" borderId="9" xfId="2" applyNumberFormat="1" applyFont="1" applyBorder="1"/>
    <xf numFmtId="0" fontId="15" fillId="0" borderId="8" xfId="2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14" fillId="0" borderId="0" xfId="2" applyNumberFormat="1" applyFont="1" applyAlignment="1">
      <alignment horizontal="center"/>
    </xf>
    <xf numFmtId="2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/>
    <xf numFmtId="0" fontId="0" fillId="0" borderId="0" xfId="0" applyFill="1" applyAlignment="1">
      <alignment horizontal="right"/>
    </xf>
    <xf numFmtId="0" fontId="14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10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" fontId="14" fillId="0" borderId="0" xfId="2" applyNumberFormat="1" applyFont="1" applyAlignment="1">
      <alignment horizontal="center"/>
    </xf>
    <xf numFmtId="166" fontId="17" fillId="0" borderId="15" xfId="2" applyNumberFormat="1" applyFont="1" applyBorder="1"/>
    <xf numFmtId="0" fontId="17" fillId="0" borderId="15" xfId="2" applyFont="1" applyBorder="1"/>
    <xf numFmtId="166" fontId="17" fillId="0" borderId="9" xfId="2" applyNumberFormat="1" applyFont="1" applyBorder="1"/>
    <xf numFmtId="0" fontId="17" fillId="0" borderId="9" xfId="2" applyFont="1" applyBorder="1"/>
    <xf numFmtId="166" fontId="17" fillId="0" borderId="8" xfId="2" applyNumberFormat="1" applyFont="1" applyBorder="1"/>
    <xf numFmtId="0" fontId="17" fillId="0" borderId="8" xfId="2" applyFont="1" applyBorder="1"/>
    <xf numFmtId="1" fontId="14" fillId="0" borderId="2" xfId="2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0" applyFont="1" applyFill="1"/>
    <xf numFmtId="0" fontId="15" fillId="0" borderId="13" xfId="2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29C-9698-BBC65FF20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13A-B1E0-24FA56DC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EF2-B702-F980E181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3-43CD-AC43-CBA789ED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0-4CA9-9BEE-37C62D77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6-4341-922C-5C701E3F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D-41B4-85BD-AD5F44C0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0-4A5F-9B4E-7B4DBF84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2-4C06-A049-2E046BDC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E-4C58-80FD-9D0780DD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5-4BE6-AC17-0F77F3CD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1-4FE4-B23D-A2522A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E-4923-918E-BDA46550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5-4995-8C45-9C5F8E1D87AC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5-4995-8C45-9C5F8E1D87AC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B5-4995-8C45-9C5F8E1D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D-4682-9198-076E49D18898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D-4682-9198-076E49D18898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D-4682-9198-076E49D1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49.426764145374655</c:v>
                </c:pt>
                <c:pt idx="3">
                  <c:v>49.05010773803054</c:v>
                </c:pt>
                <c:pt idx="4">
                  <c:v>49.576335782204538</c:v>
                </c:pt>
                <c:pt idx="5">
                  <c:v>49.975850544148265</c:v>
                </c:pt>
                <c:pt idx="6">
                  <c:v>49.632462764731606</c:v>
                </c:pt>
                <c:pt idx="7">
                  <c:v>49.457454712098119</c:v>
                </c:pt>
                <c:pt idx="8">
                  <c:v>49.332318363459372</c:v>
                </c:pt>
                <c:pt idx="9">
                  <c:v>49.370557359785984</c:v>
                </c:pt>
                <c:pt idx="10">
                  <c:v>49.132766347342859</c:v>
                </c:pt>
                <c:pt idx="11">
                  <c:v>49.060933787564437</c:v>
                </c:pt>
                <c:pt idx="12">
                  <c:v>48.876101136812721</c:v>
                </c:pt>
                <c:pt idx="13">
                  <c:v>49.337530751342058</c:v>
                </c:pt>
                <c:pt idx="14">
                  <c:v>48.848273244308444</c:v>
                </c:pt>
                <c:pt idx="15">
                  <c:v>49.60842358107265</c:v>
                </c:pt>
                <c:pt idx="16">
                  <c:v>49.96134371957406</c:v>
                </c:pt>
                <c:pt idx="17">
                  <c:v>49.893441783656883</c:v>
                </c:pt>
                <c:pt idx="18">
                  <c:v>49.964673405820442</c:v>
                </c:pt>
                <c:pt idx="19">
                  <c:v>50.882660792037228</c:v>
                </c:pt>
                <c:pt idx="20">
                  <c:v>50.999998484608604</c:v>
                </c:pt>
                <c:pt idx="21">
                  <c:v>50.999998519355671</c:v>
                </c:pt>
                <c:pt idx="22">
                  <c:v>50.747774777270855</c:v>
                </c:pt>
                <c:pt idx="23">
                  <c:v>50.982852500765368</c:v>
                </c:pt>
                <c:pt idx="24">
                  <c:v>51.464763801105804</c:v>
                </c:pt>
                <c:pt idx="25">
                  <c:v>51.178953819896606</c:v>
                </c:pt>
                <c:pt idx="26">
                  <c:v>50.716261826360842</c:v>
                </c:pt>
                <c:pt idx="27">
                  <c:v>50.974991558174239</c:v>
                </c:pt>
                <c:pt idx="28">
                  <c:v>50.906776685040107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46.349753694581288</c:v>
                </c:pt>
                <c:pt idx="1">
                  <c:v>46.723316912972088</c:v>
                </c:pt>
                <c:pt idx="2">
                  <c:v>47.096880131362894</c:v>
                </c:pt>
                <c:pt idx="3">
                  <c:v>47.470443349753701</c:v>
                </c:pt>
                <c:pt idx="4">
                  <c:v>47.844006568144508</c:v>
                </c:pt>
                <c:pt idx="5">
                  <c:v>48.217569786535307</c:v>
                </c:pt>
                <c:pt idx="6">
                  <c:v>48.591133004926114</c:v>
                </c:pt>
                <c:pt idx="7">
                  <c:v>48.964696223316921</c:v>
                </c:pt>
                <c:pt idx="8">
                  <c:v>49.33825944170772</c:v>
                </c:pt>
                <c:pt idx="9">
                  <c:v>49.711822660098527</c:v>
                </c:pt>
                <c:pt idx="10">
                  <c:v>50.085385878489333</c:v>
                </c:pt>
                <c:pt idx="11">
                  <c:v>50.458949096880133</c:v>
                </c:pt>
                <c:pt idx="12">
                  <c:v>50.832512315270939</c:v>
                </c:pt>
                <c:pt idx="13">
                  <c:v>51.206075533661746</c:v>
                </c:pt>
                <c:pt idx="14">
                  <c:v>51.579638752052553</c:v>
                </c:pt>
                <c:pt idx="15">
                  <c:v>51.953201970443352</c:v>
                </c:pt>
                <c:pt idx="16">
                  <c:v>52.326765188834159</c:v>
                </c:pt>
                <c:pt idx="17">
                  <c:v>52.700328407224966</c:v>
                </c:pt>
                <c:pt idx="18">
                  <c:v>53.073891625615772</c:v>
                </c:pt>
                <c:pt idx="19">
                  <c:v>53.447454844006572</c:v>
                </c:pt>
                <c:pt idx="20">
                  <c:v>53.821018062397378</c:v>
                </c:pt>
                <c:pt idx="21">
                  <c:v>54.194581280788185</c:v>
                </c:pt>
                <c:pt idx="22">
                  <c:v>54.568144499178985</c:v>
                </c:pt>
                <c:pt idx="23">
                  <c:v>54.941707717569791</c:v>
                </c:pt>
                <c:pt idx="24">
                  <c:v>55.315270935960598</c:v>
                </c:pt>
                <c:pt idx="25">
                  <c:v>55.688834154351397</c:v>
                </c:pt>
                <c:pt idx="26">
                  <c:v>56.062397372742204</c:v>
                </c:pt>
                <c:pt idx="27">
                  <c:v>56.435960591133011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Trend!$B$2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</c:v>
                </c:pt>
                <c:pt idx="2">
                  <c:v>25</c:v>
                </c:pt>
                <c:pt idx="3">
                  <c:v>33</c:v>
                </c:pt>
                <c:pt idx="4">
                  <c:v>72</c:v>
                </c:pt>
                <c:pt idx="5">
                  <c:v>67</c:v>
                </c:pt>
                <c:pt idx="6">
                  <c:v>35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46</c:v>
                </c:pt>
                <c:pt idx="12">
                  <c:v>41</c:v>
                </c:pt>
                <c:pt idx="13">
                  <c:v>69</c:v>
                </c:pt>
                <c:pt idx="14">
                  <c:v>28</c:v>
                </c:pt>
                <c:pt idx="15">
                  <c:v>82</c:v>
                </c:pt>
                <c:pt idx="16">
                  <c:v>65</c:v>
                </c:pt>
                <c:pt idx="17">
                  <c:v>47</c:v>
                </c:pt>
                <c:pt idx="18">
                  <c:v>53</c:v>
                </c:pt>
                <c:pt idx="19">
                  <c:v>90</c:v>
                </c:pt>
                <c:pt idx="20">
                  <c:v>56</c:v>
                </c:pt>
                <c:pt idx="21">
                  <c:v>51</c:v>
                </c:pt>
                <c:pt idx="22">
                  <c:v>40</c:v>
                </c:pt>
                <c:pt idx="23">
                  <c:v>61</c:v>
                </c:pt>
                <c:pt idx="24">
                  <c:v>72</c:v>
                </c:pt>
                <c:pt idx="25">
                  <c:v>39</c:v>
                </c:pt>
                <c:pt idx="26">
                  <c:v>31</c:v>
                </c:pt>
                <c:pt idx="27">
                  <c:v>62</c:v>
                </c:pt>
                <c:pt idx="28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4" formatCode="0.00">
                  <c:v>49.895833333333336</c:v>
                </c:pt>
                <c:pt idx="5" formatCode="0.00">
                  <c:v>24.895833333333336</c:v>
                </c:pt>
                <c:pt idx="6" formatCode="0.00">
                  <c:v>32.793749999999996</c:v>
                </c:pt>
                <c:pt idx="7" formatCode="0.00">
                  <c:v>71.400000000000006</c:v>
                </c:pt>
                <c:pt idx="8" formatCode="0.00">
                  <c:v>50.050354153873606</c:v>
                </c:pt>
                <c:pt idx="9" formatCode="0.00">
                  <c:v>25.024919063162173</c:v>
                </c:pt>
                <c:pt idx="10" formatCode="0.00">
                  <c:v>32.826178548701265</c:v>
                </c:pt>
                <c:pt idx="11" formatCode="0.00">
                  <c:v>69.885035429084425</c:v>
                </c:pt>
                <c:pt idx="12" formatCode="0.00">
                  <c:v>49.660588319505543</c:v>
                </c:pt>
                <c:pt idx="13" formatCode="0.00">
                  <c:v>25.280389651343903</c:v>
                </c:pt>
                <c:pt idx="14" formatCode="0.00">
                  <c:v>32.988466759747254</c:v>
                </c:pt>
                <c:pt idx="15" formatCode="0.00">
                  <c:v>68.328304476595662</c:v>
                </c:pt>
                <c:pt idx="16" formatCode="0.00">
                  <c:v>49.884582660904535</c:v>
                </c:pt>
                <c:pt idx="17" formatCode="0.00">
                  <c:v>25.156043162174356</c:v>
                </c:pt>
                <c:pt idx="18" formatCode="0.00">
                  <c:v>34.343543857031257</c:v>
                </c:pt>
                <c:pt idx="19" formatCode="0.00">
                  <c:v>67.633176344155501</c:v>
                </c:pt>
                <c:pt idx="20" formatCode="0.00">
                  <c:v>49.360996966756566</c:v>
                </c:pt>
                <c:pt idx="21" formatCode="0.00">
                  <c:v>25.869731934471179</c:v>
                </c:pt>
                <c:pt idx="22" formatCode="0.00">
                  <c:v>35.906271604761905</c:v>
                </c:pt>
                <c:pt idx="23" formatCode="0.00">
                  <c:v>66.661751743562647</c:v>
                </c:pt>
                <c:pt idx="24" formatCode="0.00">
                  <c:v>48.989270056677988</c:v>
                </c:pt>
                <c:pt idx="25" formatCode="0.00">
                  <c:v>26.117480567739804</c:v>
                </c:pt>
                <c:pt idx="26" formatCode="0.00">
                  <c:v>36.432440928531065</c:v>
                </c:pt>
                <c:pt idx="27" formatCode="0.00">
                  <c:v>66.260291208933282</c:v>
                </c:pt>
                <c:pt idx="28" formatCode="0.00">
                  <c:v>48.228882640122698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'TrendAndSeas (2)'!$B$2</c:f>
          <c:strCache>
            <c:ptCount val="1"/>
            <c:pt idx="0">
              <c:v>Trend&amp; 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'TrendAndSeas (2)'!$B$2</c:f>
              <c:strCache>
                <c:ptCount val="1"/>
                <c:pt idx="0">
                  <c:v>Trend&amp; Seas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(2)'!$F$4:$F$31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tx>
            <c:strRef>
              <c:f>'TrendAndSeas (2)'!$F$2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'TrendAndSeas (2)'!$A$4:$A$32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'TrendAndSeas (2)'!$F$4:$F$32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(2)'!$G$4:$G$31</c:f>
              <c:numCache>
                <c:formatCode>General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54.383928571428569</c:v>
                </c:pt>
                <c:pt idx="3">
                  <c:v>29.098214285714292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59.160714285714285</c:v>
                </c:pt>
                <c:pt idx="7">
                  <c:v>33.875000000000007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63.937499999999993</c:v>
                </c:pt>
                <c:pt idx="11">
                  <c:v>38.651785714285715</c:v>
                </c:pt>
                <c:pt idx="12">
                  <c:v>40.857142857142861</c:v>
                </c:pt>
                <c:pt idx="13">
                  <c:v>52.571428571428569</c:v>
                </c:pt>
                <c:pt idx="14">
                  <c:v>68.714285714285722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48.205357142857146</c:v>
                </c:pt>
                <c:pt idx="20">
                  <c:v>50.410714285714292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55.1875</c:v>
                </c:pt>
                <c:pt idx="25">
                  <c:v>66.901785714285708</c:v>
                </c:pt>
                <c:pt idx="26">
                  <c:v>83.044642857142861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2-4381-8B66-0BE58E57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269-9E92-B3D906F4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557-A9AF-F4FB7EB2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2-4204-BCCA-E9C28246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B-42E2-AA3A-B81EDFA1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F-4E1B-B65F-0A7C5685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'3b.ArdiData28Fixed'!$A$3:$A$30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8-4AF5-8D40-631E3F1A8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'3b.ArdiData28Fixed'!$K$1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'3b.ArdiData28Fixed'!$F$2:$F$14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'3b.ArdiData28Fixed'!$K$2:$K$14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5-4077-965D-8A91D537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7BE-B15C-865ADFA2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'3b.ArdiData28Fixed'!$C$2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6-485E-A4B9-D55AE95E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'3b.ArdiData28Fixed'!$D$2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2-4BD5-AB4F-CEF8AC9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'3b.ArdiData28Fixed'!$E$2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'3b.ArdiData28Fixed'!$A$98:$A$125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'3b.ArdiData28Fixed'!$E$98:$E$125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6-4AA5-8F2B-5D20AB1A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8A0-8F2C-58F14FE8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7-4CC3-B4CF-18D7DFD6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D1D-BA49-692F05E5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2-41FE-ADC0-017F01801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D-4569-8697-7525C7E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5-4A06-80E2-55B9D452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'3c.ArdiData28Fixed'!$A$3:$A$30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4-44DF-9EF0-00CEE2A2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'3c.ArdiData28Fixed'!$K$1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'3c.ArdiData28Fixed'!$F$2:$F$14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'3c.ArdiData28Fixed'!$K$2:$K$14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D15-8C87-F2F789AB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B-48FE-82F1-96BFCBF7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'3c.ArdiData28Fixed'!$C$2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4F87-9592-1200BB16E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'3c.ArdiData28Fixed'!$D$2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'3c.ArdiData28Fixed'!$D$2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C-463F-98AF-972E77CB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'3c.ArdiData28Fixed'!$E$2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'3c.ArdiData28Fixed'!$E$2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'3c.ArdiData28Fixed'!$A$98:$A$125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'3c.ArdiData28Fixed'!$E$98:$E$125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3-4864-9D46-0A199C20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8B-AC3C-980B20B3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F-487E-B014-566DD7DB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8-43CF-8EF9-55151E3D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9-41DA-AEC5-176E980D2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D-4D2E-B144-23BAF1F5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297-B971-296EB88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'3d.ArdiData28Fixed'!$A$3:$A$30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D-468C-A684-53861BD3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'3d.ArdiData28Fixed'!$K$1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'3d.ArdiData28Fixed'!$F$2:$F$14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'3d.ArdiData28Fixed'!$K$2:$K$14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0-4112-9F91-EFEA342C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D6-49A9-A92B-6B3DA185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'3d.ArdiData28Fixed'!$C$2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E-4A30-9A0B-2074328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'3d.ArdiData28Fixed'!$D$2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'3d.ArdiData28Fixed'!$D$2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7-4296-8281-C3F2805A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'3d.ArdiData28Fixed'!$E$2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'3d.ArdiData28Fixed'!$E$2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'3d.ArdiData28Fixed'!$A$98:$A$125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'3d.ArdiData28Fixed'!$E$98:$E$125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D4-4875-A9EC-2492DC8F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D-457B-B072-2E7FD09ED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E-41CF-BFF0-15A04A28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B8A-A05E-3DCA5D57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303-B100-CABC6B081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A8-44A5-B8EC-31907C49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6-452F-8CC0-85ED033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'3e.ArdiData28Fixed'!$A$3:$A$30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7-40FE-9807-816FB1F9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'3e.ArdiData28Fixed'!$F$2:$F$14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'3e.ArdiData28Fixed'!$K$2:$K$14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CB4-9521-DBBEFED10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9-419E-8351-E926685D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'3e.ArdiData28Fixed'!$C$2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492-941E-BB8E2782A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'3e.ArdiData28Fixed'!$D$2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'3e.ArdiData28Fixed'!$D$2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5-4C98-9162-EE1FD94FE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'3e.ArdiData28Fixed'!$E$2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'3e.ArdiData28Fixed'!$E$2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'3e.ArdiData28Fixed'!$A$98:$A$125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'3e.ArdiData28Fixed'!$E$98:$E$125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9-4294-A1F9-13DADEF5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DA2-9BBE-88D53860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7DD-85F5-C98167A7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4A71-8666-22698D88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D3-82D2-0E37C2C1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41E9-B8F3-6AEDEB87F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3-4B04-960B-0ADA59A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'3f.ArdiData28Fixed)'!$A$3:$A$30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1-4AE9-BAAB-EDBF2343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'3f.ArdiData28Fixed)'!$K$1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'3f.ArdiData28Fixed)'!$F$2:$F$14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'3f.ArdiData28Fixed)'!$K$2:$K$14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A-4EF4-8EA2-39657183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5-4B2E-8847-9FA46E95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'3f.ArdiData28Fixed)'!$C$2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B-4747-AA8C-BD0D02B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'3f.ArdiData28Fixed)'!$D$2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'3f.ArdiData28Fixed)'!$D$2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2-454F-AFBE-0A719231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'3f.ArdiData28Fixed)'!$E$2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'3f.ArdiData28Fixed)'!$E$2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'3f.ArdiData28Fixed)'!$A$98:$A$125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'3f.ArdiData28Fixed)'!$E$98:$E$125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7-488C-AEE9-C45498C68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C-4B97-B11B-ABCAB743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959-85D4-BBBBB4E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2-47CB-8528-74A10BFE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BB-BD46-A4EDB09B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48-4A81-9AE8-B8B0408F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C-44EF-8AB1-5E6E7079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'3g.ArdiData28Fixed'!$A$3:$A$30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2-4FA8-80FF-39B69147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'3g.ArdiData28Fixed'!$F$2:$F$14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'3g.ArdiData28Fixed'!$K$2:$K$14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9B7-9956-4C99D590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2-4F42-A962-9159D6EB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'3g.ArdiData28Fixed'!$C$2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7A-4AC8-9FBA-D789D3C2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'3g.ArdiData28Fixed'!$D$2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'3g.ArdiData28Fixed'!$D$2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48-4124-9F11-5BD1E20E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'3g.ArdiData28Fixed'!$E$2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'3g.ArdiData28Fixed'!$E$2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'3g.ArdiData28Fixed'!$A$98:$A$125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'3g.ArdiData28Fixed'!$E$98:$E$125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B-49C1-A0CA-6F5856689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576-91B4-7DA7DE88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4C7B-8A2F-04DFBECB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C32-8953-87D7A90B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80-4F00-9974-7E038CF9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D-4BE9-BF84-5EE6CD0B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8D-4BE6-8A11-8C17DB87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'3h.ArdiData28Fixed'!$A$3:$A$30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0A-4E03-91F8-94AB3382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'3h.ArdiData28Fixed'!$K$1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'3h.ArdiData28Fixed'!$F$2:$F$14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'3h.ArdiData28Fixed'!$K$2:$K$14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3-40CC-BFBE-DF3175FF3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8-4468-AC19-0B952C91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'3h.ArdiData28Fixed'!$C$2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45-42F0-BF29-4AB8D128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'3h.ArdiData28Fixed'!$D$2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'3h.ArdiData28Fixed'!$D$2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5-46AE-A26D-2A85018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'3h.ArdiData28Fixed'!$E$2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'3h.ArdiData28Fixed'!$E$2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'3h.ArdiData28Fixed'!$A$98:$A$125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'3h.ArdiData28Fixed'!$E$98:$E$125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AC-4A62-B15F-1FADE16D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0" Type="http://schemas.openxmlformats.org/officeDocument/2006/relationships/chart" Target="../charts/chart47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5" Type="http://schemas.openxmlformats.org/officeDocument/2006/relationships/chart" Target="../charts/chart54.xml"/><Relationship Id="rId10" Type="http://schemas.openxmlformats.org/officeDocument/2006/relationships/chart" Target="../charts/chart59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0" Type="http://schemas.openxmlformats.org/officeDocument/2006/relationships/chart" Target="../charts/chart71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5" Type="http://schemas.openxmlformats.org/officeDocument/2006/relationships/chart" Target="../charts/chart78.xml"/><Relationship Id="rId10" Type="http://schemas.openxmlformats.org/officeDocument/2006/relationships/chart" Target="../charts/chart83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3" Type="http://schemas.openxmlformats.org/officeDocument/2006/relationships/chart" Target="../charts/chart88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0" Type="http://schemas.openxmlformats.org/officeDocument/2006/relationships/chart" Target="../charts/chart95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3" Type="http://schemas.openxmlformats.org/officeDocument/2006/relationships/chart" Target="../charts/chart100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5" Type="http://schemas.openxmlformats.org/officeDocument/2006/relationships/chart" Target="../charts/chart102.xml"/><Relationship Id="rId10" Type="http://schemas.openxmlformats.org/officeDocument/2006/relationships/chart" Target="../charts/chart107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A7C98C-A5E7-4940-97A1-94D25A163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9F54C2-3253-4B4E-988A-2F276A62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CBE17A-8F51-4958-A6C1-C9FECAF3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19294B-2FD9-4E0A-9D18-657F9195C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26E32-B33D-4CA2-A411-0C9D641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2061-CA9F-4639-B000-44BDD040D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0C10A7D-A65D-4527-898C-C9CBF6607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C0451C-EE14-4A03-A6BA-8F1E7297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3AC972-6A68-4EBF-AA59-B8B37C88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586FE-C434-4324-AEE2-5D2D4A41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53A331-4D42-4FFA-B0F7-5FA61CE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7238CC5-25D4-4CD0-953E-EC5EC5A8E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E2000DB-B93E-4869-B628-C1D7F8D8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9924</xdr:colOff>
      <xdr:row>16</xdr:row>
      <xdr:rowOff>9921</xdr:rowOff>
    </xdr:from>
    <xdr:to>
      <xdr:col>24</xdr:col>
      <xdr:colOff>517130</xdr:colOff>
      <xdr:row>29</xdr:row>
      <xdr:rowOff>23413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4FC428B-0E6F-4FC9-97DD-990D3CF41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116896</xdr:colOff>
      <xdr:row>18</xdr:row>
      <xdr:rowOff>21791</xdr:rowOff>
    </xdr:from>
    <xdr:to>
      <xdr:col>21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583224</xdr:colOff>
      <xdr:row>5</xdr:row>
      <xdr:rowOff>180541</xdr:rowOff>
    </xdr:from>
    <xdr:to>
      <xdr:col>16</xdr:col>
      <xdr:colOff>92251</xdr:colOff>
      <xdr:row>21</xdr:row>
      <xdr:rowOff>32661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146661</xdr:colOff>
      <xdr:row>0</xdr:row>
      <xdr:rowOff>71401</xdr:rowOff>
    </xdr:from>
    <xdr:to>
      <xdr:col>24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407D29-7D37-4010-AE57-F75630B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AFE5BF-BE45-45E0-88E9-92B0FFFF7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A1902-6241-4D41-A9B6-972796B53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E35EC2-4FF0-4328-900E-6B7914245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89167B-FB1F-4DDB-844D-57F4C3A59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5BE840-AACA-45D5-ACCC-5EC16F56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AEF87B-9846-4C7A-9878-BCDD4B03C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2A90AD-AEA6-4FB5-AEEE-E3DC4D66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4E6951-D773-4FAB-B934-988817A9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E497D9E-3BDF-4CA7-BC46-BB06836E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27255A7-1351-486C-9BB8-3846EC0C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1C15478-0D72-4CCB-A1D2-757D7D896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F90F7-A5A5-484F-8B55-733D5325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98417B-22D8-48BD-A084-649291941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23436-9075-499E-A16A-CB40A2FFE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16DDFF-776D-4940-8B3A-15831F864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9CE6F1E-6516-4243-8055-62D9D47E0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0B12A41-723F-4F0D-B427-8399931DB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FF2E00-397A-43BD-871B-00141C144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409FE2B-A34C-4404-A889-8B90F810F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557E891-FC9E-4CB8-A865-470D6D42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8ED8468-740E-4E09-ADDB-373BD94E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A8D042-9D72-498F-989D-8D4C5C77F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99D81FB-0AE9-40F0-8360-A5CDD5FF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FC1DD-E03F-43F8-AAB7-A2B3EBBD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DE1976-195F-44DC-98D8-44275D27E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1C75F8-6C1D-4898-86AF-6C503E9B1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F3696A-EBB8-416F-A709-F8ACE7B9F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EDE6FE-3A35-416F-9231-62A18CED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CCC1F5-5137-4120-B610-AD1950F8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BA08D9-E629-4D3E-BC0C-2B144093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15A324-70C9-4958-B77B-C59BF51D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8CF698-0009-4CB8-8D1A-785BBB95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86F345-8A16-4AB3-A142-DA4CAB589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227DBFF-AB6D-4375-8917-B8A572B0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F86990C-8BDD-4D3D-A273-C96469844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BE833C-7220-4B65-B9FD-0154BF56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65A727-0A2A-4EA0-B32A-76CB4B2CC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E9A744-0E50-4A3E-8215-7824F5E1D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5872A6-F38E-432D-82D7-BEBA34177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396863-AED9-479E-B311-F4942A512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A07E7C-29E2-46FF-BA72-0D5435C3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B58D41-9BE8-4184-8CB7-36840B37B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003B400-A19E-4E1C-B1A0-B186AA8E6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A68484F-0958-4BC2-BCFD-4489A0D4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7EF789-52B0-4116-A1EB-810D278C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0668D2-4E48-47A6-BD3A-E89FA7AE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F194209-CCB0-44E2-B3D6-5F6EA957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E2FB3-8742-4FD4-85FD-B925DC6B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15761-68F2-49CF-A67F-42762210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ED636-2CDE-4004-9306-CD934632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860D4B-1B2F-4704-B347-2F92456B4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5D0FD4-6FE4-4CC7-ADF8-5CA03ACA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AA0F05-068E-47FF-860D-0165E466F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998A29-4FDD-4E9F-A882-F0FE4CB3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5150D6-101C-4C73-B7CF-2DF8835A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A058765-701A-498E-8B8A-31D78EE39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A5B43D-BCF0-45FF-9732-89EDD7CF4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B7A89DC-1EAC-4CCB-BFE5-98F25B3F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1B26434-C759-4BE3-BDCF-75DA7ABE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F39D3-BEAA-4AC1-8193-BC2F6793B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26925-6BA2-4490-A36C-24D3934C8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1F0EC4-E5E3-4263-9745-AD1732E7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08B983-1F41-41CE-A9B9-CF9F0564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1A2C54-75F2-4C54-9391-35F8D335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93F8F-5A55-4BB3-9392-5FE0FCD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BA93E03-AB87-4BA8-AD08-36F3079D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04244C-1536-4147-B209-FA442928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4967075-417A-41AA-AA82-858A165F6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CCBBA8D-C124-4C83-8130-CCC80047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9E95F9-9F3D-4B39-B706-F714AF41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12BBA9-F153-4EA7-AFFF-18C8608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0CFDD-8D78-41A9-BAE2-A284BFA2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9C327-77BB-418F-AED3-B26415AD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A6FFDA-BE76-44B3-8113-38577C87C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ADBCF3-C914-4B3B-B3A2-051E421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E89BCC-23C6-4625-98A2-DDCBD348E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434B09-654A-4488-A177-FAF302FE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FA2FB3-D785-4634-A9FE-03ED36FB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534E28-F41E-4FBB-B869-CC05086B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E62A68-ECA3-43EB-9D0C-B1CD71F5D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418880B-E32D-4E17-B183-EE75A70EE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D72E8E-D953-4A9E-8544-D8FD9A55C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027DA1F-F4AF-4975-953D-65EB7311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BF0B-7A0D-4E81-BF12-F8CF79B94B80}">
  <dimension ref="A1:BK307"/>
  <sheetViews>
    <sheetView zoomScale="96" zoomScaleNormal="96" workbookViewId="0">
      <selection activeCell="R13" sqref="R13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6" ht="17.25" thickBot="1" x14ac:dyDescent="0.35">
      <c r="A1" s="89" t="s">
        <v>4</v>
      </c>
      <c r="B1" s="90" t="s">
        <v>106</v>
      </c>
      <c r="C1" s="91" t="s">
        <v>19</v>
      </c>
      <c r="D1" s="92" t="s">
        <v>22</v>
      </c>
      <c r="E1" s="85" t="s">
        <v>107</v>
      </c>
      <c r="F1" s="82" t="s">
        <v>5</v>
      </c>
      <c r="G1" s="82" t="s">
        <v>6</v>
      </c>
      <c r="H1" s="83" t="s">
        <v>7</v>
      </c>
      <c r="I1" s="136" t="s">
        <v>8</v>
      </c>
      <c r="J1" s="167" t="s">
        <v>9</v>
      </c>
      <c r="K1" s="83" t="s">
        <v>10</v>
      </c>
      <c r="L1"/>
      <c r="M1" s="125" t="s">
        <v>86</v>
      </c>
      <c r="N1" s="127" t="s">
        <v>87</v>
      </c>
      <c r="O1" s="126" t="s">
        <v>88</v>
      </c>
      <c r="P1" s="126" t="s">
        <v>89</v>
      </c>
      <c r="Q1" s="126" t="s">
        <v>104</v>
      </c>
      <c r="R1" s="86" t="s">
        <v>23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7.25" thickBot="1" x14ac:dyDescent="0.35">
      <c r="A2" s="9">
        <v>1</v>
      </c>
      <c r="B2" s="100">
        <v>50</v>
      </c>
      <c r="C2" s="101">
        <v>25</v>
      </c>
      <c r="D2" s="102">
        <v>33</v>
      </c>
      <c r="E2" s="142">
        <v>39</v>
      </c>
      <c r="F2" s="94" t="str">
        <f t="shared" ref="F2:F14" si="0">G2&amp;" - "&amp;H2</f>
        <v>21 - 28</v>
      </c>
      <c r="G2" s="164">
        <f>X4</f>
        <v>21</v>
      </c>
      <c r="H2" s="96">
        <f t="shared" ref="H2:H14" si="1">G2+$X$3</f>
        <v>28</v>
      </c>
      <c r="I2" s="137">
        <f t="shared" ref="I2:I14" si="2">COUNTIF($B$2:$B$29, "&lt;"&amp;H2)</f>
        <v>1</v>
      </c>
      <c r="J2" s="97">
        <f>I2</f>
        <v>1</v>
      </c>
      <c r="K2" s="99">
        <f t="shared" ref="K2:K14" si="3">J2/$J$15</f>
        <v>3.5714285714285712E-2</v>
      </c>
      <c r="L2"/>
      <c r="M2" s="163" t="s">
        <v>12</v>
      </c>
      <c r="N2" s="162">
        <f>AVERAGE($B$2:$B$29)</f>
        <v>51.392857142857146</v>
      </c>
      <c r="O2" s="162">
        <f>AVERAGE($B$2:$B$29)</f>
        <v>51.392857142857146</v>
      </c>
      <c r="P2" s="162">
        <f>AVERAGE($B$2:$B$29)</f>
        <v>51.392857142857146</v>
      </c>
      <c r="Q2" s="162">
        <f>AVERAGE($B$2:$B$29)</f>
        <v>51.392857142857146</v>
      </c>
      <c r="U2" s="85" t="s">
        <v>94</v>
      </c>
      <c r="X2" s="85">
        <f>ROUND(N6/10,0)</f>
        <v>7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7.25" thickBot="1" x14ac:dyDescent="0.35">
      <c r="A3" s="9">
        <v>2</v>
      </c>
      <c r="B3" s="100">
        <v>25</v>
      </c>
      <c r="C3" s="101">
        <v>28</v>
      </c>
      <c r="D3" s="102">
        <v>35</v>
      </c>
      <c r="E3" s="142">
        <v>67</v>
      </c>
      <c r="F3" s="104" t="str">
        <f t="shared" si="0"/>
        <v>28 - 35</v>
      </c>
      <c r="G3" s="105">
        <f t="shared" ref="G3:G14" si="4">H2</f>
        <v>28</v>
      </c>
      <c r="H3" s="106">
        <f t="shared" si="1"/>
        <v>35</v>
      </c>
      <c r="I3" s="137">
        <f t="shared" si="2"/>
        <v>4</v>
      </c>
      <c r="J3" s="107">
        <f t="shared" ref="J3:J14" si="5">I3-I2</f>
        <v>3</v>
      </c>
      <c r="K3" s="109">
        <f t="shared" si="3"/>
        <v>0.10714285714285714</v>
      </c>
      <c r="L3"/>
      <c r="M3" s="133" t="s">
        <v>91</v>
      </c>
      <c r="N3" s="135">
        <f>MEDIAN(B$2:B$29)</f>
        <v>49</v>
      </c>
      <c r="O3" s="135">
        <f>MEDIAN(C$2:C$29)</f>
        <v>49</v>
      </c>
      <c r="P3" s="135">
        <f>MEDIAN(D$2:D$29)</f>
        <v>49</v>
      </c>
      <c r="Q3" s="135">
        <f>MEDIAN(E$2:E$29)</f>
        <v>49</v>
      </c>
      <c r="U3" s="85" t="s">
        <v>95</v>
      </c>
      <c r="X3" s="85">
        <f>ROUND(X2,-LEN(X2)+1)</f>
        <v>7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7.25" thickBot="1" x14ac:dyDescent="0.35">
      <c r="A4" s="9">
        <v>3</v>
      </c>
      <c r="B4" s="100">
        <v>33</v>
      </c>
      <c r="C4" s="101">
        <v>31</v>
      </c>
      <c r="D4" s="102">
        <v>48</v>
      </c>
      <c r="E4" s="142">
        <v>50</v>
      </c>
      <c r="F4" s="104" t="str">
        <f t="shared" si="0"/>
        <v>35 - 42</v>
      </c>
      <c r="G4" s="105">
        <f t="shared" si="4"/>
        <v>35</v>
      </c>
      <c r="H4" s="106">
        <f t="shared" si="1"/>
        <v>42</v>
      </c>
      <c r="I4" s="137">
        <f t="shared" si="2"/>
        <v>9</v>
      </c>
      <c r="J4" s="107">
        <f t="shared" si="5"/>
        <v>5</v>
      </c>
      <c r="K4" s="109">
        <f t="shared" si="3"/>
        <v>0.17857142857142858</v>
      </c>
      <c r="L4"/>
      <c r="M4" s="161" t="s">
        <v>13</v>
      </c>
      <c r="N4" s="160">
        <f>MAX(B$2:B$29)</f>
        <v>90</v>
      </c>
      <c r="O4" s="160">
        <f>MAX(C$2:C$29)</f>
        <v>90</v>
      </c>
      <c r="P4" s="160">
        <f>MAX(D$2:D$29)</f>
        <v>90</v>
      </c>
      <c r="Q4" s="160">
        <f>MAX(E$2:E$29)</f>
        <v>90</v>
      </c>
      <c r="U4" s="85" t="s">
        <v>96</v>
      </c>
      <c r="X4" s="85">
        <f>X3*INT(N5/X3)</f>
        <v>21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7.25" thickBot="1" x14ac:dyDescent="0.35">
      <c r="A5" s="9">
        <v>4</v>
      </c>
      <c r="B5" s="100">
        <v>72</v>
      </c>
      <c r="C5" s="101">
        <v>33</v>
      </c>
      <c r="D5" s="102">
        <v>28</v>
      </c>
      <c r="E5" s="142">
        <v>35</v>
      </c>
      <c r="F5" s="104" t="str">
        <f t="shared" si="0"/>
        <v>42 - 49</v>
      </c>
      <c r="G5" s="105">
        <f t="shared" si="4"/>
        <v>42</v>
      </c>
      <c r="H5" s="106">
        <f t="shared" si="1"/>
        <v>49</v>
      </c>
      <c r="I5" s="137">
        <f t="shared" si="2"/>
        <v>14</v>
      </c>
      <c r="J5" s="107">
        <f t="shared" si="5"/>
        <v>5</v>
      </c>
      <c r="K5" s="109">
        <f t="shared" si="3"/>
        <v>0.17857142857142858</v>
      </c>
      <c r="L5"/>
      <c r="M5" s="161" t="s">
        <v>14</v>
      </c>
      <c r="N5" s="160">
        <f>MIN(B$2:B$29)</f>
        <v>25</v>
      </c>
      <c r="O5" s="160">
        <f>MIN(C$2:C$29)</f>
        <v>25</v>
      </c>
      <c r="P5" s="160">
        <f>MIN(D$2:D$29)</f>
        <v>25</v>
      </c>
      <c r="Q5" s="160">
        <f>MIN(E$2:E$29)</f>
        <v>25</v>
      </c>
      <c r="U5" s="85" t="s">
        <v>93</v>
      </c>
      <c r="X5" s="85">
        <f>ROUNDUP(N4/X3,0)</f>
        <v>13</v>
      </c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7.25" thickBot="1" x14ac:dyDescent="0.35">
      <c r="A6" s="9">
        <v>5</v>
      </c>
      <c r="B6" s="100">
        <v>67</v>
      </c>
      <c r="C6" s="101">
        <v>35</v>
      </c>
      <c r="D6" s="102">
        <v>25</v>
      </c>
      <c r="E6" s="142">
        <v>28</v>
      </c>
      <c r="F6" s="104" t="str">
        <f t="shared" si="0"/>
        <v>49 - 56</v>
      </c>
      <c r="G6" s="105">
        <f t="shared" si="4"/>
        <v>49</v>
      </c>
      <c r="H6" s="106">
        <f t="shared" si="1"/>
        <v>56</v>
      </c>
      <c r="I6" s="137">
        <f t="shared" si="2"/>
        <v>18</v>
      </c>
      <c r="J6" s="107">
        <f t="shared" si="5"/>
        <v>4</v>
      </c>
      <c r="K6" s="109">
        <f t="shared" si="3"/>
        <v>0.14285714285714285</v>
      </c>
      <c r="L6"/>
      <c r="M6" s="161" t="s">
        <v>5</v>
      </c>
      <c r="N6" s="160">
        <f>N4-N5</f>
        <v>65</v>
      </c>
      <c r="O6" s="160">
        <f t="shared" ref="O6:Q6" si="6">O4-O5</f>
        <v>65</v>
      </c>
      <c r="P6" s="160">
        <f t="shared" si="6"/>
        <v>65</v>
      </c>
      <c r="Q6" s="160">
        <f t="shared" si="6"/>
        <v>65</v>
      </c>
      <c r="U6" s="85" t="s">
        <v>97</v>
      </c>
      <c r="X6" s="85">
        <f>X5*X3</f>
        <v>91</v>
      </c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7.25" thickBot="1" x14ac:dyDescent="0.35">
      <c r="A7" s="9">
        <v>6</v>
      </c>
      <c r="B7" s="100">
        <v>35</v>
      </c>
      <c r="C7" s="101">
        <v>39</v>
      </c>
      <c r="D7" s="102">
        <v>53</v>
      </c>
      <c r="E7" s="142">
        <v>61</v>
      </c>
      <c r="F7" s="104" t="str">
        <f t="shared" si="0"/>
        <v>56 - 63</v>
      </c>
      <c r="G7" s="105">
        <f t="shared" si="4"/>
        <v>56</v>
      </c>
      <c r="H7" s="106">
        <f t="shared" si="1"/>
        <v>63</v>
      </c>
      <c r="I7" s="137">
        <f t="shared" si="2"/>
        <v>21</v>
      </c>
      <c r="J7" s="107">
        <f t="shared" si="5"/>
        <v>3</v>
      </c>
      <c r="K7" s="109">
        <f t="shared" si="3"/>
        <v>0.10714285714285714</v>
      </c>
      <c r="L7"/>
      <c r="M7" s="161" t="s">
        <v>15</v>
      </c>
      <c r="N7" s="160">
        <f>_xlfn.STDEV.S(B$2:B$29)</f>
        <v>16.398598146305705</v>
      </c>
      <c r="O7" s="160">
        <f>_xlfn.STDEV.S(C$2:C$29)</f>
        <v>16.398598146305705</v>
      </c>
      <c r="P7" s="160">
        <f>_xlfn.STDEV.S(D$2:D$29)</f>
        <v>16.398598146305705</v>
      </c>
      <c r="Q7" s="160">
        <f>_xlfn.STDEV.S(E$2:E$29)</f>
        <v>16.398598146305705</v>
      </c>
      <c r="U7" s="85" t="s">
        <v>98</v>
      </c>
      <c r="X7" s="85">
        <v>4</v>
      </c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7.25" thickBot="1" x14ac:dyDescent="0.35">
      <c r="A8" s="9">
        <v>7</v>
      </c>
      <c r="B8" s="100">
        <v>42</v>
      </c>
      <c r="C8" s="101">
        <v>39</v>
      </c>
      <c r="D8" s="102">
        <v>50</v>
      </c>
      <c r="E8" s="142">
        <v>51</v>
      </c>
      <c r="F8" s="104" t="str">
        <f t="shared" si="0"/>
        <v>63 - 70</v>
      </c>
      <c r="G8" s="105">
        <f t="shared" si="4"/>
        <v>63</v>
      </c>
      <c r="H8" s="106">
        <f t="shared" si="1"/>
        <v>70</v>
      </c>
      <c r="I8" s="137">
        <f t="shared" si="2"/>
        <v>24</v>
      </c>
      <c r="J8" s="107">
        <f t="shared" si="5"/>
        <v>3</v>
      </c>
      <c r="K8" s="109">
        <f t="shared" si="3"/>
        <v>0.10714285714285714</v>
      </c>
      <c r="L8"/>
      <c r="M8" s="161" t="s">
        <v>16</v>
      </c>
      <c r="N8" s="160">
        <f>N7/N2</f>
        <v>0.3190832161894091</v>
      </c>
      <c r="O8" s="160">
        <f t="shared" ref="O8:Q8" si="7">O7/O2</f>
        <v>0.3190832161894091</v>
      </c>
      <c r="P8" s="160">
        <f t="shared" si="7"/>
        <v>0.3190832161894091</v>
      </c>
      <c r="Q8" s="160">
        <f t="shared" si="7"/>
        <v>0.3190832161894091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7.25" thickBot="1" x14ac:dyDescent="0.35">
      <c r="A9" s="9">
        <v>8</v>
      </c>
      <c r="B9" s="100">
        <v>44</v>
      </c>
      <c r="C9" s="101">
        <v>40</v>
      </c>
      <c r="D9" s="102">
        <v>42</v>
      </c>
      <c r="E9" s="142">
        <v>46</v>
      </c>
      <c r="F9" s="104" t="str">
        <f t="shared" si="0"/>
        <v>70 - 77</v>
      </c>
      <c r="G9" s="105">
        <f t="shared" si="4"/>
        <v>70</v>
      </c>
      <c r="H9" s="106">
        <f t="shared" si="1"/>
        <v>77</v>
      </c>
      <c r="I9" s="137">
        <f t="shared" si="2"/>
        <v>26</v>
      </c>
      <c r="J9" s="107">
        <f t="shared" si="5"/>
        <v>2</v>
      </c>
      <c r="K9" s="109">
        <f t="shared" si="3"/>
        <v>7.1428571428571425E-2</v>
      </c>
      <c r="L9"/>
      <c r="M9" s="133" t="s">
        <v>92</v>
      </c>
      <c r="N9" s="134">
        <f>N2/N3</f>
        <v>1.0488338192419826</v>
      </c>
      <c r="O9" s="134">
        <f t="shared" ref="O9:Q9" si="8">O2/O3</f>
        <v>1.0488338192419826</v>
      </c>
      <c r="P9" s="134">
        <f t="shared" si="8"/>
        <v>1.0488338192419826</v>
      </c>
      <c r="Q9" s="134">
        <f t="shared" si="8"/>
        <v>1.0488338192419826</v>
      </c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7.25" thickBot="1" x14ac:dyDescent="0.35">
      <c r="A10" s="9">
        <v>9</v>
      </c>
      <c r="B10" s="100">
        <v>51</v>
      </c>
      <c r="C10" s="101">
        <v>41</v>
      </c>
      <c r="D10" s="102">
        <v>40</v>
      </c>
      <c r="E10" s="142">
        <v>48</v>
      </c>
      <c r="F10" s="104" t="str">
        <f t="shared" si="0"/>
        <v>77 - 84</v>
      </c>
      <c r="G10" s="105">
        <f t="shared" si="4"/>
        <v>77</v>
      </c>
      <c r="H10" s="106">
        <f t="shared" si="1"/>
        <v>84</v>
      </c>
      <c r="I10" s="137">
        <f t="shared" si="2"/>
        <v>27</v>
      </c>
      <c r="J10" s="107">
        <f t="shared" si="5"/>
        <v>1</v>
      </c>
      <c r="K10" s="109">
        <f t="shared" si="3"/>
        <v>3.5714285714285712E-2</v>
      </c>
      <c r="L10"/>
      <c r="M10" s="159" t="s">
        <v>90</v>
      </c>
      <c r="N10" s="158">
        <f>N6/N2</f>
        <v>1.2647671994440584</v>
      </c>
      <c r="O10" s="158">
        <f t="shared" ref="O10:Q10" si="9">O6/O2</f>
        <v>1.2647671994440584</v>
      </c>
      <c r="P10" s="158">
        <f t="shared" si="9"/>
        <v>1.2647671994440584</v>
      </c>
      <c r="Q10" s="158">
        <f t="shared" si="9"/>
        <v>1.2647671994440584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7.25" thickBot="1" x14ac:dyDescent="0.35">
      <c r="A11" s="9">
        <v>10</v>
      </c>
      <c r="B11" s="100">
        <v>39</v>
      </c>
      <c r="C11" s="101">
        <v>42</v>
      </c>
      <c r="D11" s="102">
        <v>46</v>
      </c>
      <c r="E11" s="142">
        <v>56</v>
      </c>
      <c r="F11" s="104" t="str">
        <f t="shared" si="0"/>
        <v>84 - 91</v>
      </c>
      <c r="G11" s="105">
        <f t="shared" si="4"/>
        <v>84</v>
      </c>
      <c r="H11" s="106">
        <f t="shared" si="1"/>
        <v>91</v>
      </c>
      <c r="I11" s="137">
        <f t="shared" si="2"/>
        <v>28</v>
      </c>
      <c r="J11" s="107">
        <f t="shared" si="5"/>
        <v>1</v>
      </c>
      <c r="K11" s="109">
        <f t="shared" si="3"/>
        <v>3.5714285714285712E-2</v>
      </c>
      <c r="L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7.25" thickBot="1" x14ac:dyDescent="0.35">
      <c r="A12" s="9">
        <v>11</v>
      </c>
      <c r="B12" s="100">
        <v>46</v>
      </c>
      <c r="C12" s="101">
        <v>44</v>
      </c>
      <c r="D12" s="102">
        <v>72</v>
      </c>
      <c r="E12" s="142">
        <v>72</v>
      </c>
      <c r="F12" s="104" t="str">
        <f t="shared" si="0"/>
        <v>91 - 98</v>
      </c>
      <c r="G12" s="105">
        <f t="shared" si="4"/>
        <v>91</v>
      </c>
      <c r="H12" s="106">
        <f t="shared" si="1"/>
        <v>98</v>
      </c>
      <c r="I12" s="137">
        <f t="shared" si="2"/>
        <v>28</v>
      </c>
      <c r="J12" s="107">
        <f t="shared" si="5"/>
        <v>0</v>
      </c>
      <c r="K12" s="109">
        <f t="shared" si="3"/>
        <v>0</v>
      </c>
      <c r="L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7.25" thickBot="1" x14ac:dyDescent="0.35">
      <c r="A13" s="9">
        <v>12</v>
      </c>
      <c r="B13" s="100">
        <v>41</v>
      </c>
      <c r="C13" s="101">
        <v>46</v>
      </c>
      <c r="D13" s="102">
        <v>31</v>
      </c>
      <c r="E13" s="142">
        <v>40</v>
      </c>
      <c r="F13" s="104" t="str">
        <f t="shared" si="0"/>
        <v>98 - 105</v>
      </c>
      <c r="G13" s="105">
        <f t="shared" si="4"/>
        <v>98</v>
      </c>
      <c r="H13" s="106">
        <f t="shared" si="1"/>
        <v>105</v>
      </c>
      <c r="I13" s="137">
        <f t="shared" si="2"/>
        <v>28</v>
      </c>
      <c r="J13" s="107">
        <f t="shared" si="5"/>
        <v>0</v>
      </c>
      <c r="K13" s="109">
        <f t="shared" si="3"/>
        <v>0</v>
      </c>
      <c r="L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7.25" thickBot="1" x14ac:dyDescent="0.35">
      <c r="A14" s="9">
        <v>13</v>
      </c>
      <c r="B14" s="100">
        <v>69</v>
      </c>
      <c r="C14" s="101">
        <v>47</v>
      </c>
      <c r="D14" s="102">
        <v>44</v>
      </c>
      <c r="E14" s="142">
        <v>42</v>
      </c>
      <c r="F14" s="111" t="str">
        <f t="shared" si="0"/>
        <v>105 - 112</v>
      </c>
      <c r="G14" s="112">
        <f t="shared" si="4"/>
        <v>105</v>
      </c>
      <c r="H14" s="113">
        <f t="shared" si="1"/>
        <v>112</v>
      </c>
      <c r="I14" s="138">
        <f t="shared" si="2"/>
        <v>28</v>
      </c>
      <c r="J14" s="114">
        <f t="shared" si="5"/>
        <v>0</v>
      </c>
      <c r="K14" s="116">
        <f t="shared" si="3"/>
        <v>0</v>
      </c>
      <c r="L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6.5" x14ac:dyDescent="0.3">
      <c r="A15" s="9">
        <v>14</v>
      </c>
      <c r="B15" s="100">
        <v>28</v>
      </c>
      <c r="C15" s="101">
        <v>48</v>
      </c>
      <c r="D15" s="102">
        <v>39</v>
      </c>
      <c r="E15" s="142">
        <v>72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6.5" x14ac:dyDescent="0.3">
      <c r="A16" s="9">
        <v>15</v>
      </c>
      <c r="B16" s="100">
        <v>82</v>
      </c>
      <c r="C16" s="101">
        <v>50</v>
      </c>
      <c r="D16" s="102">
        <v>72</v>
      </c>
      <c r="E16" s="142">
        <v>53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63" ht="16.5" x14ac:dyDescent="0.3">
      <c r="A17" s="9">
        <v>16</v>
      </c>
      <c r="B17" s="100">
        <v>65</v>
      </c>
      <c r="C17" s="101">
        <v>51</v>
      </c>
      <c r="D17" s="102">
        <v>51</v>
      </c>
      <c r="E17" s="142">
        <v>41</v>
      </c>
      <c r="J17" s="118"/>
      <c r="K17" s="118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63" ht="16.5" x14ac:dyDescent="0.3">
      <c r="A18" s="9">
        <v>17</v>
      </c>
      <c r="B18" s="100">
        <v>47</v>
      </c>
      <c r="C18" s="101">
        <v>51</v>
      </c>
      <c r="D18" s="102">
        <v>41</v>
      </c>
      <c r="E18" s="142">
        <v>25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63" ht="16.5" x14ac:dyDescent="0.3">
      <c r="A19" s="9">
        <v>18</v>
      </c>
      <c r="B19" s="100">
        <v>53</v>
      </c>
      <c r="C19" s="101">
        <v>53</v>
      </c>
      <c r="D19" s="102">
        <v>65</v>
      </c>
      <c r="E19" s="142">
        <v>69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63" ht="16.5" x14ac:dyDescent="0.3">
      <c r="A20" s="9">
        <v>19</v>
      </c>
      <c r="B20" s="100">
        <v>90</v>
      </c>
      <c r="C20" s="101">
        <v>56</v>
      </c>
      <c r="D20" s="102">
        <v>67</v>
      </c>
      <c r="E20" s="142">
        <v>90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63" ht="16.5" x14ac:dyDescent="0.3">
      <c r="A21" s="9">
        <v>20</v>
      </c>
      <c r="B21" s="100">
        <v>56</v>
      </c>
      <c r="C21" s="101">
        <v>61</v>
      </c>
      <c r="D21" s="102">
        <v>51</v>
      </c>
      <c r="E21" s="142">
        <v>33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63" ht="16.5" x14ac:dyDescent="0.3">
      <c r="A22" s="9">
        <v>21</v>
      </c>
      <c r="B22" s="100">
        <v>51</v>
      </c>
      <c r="C22" s="101">
        <v>62</v>
      </c>
      <c r="D22" s="102">
        <v>56</v>
      </c>
      <c r="E22" s="142">
        <v>31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63" ht="16.5" x14ac:dyDescent="0.3">
      <c r="A23" s="9">
        <v>22</v>
      </c>
      <c r="B23" s="100">
        <v>40</v>
      </c>
      <c r="C23" s="101">
        <v>65</v>
      </c>
      <c r="D23" s="102">
        <v>69</v>
      </c>
      <c r="E23" s="142">
        <v>82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63" ht="16.5" x14ac:dyDescent="0.3">
      <c r="A24" s="9">
        <v>23</v>
      </c>
      <c r="B24" s="100">
        <v>61</v>
      </c>
      <c r="C24" s="101">
        <v>67</v>
      </c>
      <c r="D24" s="102">
        <v>82</v>
      </c>
      <c r="E24" s="142">
        <v>62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63" ht="16.5" x14ac:dyDescent="0.3">
      <c r="A25" s="9">
        <v>24</v>
      </c>
      <c r="B25" s="100">
        <v>72</v>
      </c>
      <c r="C25" s="101">
        <v>69</v>
      </c>
      <c r="D25" s="102">
        <v>39</v>
      </c>
      <c r="E25" s="142">
        <v>47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63" ht="16.5" x14ac:dyDescent="0.3">
      <c r="A26" s="9">
        <v>25</v>
      </c>
      <c r="B26" s="100">
        <v>39</v>
      </c>
      <c r="C26" s="101">
        <v>72</v>
      </c>
      <c r="D26" s="102">
        <v>47</v>
      </c>
      <c r="E26" s="142">
        <v>39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63" ht="16.5" x14ac:dyDescent="0.3">
      <c r="A27" s="9">
        <v>26</v>
      </c>
      <c r="B27" s="100">
        <v>31</v>
      </c>
      <c r="C27" s="101">
        <v>72</v>
      </c>
      <c r="D27" s="102">
        <v>61</v>
      </c>
      <c r="E27" s="142">
        <v>51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63" ht="16.5" x14ac:dyDescent="0.3">
      <c r="A28" s="9">
        <v>27</v>
      </c>
      <c r="B28" s="100">
        <v>62</v>
      </c>
      <c r="C28" s="101">
        <v>82</v>
      </c>
      <c r="D28" s="102">
        <v>90</v>
      </c>
      <c r="E28" s="142">
        <v>65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63" ht="16.5" x14ac:dyDescent="0.3">
      <c r="A29" s="9">
        <v>28</v>
      </c>
      <c r="B29" s="100">
        <v>48</v>
      </c>
      <c r="C29" s="101">
        <v>90</v>
      </c>
      <c r="D29" s="102">
        <v>62</v>
      </c>
      <c r="E29" s="142">
        <v>44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63" ht="15" x14ac:dyDescent="0.25"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63" ht="16.5" x14ac:dyDescent="0.3">
      <c r="A31" s="9"/>
      <c r="B31"/>
      <c r="C31"/>
      <c r="D31"/>
      <c r="E31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/>
      <c r="C32"/>
      <c r="D32"/>
      <c r="E3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69">
        <f t="shared" ref="A33:A60" si="10">A2</f>
        <v>1</v>
      </c>
      <c r="B33" s="69">
        <f>SUM(B$2:B2)</f>
        <v>50</v>
      </c>
      <c r="C33" s="69">
        <f>SUM(C$2:C2)</f>
        <v>25</v>
      </c>
      <c r="D33" s="69">
        <f>SUM(D$2:D2)</f>
        <v>33</v>
      </c>
      <c r="E33" s="69">
        <f>SUM(E$2:E2)</f>
        <v>39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69">
        <f t="shared" si="10"/>
        <v>2</v>
      </c>
      <c r="B34" s="69">
        <f>SUM(B$2:B3)</f>
        <v>75</v>
      </c>
      <c r="C34" s="69">
        <f>SUM(C$2:C3)</f>
        <v>53</v>
      </c>
      <c r="D34" s="69">
        <f>SUM(D$2:D3)</f>
        <v>68</v>
      </c>
      <c r="E34" s="69">
        <f>SUM(E$2:E3)</f>
        <v>106</v>
      </c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9">
        <f t="shared" si="10"/>
        <v>3</v>
      </c>
      <c r="B35" s="69">
        <f>SUM(B$2:B4)</f>
        <v>108</v>
      </c>
      <c r="C35" s="69">
        <f>SUM(C$2:C4)</f>
        <v>84</v>
      </c>
      <c r="D35" s="69">
        <f>SUM(D$2:D4)</f>
        <v>116</v>
      </c>
      <c r="E35" s="69">
        <f>SUM(E$2:E4)</f>
        <v>156</v>
      </c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9">
        <f t="shared" si="10"/>
        <v>4</v>
      </c>
      <c r="B36" s="69">
        <f>SUM(B$2:B5)</f>
        <v>180</v>
      </c>
      <c r="C36" s="69">
        <f>SUM(C$2:C5)</f>
        <v>117</v>
      </c>
      <c r="D36" s="69">
        <f>SUM(D$2:D5)</f>
        <v>144</v>
      </c>
      <c r="E36" s="69">
        <f>SUM(E$2:E5)</f>
        <v>191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9">
        <f t="shared" si="10"/>
        <v>5</v>
      </c>
      <c r="B37" s="69">
        <f>SUM(B$2:B6)</f>
        <v>247</v>
      </c>
      <c r="C37" s="69">
        <f>SUM(C$2:C6)</f>
        <v>152</v>
      </c>
      <c r="D37" s="69">
        <f>SUM(D$2:D6)</f>
        <v>169</v>
      </c>
      <c r="E37" s="69">
        <f>SUM(E$2:E6)</f>
        <v>219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9">
        <f t="shared" si="10"/>
        <v>6</v>
      </c>
      <c r="B38" s="69">
        <f>SUM(B$2:B7)</f>
        <v>282</v>
      </c>
      <c r="C38" s="69">
        <f>SUM(C$2:C7)</f>
        <v>191</v>
      </c>
      <c r="D38" s="69">
        <f>SUM(D$2:D7)</f>
        <v>222</v>
      </c>
      <c r="E38" s="69">
        <f>SUM(E$2:E7)</f>
        <v>280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9">
        <f t="shared" si="10"/>
        <v>7</v>
      </c>
      <c r="B39" s="69">
        <f>SUM(B$2:B8)</f>
        <v>324</v>
      </c>
      <c r="C39" s="69">
        <f>SUM(C$2:C8)</f>
        <v>230</v>
      </c>
      <c r="D39" s="69">
        <f>SUM(D$2:D8)</f>
        <v>272</v>
      </c>
      <c r="E39" s="69">
        <f>SUM(E$2:E8)</f>
        <v>331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9">
        <f t="shared" si="10"/>
        <v>8</v>
      </c>
      <c r="B40" s="69">
        <f>SUM(B$2:B9)</f>
        <v>368</v>
      </c>
      <c r="C40" s="69">
        <f>SUM(C$2:C9)</f>
        <v>270</v>
      </c>
      <c r="D40" s="69">
        <f>SUM(D$2:D9)</f>
        <v>314</v>
      </c>
      <c r="E40" s="69">
        <f>SUM(E$2:E9)</f>
        <v>377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9">
        <f t="shared" si="10"/>
        <v>9</v>
      </c>
      <c r="B41" s="69">
        <f>SUM(B$2:B10)</f>
        <v>419</v>
      </c>
      <c r="C41" s="69">
        <f>SUM(C$2:C10)</f>
        <v>311</v>
      </c>
      <c r="D41" s="69">
        <f>SUM(D$2:D10)</f>
        <v>354</v>
      </c>
      <c r="E41" s="69">
        <f>SUM(E$2:E10)</f>
        <v>425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9">
        <f t="shared" si="10"/>
        <v>10</v>
      </c>
      <c r="B42" s="69">
        <f>SUM(B$2:B11)</f>
        <v>458</v>
      </c>
      <c r="C42" s="69">
        <f>SUM(C$2:C11)</f>
        <v>353</v>
      </c>
      <c r="D42" s="69">
        <f>SUM(D$2:D11)</f>
        <v>400</v>
      </c>
      <c r="E42" s="69">
        <f>SUM(E$2:E11)</f>
        <v>481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9">
        <f t="shared" si="10"/>
        <v>11</v>
      </c>
      <c r="B43" s="69">
        <f>SUM(B$2:B12)</f>
        <v>504</v>
      </c>
      <c r="C43" s="69">
        <f>SUM(C$2:C12)</f>
        <v>397</v>
      </c>
      <c r="D43" s="69">
        <f>SUM(D$2:D12)</f>
        <v>472</v>
      </c>
      <c r="E43" s="69">
        <f>SUM(E$2:E12)</f>
        <v>553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9">
        <f t="shared" si="10"/>
        <v>12</v>
      </c>
      <c r="B44" s="69">
        <f>SUM(B$2:B13)</f>
        <v>545</v>
      </c>
      <c r="C44" s="69">
        <f>SUM(C$2:C13)</f>
        <v>443</v>
      </c>
      <c r="D44" s="69">
        <f>SUM(D$2:D13)</f>
        <v>503</v>
      </c>
      <c r="E44" s="69">
        <f>SUM(E$2:E13)</f>
        <v>593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9">
        <f t="shared" si="10"/>
        <v>13</v>
      </c>
      <c r="B45" s="69">
        <f>SUM(B$2:B14)</f>
        <v>614</v>
      </c>
      <c r="C45" s="69">
        <f>SUM(C$2:C14)</f>
        <v>490</v>
      </c>
      <c r="D45" s="69">
        <f>SUM(D$2:D14)</f>
        <v>547</v>
      </c>
      <c r="E45" s="69">
        <f>SUM(E$2:E14)</f>
        <v>635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9">
        <f t="shared" si="10"/>
        <v>14</v>
      </c>
      <c r="B46" s="69">
        <f>SUM(B$2:B15)</f>
        <v>642</v>
      </c>
      <c r="C46" s="69">
        <f>SUM(C$2:C15)</f>
        <v>538</v>
      </c>
      <c r="D46" s="69">
        <f>SUM(D$2:D15)</f>
        <v>586</v>
      </c>
      <c r="E46" s="69">
        <f>SUM(E$2:E15)</f>
        <v>707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9">
        <f t="shared" si="10"/>
        <v>15</v>
      </c>
      <c r="B47" s="69">
        <f>SUM(B$2:B16)</f>
        <v>724</v>
      </c>
      <c r="C47" s="69">
        <f>SUM(C$2:C16)</f>
        <v>588</v>
      </c>
      <c r="D47" s="69">
        <f>SUM(D$2:D16)</f>
        <v>658</v>
      </c>
      <c r="E47" s="69">
        <f>SUM(E$2:E16)</f>
        <v>760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9">
        <f t="shared" si="10"/>
        <v>16</v>
      </c>
      <c r="B48" s="69">
        <f>SUM(B$2:B17)</f>
        <v>789</v>
      </c>
      <c r="C48" s="69">
        <f>SUM(C$2:C17)</f>
        <v>639</v>
      </c>
      <c r="D48" s="69">
        <f>SUM(D$2:D17)</f>
        <v>709</v>
      </c>
      <c r="E48" s="69">
        <f>SUM(E$2:E17)</f>
        <v>801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9">
        <f t="shared" si="10"/>
        <v>17</v>
      </c>
      <c r="B49" s="69">
        <f>SUM(B$2:B18)</f>
        <v>836</v>
      </c>
      <c r="C49" s="69">
        <f>SUM(C$2:C18)</f>
        <v>690</v>
      </c>
      <c r="D49" s="69">
        <f>SUM(D$2:D18)</f>
        <v>750</v>
      </c>
      <c r="E49" s="69">
        <f>SUM(E$2:E18)</f>
        <v>826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9">
        <f t="shared" si="10"/>
        <v>18</v>
      </c>
      <c r="B50" s="69">
        <f>SUM(B$2:B19)</f>
        <v>889</v>
      </c>
      <c r="C50" s="69">
        <f>SUM(C$2:C19)</f>
        <v>743</v>
      </c>
      <c r="D50" s="69">
        <f>SUM(D$2:D19)</f>
        <v>815</v>
      </c>
      <c r="E50" s="69">
        <f>SUM(E$2:E19)</f>
        <v>895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9">
        <f t="shared" si="10"/>
        <v>19</v>
      </c>
      <c r="B51" s="69">
        <f>SUM(B$2:B20)</f>
        <v>979</v>
      </c>
      <c r="C51" s="69">
        <f>SUM(C$2:C20)</f>
        <v>799</v>
      </c>
      <c r="D51" s="69">
        <f>SUM(D$2:D20)</f>
        <v>882</v>
      </c>
      <c r="E51" s="69">
        <f>SUM(E$2:E20)</f>
        <v>985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9">
        <f t="shared" si="10"/>
        <v>20</v>
      </c>
      <c r="B52" s="69">
        <f>SUM(B$2:B21)</f>
        <v>1035</v>
      </c>
      <c r="C52" s="69">
        <f>SUM(C$2:C21)</f>
        <v>860</v>
      </c>
      <c r="D52" s="69">
        <f>SUM(D$2:D21)</f>
        <v>933</v>
      </c>
      <c r="E52" s="69">
        <f>SUM(E$2:E21)</f>
        <v>1018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9">
        <f t="shared" si="10"/>
        <v>21</v>
      </c>
      <c r="B53" s="69">
        <f>SUM(B$2:B22)</f>
        <v>1086</v>
      </c>
      <c r="C53" s="69">
        <f>SUM(C$2:C22)</f>
        <v>922</v>
      </c>
      <c r="D53" s="69">
        <f>SUM(D$2:D22)</f>
        <v>989</v>
      </c>
      <c r="E53" s="69">
        <f>SUM(E$2:E22)</f>
        <v>1049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9">
        <f t="shared" si="10"/>
        <v>22</v>
      </c>
      <c r="B54" s="69">
        <f>SUM(B$2:B23)</f>
        <v>1126</v>
      </c>
      <c r="C54" s="69">
        <f>SUM(C$2:C23)</f>
        <v>987</v>
      </c>
      <c r="D54" s="69">
        <f>SUM(D$2:D23)</f>
        <v>1058</v>
      </c>
      <c r="E54" s="69">
        <f>SUM(E$2:E23)</f>
        <v>1131</v>
      </c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9">
        <f t="shared" si="10"/>
        <v>23</v>
      </c>
      <c r="B55" s="69">
        <f>SUM(B$2:B24)</f>
        <v>1187</v>
      </c>
      <c r="C55" s="69">
        <f>SUM(C$2:C24)</f>
        <v>1054</v>
      </c>
      <c r="D55" s="69">
        <f>SUM(D$2:D24)</f>
        <v>1140</v>
      </c>
      <c r="E55" s="69">
        <f>SUM(E$2:E24)</f>
        <v>1193</v>
      </c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9">
        <f t="shared" si="10"/>
        <v>24</v>
      </c>
      <c r="B56" s="69">
        <f>SUM(B$2:B25)</f>
        <v>1259</v>
      </c>
      <c r="C56" s="69">
        <f>SUM(C$2:C25)</f>
        <v>1123</v>
      </c>
      <c r="D56" s="69">
        <f>SUM(D$2:D25)</f>
        <v>1179</v>
      </c>
      <c r="E56" s="69">
        <f>SUM(E$2:E25)</f>
        <v>1240</v>
      </c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9">
        <f t="shared" si="10"/>
        <v>25</v>
      </c>
      <c r="B57" s="69">
        <f>SUM(B$2:B26)</f>
        <v>1298</v>
      </c>
      <c r="C57" s="69">
        <f>SUM(C$2:C26)</f>
        <v>1195</v>
      </c>
      <c r="D57" s="69">
        <f>SUM(D$2:D26)</f>
        <v>1226</v>
      </c>
      <c r="E57" s="69">
        <f>SUM(E$2:E26)</f>
        <v>1279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9">
        <f t="shared" si="10"/>
        <v>26</v>
      </c>
      <c r="B58" s="69">
        <f>SUM(B$2:B27)</f>
        <v>1329</v>
      </c>
      <c r="C58" s="69">
        <f>SUM(C$2:C27)</f>
        <v>1267</v>
      </c>
      <c r="D58" s="69">
        <f>SUM(D$2:D27)</f>
        <v>1287</v>
      </c>
      <c r="E58" s="69">
        <f>SUM(E$2:E27)</f>
        <v>1330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9">
        <f t="shared" si="10"/>
        <v>27</v>
      </c>
      <c r="B59" s="69">
        <f>SUM(B$2:B28)</f>
        <v>1391</v>
      </c>
      <c r="C59" s="69">
        <f>SUM(C$2:C28)</f>
        <v>1349</v>
      </c>
      <c r="D59" s="69">
        <f>SUM(D$2:D28)</f>
        <v>1377</v>
      </c>
      <c r="E59" s="69">
        <f>SUM(E$2:E28)</f>
        <v>1395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9">
        <f t="shared" si="10"/>
        <v>28</v>
      </c>
      <c r="B60" s="69">
        <f>SUM(B$2:B29)</f>
        <v>1439</v>
      </c>
      <c r="C60" s="69">
        <f>SUM(C$2:C29)</f>
        <v>1439</v>
      </c>
      <c r="D60" s="69">
        <f>SUM(D$2:D29)</f>
        <v>1439</v>
      </c>
      <c r="E60" s="69">
        <f>SUM(E$2:E29)</f>
        <v>1439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/>
      <c r="D61"/>
      <c r="E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/>
      <c r="D62"/>
      <c r="E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63"/>
      <c r="B63"/>
      <c r="C63"/>
      <c r="D63"/>
      <c r="E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64"/>
      <c r="B64"/>
      <c r="C64"/>
      <c r="D64"/>
      <c r="E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5" x14ac:dyDescent="0.25">
      <c r="A65"/>
      <c r="B65"/>
      <c r="C65"/>
      <c r="D65"/>
      <c r="E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5" x14ac:dyDescent="0.25">
      <c r="A66"/>
      <c r="B66"/>
      <c r="C66"/>
      <c r="D66"/>
      <c r="E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5" x14ac:dyDescent="0.25">
      <c r="A67"/>
      <c r="B67"/>
      <c r="C67"/>
      <c r="D67"/>
      <c r="E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5" x14ac:dyDescent="0.25">
      <c r="A68"/>
      <c r="B68"/>
      <c r="C68"/>
      <c r="D68"/>
      <c r="E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5" x14ac:dyDescent="0.25">
      <c r="A69"/>
      <c r="B69"/>
      <c r="C69"/>
      <c r="D69"/>
      <c r="E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5" x14ac:dyDescent="0.25">
      <c r="A70"/>
      <c r="B70"/>
      <c r="C70"/>
      <c r="D70"/>
      <c r="E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5" x14ac:dyDescent="0.25">
      <c r="A71"/>
      <c r="B71"/>
      <c r="C71"/>
      <c r="D71"/>
      <c r="E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5" x14ac:dyDescent="0.25">
      <c r="A72"/>
      <c r="B72"/>
      <c r="C72"/>
      <c r="D72"/>
      <c r="E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5" x14ac:dyDescent="0.25">
      <c r="A73"/>
      <c r="B73"/>
      <c r="C73"/>
      <c r="D73"/>
      <c r="E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5" x14ac:dyDescent="0.25">
      <c r="A74"/>
      <c r="B74"/>
      <c r="C74"/>
      <c r="D74"/>
      <c r="E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5" x14ac:dyDescent="0.25">
      <c r="A75"/>
      <c r="B75"/>
      <c r="C75"/>
      <c r="D75"/>
      <c r="E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5" x14ac:dyDescent="0.25">
      <c r="A76"/>
      <c r="B76"/>
      <c r="C76"/>
      <c r="D76"/>
      <c r="E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5" x14ac:dyDescent="0.25">
      <c r="A77"/>
      <c r="B77"/>
      <c r="C77"/>
      <c r="D77"/>
      <c r="E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/>
      <c r="B78"/>
      <c r="C78"/>
      <c r="D78"/>
      <c r="E7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/>
      <c r="B79"/>
      <c r="C79"/>
      <c r="D79"/>
      <c r="E7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/>
      <c r="B80"/>
      <c r="C80"/>
      <c r="D80"/>
      <c r="E80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/>
      <c r="B81"/>
      <c r="C81"/>
      <c r="D81"/>
      <c r="E81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/>
      <c r="B82"/>
      <c r="C82"/>
      <c r="D82"/>
      <c r="E8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/>
      <c r="B83"/>
      <c r="C83"/>
      <c r="D83"/>
      <c r="E83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/>
      <c r="B84"/>
      <c r="C84"/>
      <c r="D84"/>
      <c r="E84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/>
      <c r="B85"/>
      <c r="C85"/>
      <c r="D85"/>
      <c r="E85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/>
      <c r="B86"/>
      <c r="C86"/>
      <c r="D86"/>
      <c r="E86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/>
      <c r="C88"/>
      <c r="D88"/>
      <c r="E8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>SUM(AS3:AS86)</f>
        <v>0</v>
      </c>
      <c r="AT88" s="78">
        <f>SUM(AT3:AT86)</f>
        <v>0</v>
      </c>
      <c r="AU88" s="78">
        <f>SUM(AU3:AU86)</f>
        <v>0</v>
      </c>
      <c r="AV88" s="78">
        <f>SUM(AV3:AV86)</f>
        <v>0</v>
      </c>
      <c r="AW88" s="78">
        <f>SUM(AW3:AW86)</f>
        <v>0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92"/>
      <c r="B92"/>
      <c r="C92"/>
      <c r="D92"/>
      <c r="E92"/>
      <c r="AP92"/>
      <c r="AQ92"/>
      <c r="AR92"/>
      <c r="AS92"/>
      <c r="AT92"/>
      <c r="AU92"/>
      <c r="AX92"/>
    </row>
    <row r="93" spans="1:63" ht="16.5" x14ac:dyDescent="0.3">
      <c r="A93"/>
      <c r="B93"/>
      <c r="C93"/>
      <c r="D93"/>
      <c r="E93"/>
      <c r="AP93"/>
      <c r="AQ93" s="110"/>
      <c r="AR93" s="110"/>
      <c r="AS93"/>
      <c r="AT93"/>
      <c r="AU93"/>
      <c r="AX93"/>
    </row>
    <row r="94" spans="1:63" ht="16.5" x14ac:dyDescent="0.3">
      <c r="A94"/>
      <c r="B94"/>
      <c r="C94"/>
      <c r="D94"/>
      <c r="E94"/>
      <c r="AP94"/>
      <c r="AQ94" s="110"/>
      <c r="AR94" s="110"/>
      <c r="AS94"/>
      <c r="AT94"/>
      <c r="AU94"/>
      <c r="AX94"/>
    </row>
    <row r="95" spans="1:63" ht="16.5" x14ac:dyDescent="0.3">
      <c r="A95"/>
      <c r="B95"/>
      <c r="C95"/>
      <c r="D95"/>
      <c r="E95"/>
      <c r="AP95"/>
      <c r="AQ95" s="110"/>
      <c r="AR95" s="110"/>
      <c r="AS95"/>
      <c r="AT95"/>
      <c r="AU95"/>
      <c r="AX95"/>
    </row>
    <row r="96" spans="1:63" ht="16.5" x14ac:dyDescent="0.3">
      <c r="A96"/>
      <c r="B96"/>
      <c r="C96"/>
      <c r="D96"/>
      <c r="E96"/>
      <c r="AP96"/>
      <c r="AQ96" s="110"/>
      <c r="AR96" s="110"/>
      <c r="AS96"/>
      <c r="AT96"/>
      <c r="AU96"/>
      <c r="AX96"/>
    </row>
    <row r="97" spans="1:50" ht="16.5" x14ac:dyDescent="0.3">
      <c r="A97"/>
      <c r="B97"/>
      <c r="C97"/>
      <c r="D97"/>
      <c r="E97"/>
      <c r="AP97"/>
      <c r="AQ97" s="110"/>
      <c r="AR97" s="110"/>
      <c r="AS97"/>
      <c r="AT97"/>
      <c r="AU97"/>
      <c r="AX97"/>
    </row>
    <row r="98" spans="1:50" ht="16.5" x14ac:dyDescent="0.3">
      <c r="A98"/>
      <c r="B98"/>
      <c r="C98"/>
      <c r="D98"/>
      <c r="E98"/>
      <c r="AP98"/>
      <c r="AQ98" s="110"/>
      <c r="AR98" s="110"/>
      <c r="AS98"/>
      <c r="AT98"/>
      <c r="AU98"/>
      <c r="AX98"/>
    </row>
    <row r="99" spans="1:50" ht="15" x14ac:dyDescent="0.25">
      <c r="A99"/>
      <c r="B99"/>
      <c r="C99"/>
      <c r="D99"/>
      <c r="E99"/>
      <c r="AP99"/>
      <c r="AQ99"/>
      <c r="AR99"/>
      <c r="AS99"/>
      <c r="AT99"/>
      <c r="AU99"/>
    </row>
    <row r="100" spans="1:50" ht="15" x14ac:dyDescent="0.25">
      <c r="A100"/>
      <c r="B100"/>
      <c r="C100"/>
      <c r="D100"/>
      <c r="E100"/>
      <c r="AP100"/>
      <c r="AQ100"/>
      <c r="AR100"/>
      <c r="AS100"/>
      <c r="AT100"/>
      <c r="AU100"/>
    </row>
    <row r="101" spans="1:50" ht="15" x14ac:dyDescent="0.25">
      <c r="A101"/>
      <c r="B101"/>
      <c r="C101"/>
      <c r="D101"/>
      <c r="E101"/>
      <c r="AP101"/>
      <c r="AQ101"/>
      <c r="AR101"/>
      <c r="AS101"/>
      <c r="AT101"/>
      <c r="AU101"/>
    </row>
    <row r="102" spans="1:50" ht="15" x14ac:dyDescent="0.25">
      <c r="A102"/>
      <c r="B102"/>
      <c r="C102"/>
      <c r="D102"/>
      <c r="E102"/>
      <c r="AP102"/>
      <c r="AQ102"/>
      <c r="AR102"/>
      <c r="AS102"/>
      <c r="AT102"/>
      <c r="AU102"/>
    </row>
    <row r="103" spans="1:50" ht="15" x14ac:dyDescent="0.25">
      <c r="A103"/>
      <c r="B103"/>
      <c r="C103"/>
      <c r="D103"/>
      <c r="E103"/>
      <c r="AP103"/>
      <c r="AQ103"/>
      <c r="AR103"/>
      <c r="AS103"/>
      <c r="AT103"/>
      <c r="AU103"/>
    </row>
    <row r="104" spans="1:50" ht="15" x14ac:dyDescent="0.25">
      <c r="A104"/>
      <c r="B104"/>
      <c r="C104"/>
      <c r="D104"/>
      <c r="E104"/>
      <c r="AP104"/>
      <c r="AQ104"/>
      <c r="AR104"/>
      <c r="AS104"/>
      <c r="AT104"/>
      <c r="AU104"/>
    </row>
    <row r="105" spans="1:50" ht="15" x14ac:dyDescent="0.25">
      <c r="A105"/>
      <c r="B105"/>
      <c r="C105"/>
      <c r="D105"/>
      <c r="E105"/>
      <c r="AP105"/>
      <c r="AQ105"/>
      <c r="AR105"/>
      <c r="AS105"/>
      <c r="AT105"/>
      <c r="AU105"/>
    </row>
    <row r="106" spans="1:50" ht="15" x14ac:dyDescent="0.25">
      <c r="A106"/>
      <c r="B106"/>
      <c r="C106"/>
      <c r="D106"/>
      <c r="E106"/>
      <c r="AP106"/>
      <c r="AQ106"/>
      <c r="AR106"/>
      <c r="AS106"/>
      <c r="AT106"/>
      <c r="AU106"/>
    </row>
    <row r="107" spans="1:50" ht="15" x14ac:dyDescent="0.25">
      <c r="A107"/>
      <c r="B107"/>
      <c r="C107"/>
      <c r="D107"/>
      <c r="E107"/>
      <c r="AP107"/>
      <c r="AQ107"/>
      <c r="AR107"/>
      <c r="AS107"/>
      <c r="AT107"/>
      <c r="AU107"/>
    </row>
    <row r="108" spans="1:50" ht="15" x14ac:dyDescent="0.25">
      <c r="A108"/>
      <c r="B108"/>
      <c r="C108"/>
      <c r="D108"/>
      <c r="E108"/>
      <c r="AP108"/>
      <c r="AQ108"/>
      <c r="AR108"/>
      <c r="AS108"/>
      <c r="AT108"/>
      <c r="AU108"/>
    </row>
    <row r="109" spans="1:50" ht="15" x14ac:dyDescent="0.25">
      <c r="A109"/>
      <c r="B109"/>
      <c r="C109"/>
      <c r="D109"/>
      <c r="E109"/>
      <c r="AP109"/>
      <c r="AQ109"/>
      <c r="AR109"/>
      <c r="AS109"/>
      <c r="AT109"/>
      <c r="AU109"/>
    </row>
    <row r="110" spans="1:50" ht="15" x14ac:dyDescent="0.25">
      <c r="A110"/>
      <c r="B110"/>
      <c r="C110"/>
      <c r="D110"/>
      <c r="E110"/>
      <c r="AP110"/>
      <c r="AQ110"/>
      <c r="AR110"/>
      <c r="AS110"/>
      <c r="AT110"/>
      <c r="AU110"/>
    </row>
    <row r="111" spans="1:50" ht="15" x14ac:dyDescent="0.25">
      <c r="A111"/>
      <c r="B111"/>
      <c r="C111"/>
      <c r="D111"/>
      <c r="E111"/>
      <c r="AP111"/>
      <c r="AQ111"/>
      <c r="AR111"/>
      <c r="AS111"/>
      <c r="AT111"/>
      <c r="AU111"/>
    </row>
    <row r="112" spans="1:50" ht="15" x14ac:dyDescent="0.25">
      <c r="A112"/>
      <c r="B112"/>
      <c r="C112"/>
      <c r="D112"/>
      <c r="E112"/>
      <c r="AP112"/>
      <c r="AQ112"/>
      <c r="AR112"/>
      <c r="AS112"/>
      <c r="AT112"/>
      <c r="AU112"/>
    </row>
    <row r="113" spans="1:47" ht="15" x14ac:dyDescent="0.25">
      <c r="A113"/>
      <c r="B113"/>
      <c r="C113"/>
      <c r="D113"/>
      <c r="E113"/>
      <c r="AP113"/>
      <c r="AQ113"/>
      <c r="AR113"/>
      <c r="AS113"/>
      <c r="AT113"/>
      <c r="AU113"/>
    </row>
    <row r="114" spans="1:47" ht="15" x14ac:dyDescent="0.25">
      <c r="A114"/>
      <c r="B114"/>
      <c r="C114"/>
      <c r="D114"/>
      <c r="E114"/>
      <c r="AP114"/>
      <c r="AQ114"/>
      <c r="AR114"/>
      <c r="AS114"/>
      <c r="AT114"/>
      <c r="AU114"/>
    </row>
    <row r="115" spans="1:47" ht="15" x14ac:dyDescent="0.25">
      <c r="A115"/>
      <c r="B115"/>
      <c r="C115"/>
      <c r="D115"/>
      <c r="E115"/>
      <c r="AP115"/>
      <c r="AQ115"/>
      <c r="AR115"/>
      <c r="AS115"/>
      <c r="AT115"/>
      <c r="AU115"/>
    </row>
    <row r="116" spans="1:47" ht="15" x14ac:dyDescent="0.25">
      <c r="A116"/>
      <c r="B116"/>
      <c r="C116"/>
      <c r="D116"/>
      <c r="E116"/>
      <c r="AP116"/>
      <c r="AQ116"/>
      <c r="AR116"/>
      <c r="AS116"/>
      <c r="AT116"/>
      <c r="AU116"/>
    </row>
    <row r="117" spans="1:47" ht="15" x14ac:dyDescent="0.25">
      <c r="A117"/>
      <c r="B117"/>
      <c r="C117"/>
      <c r="D117"/>
      <c r="E117"/>
      <c r="AP117"/>
      <c r="AQ117"/>
      <c r="AR117"/>
      <c r="AS117"/>
      <c r="AT117"/>
      <c r="AU117"/>
    </row>
    <row r="118" spans="1:47" ht="15" x14ac:dyDescent="0.25">
      <c r="A118"/>
      <c r="B118"/>
      <c r="C118"/>
      <c r="D118"/>
      <c r="E118"/>
      <c r="AP118"/>
      <c r="AQ118"/>
      <c r="AR118"/>
      <c r="AS118"/>
      <c r="AT118"/>
      <c r="AU118"/>
    </row>
    <row r="119" spans="1:47" ht="15" x14ac:dyDescent="0.25">
      <c r="A119"/>
      <c r="B119"/>
      <c r="C119"/>
      <c r="D119"/>
      <c r="E119"/>
      <c r="AP119"/>
      <c r="AQ119"/>
      <c r="AR119"/>
      <c r="AS119"/>
      <c r="AT119"/>
      <c r="AU119"/>
    </row>
    <row r="120" spans="1:47" ht="15" x14ac:dyDescent="0.25">
      <c r="A120"/>
      <c r="B120"/>
      <c r="C120"/>
      <c r="D120"/>
      <c r="E120"/>
      <c r="AP120"/>
      <c r="AQ120"/>
      <c r="AR120"/>
      <c r="AS120"/>
      <c r="AT120"/>
      <c r="AU120"/>
    </row>
    <row r="121" spans="1:47" ht="15" x14ac:dyDescent="0.25">
      <c r="A121"/>
      <c r="B121"/>
      <c r="C121"/>
      <c r="D121"/>
      <c r="E121"/>
      <c r="AP121"/>
      <c r="AQ121"/>
      <c r="AR121"/>
      <c r="AS121"/>
      <c r="AT121"/>
      <c r="AU121"/>
    </row>
    <row r="122" spans="1:47" ht="15" x14ac:dyDescent="0.25">
      <c r="A122"/>
      <c r="B122"/>
      <c r="C122"/>
      <c r="D122"/>
      <c r="E122"/>
      <c r="AP122"/>
      <c r="AQ122"/>
      <c r="AR122"/>
      <c r="AS122"/>
      <c r="AT122"/>
      <c r="AU122"/>
    </row>
    <row r="123" spans="1:47" ht="15" x14ac:dyDescent="0.25">
      <c r="A123"/>
      <c r="B123"/>
      <c r="C123"/>
      <c r="D123"/>
      <c r="E123"/>
      <c r="AP123"/>
      <c r="AQ123"/>
      <c r="AR123"/>
      <c r="AS123"/>
      <c r="AT123"/>
      <c r="AU123"/>
    </row>
    <row r="124" spans="1:47" ht="15" x14ac:dyDescent="0.25">
      <c r="A124"/>
      <c r="B124"/>
      <c r="C124"/>
      <c r="D124"/>
      <c r="E124"/>
      <c r="AP124"/>
      <c r="AQ124"/>
      <c r="AR124"/>
      <c r="AS124"/>
      <c r="AT124"/>
      <c r="AU124"/>
    </row>
    <row r="125" spans="1:47" ht="15" x14ac:dyDescent="0.25">
      <c r="A125"/>
      <c r="B125"/>
      <c r="C125"/>
      <c r="D125"/>
      <c r="E125"/>
      <c r="AP125"/>
      <c r="AQ125"/>
      <c r="AR125"/>
      <c r="AS125"/>
      <c r="AT125"/>
      <c r="AU125"/>
    </row>
    <row r="126" spans="1:47" ht="15" x14ac:dyDescent="0.25">
      <c r="A126"/>
      <c r="B126"/>
      <c r="C126"/>
      <c r="D126"/>
      <c r="E126"/>
      <c r="AP126"/>
      <c r="AQ126"/>
      <c r="AR126"/>
      <c r="AS126"/>
      <c r="AT126"/>
      <c r="AU126"/>
    </row>
    <row r="127" spans="1:47" ht="15" x14ac:dyDescent="0.25">
      <c r="A127"/>
      <c r="B127"/>
      <c r="C127"/>
      <c r="D127"/>
      <c r="E127"/>
      <c r="AP127"/>
      <c r="AQ127"/>
      <c r="AR127"/>
      <c r="AS127"/>
      <c r="AT127"/>
      <c r="AU127"/>
    </row>
    <row r="128" spans="1:47" ht="15" x14ac:dyDescent="0.25">
      <c r="A128"/>
      <c r="B128"/>
      <c r="C128"/>
      <c r="D128"/>
      <c r="E128"/>
      <c r="AP128"/>
      <c r="AQ128"/>
      <c r="AR128"/>
      <c r="AS128"/>
      <c r="AT128"/>
      <c r="AU128"/>
    </row>
    <row r="129" spans="1:47" ht="15" x14ac:dyDescent="0.25">
      <c r="A129"/>
      <c r="B129"/>
      <c r="C129"/>
      <c r="D129"/>
      <c r="E129"/>
      <c r="AP129"/>
      <c r="AQ129"/>
      <c r="AR129"/>
      <c r="AS129"/>
      <c r="AT129"/>
      <c r="AU129"/>
    </row>
    <row r="130" spans="1:47" ht="15" x14ac:dyDescent="0.25">
      <c r="A130"/>
      <c r="B130"/>
      <c r="C130"/>
      <c r="D130"/>
      <c r="E130"/>
      <c r="AP130"/>
      <c r="AQ130"/>
      <c r="AR130"/>
      <c r="AS130"/>
      <c r="AT130"/>
      <c r="AU130"/>
    </row>
    <row r="131" spans="1:47" ht="15" x14ac:dyDescent="0.25">
      <c r="A131"/>
      <c r="B131"/>
      <c r="C131"/>
      <c r="D131"/>
      <c r="E131"/>
      <c r="AP131"/>
      <c r="AQ131"/>
      <c r="AR131"/>
      <c r="AS131"/>
      <c r="AT131"/>
      <c r="AU131"/>
    </row>
    <row r="132" spans="1:47" ht="15" x14ac:dyDescent="0.25">
      <c r="A132"/>
      <c r="B132"/>
      <c r="C132"/>
      <c r="D132"/>
      <c r="E132"/>
      <c r="AP132"/>
      <c r="AQ132"/>
      <c r="AR132"/>
      <c r="AS132"/>
      <c r="AT132"/>
      <c r="AU132"/>
    </row>
    <row r="133" spans="1:47" ht="15" x14ac:dyDescent="0.25">
      <c r="A133"/>
      <c r="B133"/>
      <c r="C133"/>
      <c r="D133"/>
      <c r="E133"/>
      <c r="AP133"/>
      <c r="AQ133"/>
      <c r="AR133"/>
      <c r="AS133"/>
      <c r="AT133"/>
      <c r="AU133"/>
    </row>
    <row r="134" spans="1:47" ht="15" x14ac:dyDescent="0.25">
      <c r="A134"/>
      <c r="B134"/>
      <c r="C134"/>
      <c r="D134"/>
      <c r="E134"/>
      <c r="AP134"/>
      <c r="AQ134"/>
      <c r="AR134"/>
      <c r="AS134"/>
      <c r="AT134"/>
      <c r="AU134"/>
    </row>
    <row r="135" spans="1:47" ht="15" x14ac:dyDescent="0.25">
      <c r="A135"/>
      <c r="B135"/>
      <c r="C135"/>
      <c r="D135"/>
      <c r="E135"/>
      <c r="AP135"/>
      <c r="AQ135"/>
      <c r="AR135"/>
      <c r="AS135"/>
      <c r="AT135"/>
      <c r="AU135"/>
    </row>
    <row r="136" spans="1:47" ht="15" x14ac:dyDescent="0.25">
      <c r="A136"/>
      <c r="B136"/>
      <c r="C136"/>
      <c r="D136"/>
      <c r="E136"/>
      <c r="AP136"/>
      <c r="AQ136"/>
      <c r="AR136"/>
      <c r="AS136"/>
      <c r="AT136"/>
      <c r="AU136"/>
    </row>
    <row r="137" spans="1:47" ht="15" x14ac:dyDescent="0.25">
      <c r="A137"/>
      <c r="B137"/>
      <c r="C137"/>
      <c r="D137"/>
      <c r="E137"/>
      <c r="AP137"/>
      <c r="AQ137"/>
      <c r="AR137"/>
      <c r="AS137"/>
      <c r="AT137"/>
      <c r="AU137"/>
    </row>
    <row r="138" spans="1:47" ht="15" x14ac:dyDescent="0.25">
      <c r="A138"/>
      <c r="B138"/>
      <c r="C138"/>
      <c r="D138"/>
      <c r="E138"/>
      <c r="AP138"/>
      <c r="AQ138"/>
      <c r="AR138"/>
      <c r="AS138"/>
      <c r="AT138"/>
      <c r="AU138"/>
    </row>
    <row r="139" spans="1:47" ht="15" x14ac:dyDescent="0.25">
      <c r="A139"/>
      <c r="B139"/>
      <c r="C139"/>
      <c r="D139"/>
      <c r="E139"/>
      <c r="AP139"/>
      <c r="AQ139"/>
      <c r="AR139"/>
      <c r="AS139"/>
      <c r="AT139"/>
      <c r="AU139"/>
    </row>
    <row r="140" spans="1:47" ht="15" x14ac:dyDescent="0.25">
      <c r="A140"/>
      <c r="B140"/>
      <c r="C140"/>
      <c r="D140"/>
      <c r="E140"/>
      <c r="AP140"/>
      <c r="AQ140"/>
      <c r="AR140"/>
      <c r="AS140"/>
      <c r="AT140"/>
      <c r="AU140"/>
    </row>
    <row r="141" spans="1:47" ht="15" x14ac:dyDescent="0.25">
      <c r="A141"/>
      <c r="B141"/>
      <c r="C141"/>
      <c r="D141"/>
      <c r="E141"/>
      <c r="AP141"/>
      <c r="AQ141"/>
      <c r="AR141"/>
      <c r="AS141"/>
      <c r="AT141"/>
      <c r="AU141"/>
    </row>
    <row r="142" spans="1:47" ht="15" x14ac:dyDescent="0.25">
      <c r="A142"/>
      <c r="B142"/>
      <c r="C142"/>
      <c r="D142"/>
      <c r="E142"/>
      <c r="AP142"/>
      <c r="AQ142"/>
      <c r="AR142"/>
      <c r="AS142"/>
      <c r="AT142"/>
      <c r="AU142"/>
    </row>
    <row r="143" spans="1:47" ht="15" x14ac:dyDescent="0.25">
      <c r="A143"/>
      <c r="B143"/>
      <c r="C143"/>
      <c r="D143"/>
      <c r="E143"/>
      <c r="AP143"/>
      <c r="AQ143"/>
      <c r="AR143"/>
      <c r="AS143"/>
      <c r="AT143"/>
      <c r="AU143"/>
    </row>
    <row r="144" spans="1:47" ht="15" x14ac:dyDescent="0.25">
      <c r="A144"/>
      <c r="B144"/>
      <c r="C144"/>
      <c r="D144"/>
      <c r="E144"/>
      <c r="AP144"/>
      <c r="AQ144"/>
      <c r="AR144"/>
      <c r="AS144"/>
      <c r="AT144"/>
      <c r="AU144"/>
    </row>
    <row r="145" spans="1:47" ht="15" x14ac:dyDescent="0.25">
      <c r="A145"/>
      <c r="B145"/>
      <c r="C145"/>
      <c r="D145"/>
      <c r="E145"/>
      <c r="AP145"/>
      <c r="AQ145"/>
      <c r="AR145"/>
      <c r="AS145"/>
      <c r="AT145"/>
      <c r="AU145"/>
    </row>
    <row r="146" spans="1:47" ht="15" x14ac:dyDescent="0.25">
      <c r="A146"/>
      <c r="B146"/>
      <c r="C146"/>
      <c r="D146"/>
      <c r="E146"/>
      <c r="AP146"/>
      <c r="AQ146"/>
      <c r="AR146"/>
      <c r="AS146"/>
      <c r="AT146"/>
      <c r="AU146"/>
    </row>
    <row r="147" spans="1:47" ht="15" x14ac:dyDescent="0.25">
      <c r="A147"/>
      <c r="B147"/>
      <c r="C147"/>
      <c r="D147"/>
      <c r="E147"/>
      <c r="AP147"/>
      <c r="AQ147"/>
      <c r="AR147"/>
      <c r="AS147"/>
      <c r="AT147"/>
      <c r="AU147"/>
    </row>
    <row r="148" spans="1:47" ht="15" x14ac:dyDescent="0.25">
      <c r="A148"/>
      <c r="B148"/>
      <c r="C148"/>
      <c r="D148"/>
      <c r="E148"/>
      <c r="AP148"/>
      <c r="AQ148"/>
      <c r="AR148"/>
      <c r="AS148"/>
      <c r="AT148"/>
      <c r="AU148"/>
    </row>
    <row r="149" spans="1:47" ht="15" x14ac:dyDescent="0.25">
      <c r="A149"/>
      <c r="B149"/>
      <c r="C149"/>
      <c r="D149"/>
      <c r="E149"/>
      <c r="AP149"/>
      <c r="AQ149"/>
      <c r="AR149"/>
      <c r="AS149"/>
      <c r="AT149"/>
      <c r="AU149"/>
    </row>
    <row r="150" spans="1:47" ht="15" x14ac:dyDescent="0.25">
      <c r="A150"/>
      <c r="B150"/>
      <c r="C150"/>
      <c r="D150"/>
      <c r="E150"/>
      <c r="AP150"/>
      <c r="AQ150"/>
      <c r="AR150"/>
      <c r="AS150"/>
      <c r="AT150"/>
      <c r="AU150"/>
    </row>
    <row r="151" spans="1:47" ht="15" x14ac:dyDescent="0.25">
      <c r="A151"/>
      <c r="B151"/>
      <c r="C151"/>
      <c r="D151"/>
      <c r="E151"/>
      <c r="AP151"/>
      <c r="AQ151"/>
      <c r="AR151"/>
      <c r="AS151"/>
      <c r="AT151"/>
      <c r="AU151"/>
    </row>
    <row r="152" spans="1:47" ht="15" x14ac:dyDescent="0.25">
      <c r="A152"/>
      <c r="B152"/>
      <c r="C152"/>
      <c r="D152"/>
      <c r="E152"/>
      <c r="AP152"/>
      <c r="AQ152"/>
      <c r="AR152"/>
      <c r="AS152"/>
      <c r="AT152"/>
      <c r="AU152"/>
    </row>
    <row r="153" spans="1:47" ht="15" x14ac:dyDescent="0.25">
      <c r="A153"/>
      <c r="B153"/>
      <c r="C153"/>
      <c r="D153"/>
      <c r="E153"/>
      <c r="AP153"/>
      <c r="AQ153"/>
      <c r="AR153"/>
      <c r="AS153"/>
      <c r="AT153"/>
      <c r="AU153"/>
    </row>
    <row r="154" spans="1:47" ht="15" x14ac:dyDescent="0.25">
      <c r="A154"/>
      <c r="B154"/>
      <c r="C154"/>
      <c r="D154"/>
      <c r="E154"/>
      <c r="AP154"/>
      <c r="AQ154"/>
      <c r="AR154"/>
      <c r="AS154"/>
      <c r="AT154"/>
      <c r="AU154"/>
    </row>
    <row r="155" spans="1:47" ht="15" x14ac:dyDescent="0.25">
      <c r="A155"/>
      <c r="B155"/>
      <c r="C155"/>
      <c r="D155"/>
      <c r="E155"/>
      <c r="AP155"/>
      <c r="AQ155"/>
      <c r="AR155"/>
      <c r="AS155"/>
      <c r="AT155"/>
      <c r="AU155"/>
    </row>
    <row r="156" spans="1:47" ht="15" x14ac:dyDescent="0.25">
      <c r="A156"/>
      <c r="B156"/>
      <c r="C156"/>
      <c r="D156"/>
      <c r="E156"/>
      <c r="AP156"/>
      <c r="AQ156"/>
      <c r="AR156"/>
      <c r="AS156"/>
      <c r="AT156"/>
      <c r="AU156"/>
    </row>
    <row r="157" spans="1:47" ht="15" x14ac:dyDescent="0.25">
      <c r="A157"/>
      <c r="B157"/>
      <c r="C157"/>
      <c r="D157"/>
      <c r="E157"/>
      <c r="AP157"/>
      <c r="AQ157"/>
      <c r="AR157"/>
      <c r="AS157"/>
      <c r="AT157"/>
      <c r="AU157"/>
    </row>
    <row r="158" spans="1:47" ht="15" x14ac:dyDescent="0.25">
      <c r="A158"/>
      <c r="B158"/>
      <c r="C158"/>
      <c r="D158"/>
      <c r="E158"/>
      <c r="AP158"/>
      <c r="AQ158"/>
      <c r="AR158"/>
      <c r="AS158"/>
      <c r="AT158"/>
      <c r="AU158"/>
    </row>
    <row r="159" spans="1:47" ht="15" x14ac:dyDescent="0.25">
      <c r="A159"/>
      <c r="B159"/>
      <c r="C159"/>
      <c r="D159"/>
      <c r="E159"/>
      <c r="AP159"/>
      <c r="AQ159"/>
      <c r="AR159"/>
      <c r="AS159"/>
      <c r="AT159"/>
      <c r="AU159"/>
    </row>
    <row r="160" spans="1:47" ht="15" x14ac:dyDescent="0.25">
      <c r="A160"/>
      <c r="B160"/>
      <c r="C160"/>
      <c r="D160"/>
      <c r="E160"/>
      <c r="AP160"/>
      <c r="AQ160"/>
      <c r="AR160"/>
      <c r="AS160"/>
      <c r="AT160"/>
      <c r="AU160"/>
    </row>
    <row r="161" spans="1:47" ht="15" x14ac:dyDescent="0.25">
      <c r="A161"/>
      <c r="B161"/>
      <c r="C161"/>
      <c r="D161"/>
      <c r="E161"/>
      <c r="AP161"/>
      <c r="AQ161"/>
      <c r="AR161"/>
      <c r="AS161"/>
      <c r="AT161"/>
      <c r="AU161"/>
    </row>
    <row r="162" spans="1:47" ht="15" x14ac:dyDescent="0.25">
      <c r="A162"/>
      <c r="B162"/>
      <c r="C162"/>
      <c r="D162"/>
      <c r="E162"/>
      <c r="AP162"/>
      <c r="AQ162"/>
      <c r="AR162"/>
      <c r="AS162"/>
      <c r="AT162"/>
      <c r="AU162"/>
    </row>
    <row r="163" spans="1:47" ht="15" x14ac:dyDescent="0.25">
      <c r="A163"/>
      <c r="B163"/>
      <c r="C163"/>
      <c r="D163"/>
      <c r="E163"/>
      <c r="AP163"/>
      <c r="AQ163"/>
      <c r="AR163"/>
      <c r="AS163"/>
      <c r="AT163"/>
      <c r="AU163"/>
    </row>
    <row r="164" spans="1:47" ht="15" x14ac:dyDescent="0.25">
      <c r="A164"/>
      <c r="B164"/>
      <c r="C164"/>
      <c r="D164"/>
      <c r="E164"/>
      <c r="AP164"/>
      <c r="AQ164"/>
      <c r="AR164"/>
      <c r="AS164"/>
      <c r="AT164"/>
      <c r="AU164"/>
    </row>
    <row r="165" spans="1:47" ht="15" x14ac:dyDescent="0.25">
      <c r="A165"/>
      <c r="B165"/>
      <c r="C165"/>
      <c r="D165"/>
      <c r="E165"/>
      <c r="AP165"/>
      <c r="AQ165"/>
      <c r="AR165"/>
      <c r="AS165"/>
      <c r="AT165"/>
      <c r="AU165"/>
    </row>
    <row r="166" spans="1:47" ht="15" x14ac:dyDescent="0.25">
      <c r="A166"/>
      <c r="B166"/>
      <c r="C166"/>
      <c r="D166"/>
      <c r="E166"/>
      <c r="AP166"/>
      <c r="AQ166"/>
      <c r="AR166"/>
      <c r="AS166"/>
      <c r="AT166"/>
      <c r="AU166"/>
    </row>
    <row r="167" spans="1:47" ht="15" x14ac:dyDescent="0.25">
      <c r="A167"/>
      <c r="B167"/>
      <c r="C167"/>
      <c r="D167"/>
      <c r="E167"/>
      <c r="AP167"/>
      <c r="AQ167"/>
      <c r="AR167"/>
      <c r="AS167"/>
      <c r="AT167"/>
      <c r="AU167"/>
    </row>
    <row r="168" spans="1:47" ht="15" x14ac:dyDescent="0.25">
      <c r="A168"/>
      <c r="B168"/>
      <c r="C168"/>
      <c r="D168"/>
      <c r="E168"/>
      <c r="AP168"/>
      <c r="AQ168"/>
      <c r="AR168"/>
      <c r="AS168"/>
      <c r="AT168"/>
      <c r="AU168"/>
    </row>
    <row r="169" spans="1:47" ht="15" x14ac:dyDescent="0.25">
      <c r="A169"/>
      <c r="B169"/>
      <c r="C169"/>
      <c r="D169"/>
      <c r="E169"/>
      <c r="AP169"/>
      <c r="AQ169"/>
      <c r="AR169"/>
      <c r="AS169"/>
      <c r="AT169"/>
      <c r="AU169"/>
    </row>
    <row r="170" spans="1:47" ht="15" x14ac:dyDescent="0.25">
      <c r="A170"/>
      <c r="B170"/>
      <c r="C170"/>
      <c r="D170"/>
      <c r="E170"/>
      <c r="AP170"/>
      <c r="AQ170"/>
      <c r="AR170"/>
      <c r="AS170"/>
      <c r="AT170"/>
      <c r="AU170"/>
    </row>
    <row r="171" spans="1:47" ht="15" x14ac:dyDescent="0.25">
      <c r="A171"/>
      <c r="B171"/>
      <c r="C171"/>
      <c r="D171"/>
      <c r="E171"/>
      <c r="AP171"/>
      <c r="AQ171"/>
      <c r="AR171"/>
      <c r="AS171"/>
      <c r="AT171"/>
      <c r="AU171"/>
    </row>
    <row r="172" spans="1:47" ht="15" x14ac:dyDescent="0.25">
      <c r="A172"/>
      <c r="B172"/>
      <c r="C172"/>
      <c r="D172"/>
      <c r="E172"/>
      <c r="AP172"/>
      <c r="AQ172"/>
      <c r="AR172"/>
      <c r="AS172"/>
      <c r="AT172"/>
      <c r="AU172"/>
    </row>
    <row r="173" spans="1:47" ht="15" x14ac:dyDescent="0.25">
      <c r="A173"/>
      <c r="B173"/>
      <c r="C173"/>
      <c r="D173"/>
      <c r="E173"/>
      <c r="AP173"/>
      <c r="AQ173"/>
      <c r="AR173"/>
      <c r="AS173"/>
      <c r="AT173"/>
      <c r="AU173"/>
    </row>
    <row r="174" spans="1:47" ht="15" x14ac:dyDescent="0.25">
      <c r="A174"/>
      <c r="B174"/>
      <c r="C174"/>
      <c r="D174"/>
      <c r="E174"/>
      <c r="AP174"/>
      <c r="AQ174"/>
      <c r="AR174"/>
      <c r="AS174"/>
      <c r="AT174"/>
      <c r="AU174"/>
    </row>
    <row r="175" spans="1:47" ht="15" x14ac:dyDescent="0.25">
      <c r="A175"/>
      <c r="B175"/>
      <c r="C175"/>
      <c r="D175"/>
      <c r="E175"/>
      <c r="AP175"/>
      <c r="AQ175"/>
      <c r="AR175"/>
      <c r="AS175"/>
      <c r="AT175"/>
      <c r="AU175"/>
    </row>
    <row r="176" spans="1:47" ht="15" x14ac:dyDescent="0.25">
      <c r="A176"/>
      <c r="B176"/>
      <c r="C176"/>
      <c r="D176"/>
      <c r="E176"/>
      <c r="AP176"/>
      <c r="AQ176"/>
      <c r="AR176"/>
      <c r="AS176"/>
      <c r="AT176"/>
      <c r="AU176"/>
    </row>
    <row r="177" spans="1:47" ht="15" x14ac:dyDescent="0.25">
      <c r="A177"/>
      <c r="B177"/>
      <c r="C177"/>
      <c r="D177"/>
      <c r="E177"/>
      <c r="AP177"/>
      <c r="AQ177"/>
      <c r="AR177"/>
      <c r="AS177"/>
      <c r="AT177"/>
      <c r="AU177"/>
    </row>
    <row r="178" spans="1:47" ht="15" x14ac:dyDescent="0.25">
      <c r="A178"/>
      <c r="B178"/>
      <c r="C178"/>
      <c r="D178"/>
      <c r="E178"/>
      <c r="AP178"/>
      <c r="AQ178"/>
      <c r="AR178"/>
      <c r="AS178"/>
      <c r="AT178"/>
      <c r="AU178"/>
    </row>
    <row r="179" spans="1:47" ht="15" x14ac:dyDescent="0.25">
      <c r="A179"/>
      <c r="B179"/>
      <c r="C179"/>
      <c r="D179"/>
      <c r="E179"/>
      <c r="AP179"/>
      <c r="AQ179"/>
      <c r="AR179"/>
      <c r="AS179"/>
      <c r="AT179"/>
      <c r="AU179"/>
    </row>
    <row r="180" spans="1:47" ht="15" x14ac:dyDescent="0.25">
      <c r="A180"/>
      <c r="B180"/>
      <c r="C180"/>
      <c r="D180"/>
      <c r="E180"/>
      <c r="AP180"/>
      <c r="AQ180"/>
      <c r="AR180"/>
      <c r="AS180"/>
      <c r="AT180"/>
      <c r="AU180"/>
    </row>
    <row r="181" spans="1:47" ht="15" x14ac:dyDescent="0.25">
      <c r="A181"/>
      <c r="B181"/>
      <c r="C181"/>
      <c r="D181"/>
      <c r="E181"/>
      <c r="AP181"/>
      <c r="AQ181"/>
      <c r="AR181"/>
      <c r="AS181"/>
      <c r="AT181"/>
      <c r="AU181"/>
    </row>
    <row r="182" spans="1:47" ht="15" x14ac:dyDescent="0.25">
      <c r="A182"/>
      <c r="B182"/>
      <c r="C182"/>
      <c r="D182"/>
      <c r="E182"/>
      <c r="AP182"/>
      <c r="AQ182"/>
      <c r="AR182"/>
      <c r="AS182"/>
      <c r="AT182"/>
      <c r="AU182"/>
    </row>
    <row r="183" spans="1:47" ht="15" x14ac:dyDescent="0.25">
      <c r="A183"/>
      <c r="B183"/>
      <c r="C183"/>
      <c r="D183"/>
      <c r="E183"/>
      <c r="AP183"/>
      <c r="AQ183"/>
      <c r="AR183"/>
      <c r="AS183"/>
      <c r="AT183"/>
      <c r="AU183"/>
    </row>
    <row r="184" spans="1:47" ht="15" x14ac:dyDescent="0.25">
      <c r="A184"/>
      <c r="B184"/>
      <c r="C184"/>
      <c r="D184"/>
      <c r="E184"/>
      <c r="AP184"/>
      <c r="AQ184"/>
      <c r="AR184"/>
      <c r="AS184"/>
      <c r="AT184"/>
      <c r="AU184"/>
    </row>
    <row r="185" spans="1:47" ht="15" x14ac:dyDescent="0.25">
      <c r="A185"/>
      <c r="B185"/>
      <c r="C185"/>
      <c r="D185"/>
      <c r="E185"/>
      <c r="AP185"/>
      <c r="AQ185"/>
      <c r="AR185"/>
      <c r="AS185"/>
      <c r="AT185"/>
      <c r="AU185"/>
    </row>
    <row r="186" spans="1:47" ht="15" x14ac:dyDescent="0.25">
      <c r="A186"/>
      <c r="B186"/>
      <c r="C186"/>
      <c r="D186"/>
      <c r="E186"/>
      <c r="AP186"/>
      <c r="AQ186"/>
      <c r="AR186"/>
      <c r="AS186"/>
      <c r="AT186"/>
      <c r="AU186"/>
    </row>
    <row r="187" spans="1:47" ht="15" x14ac:dyDescent="0.25">
      <c r="A187"/>
      <c r="B187"/>
      <c r="C187"/>
      <c r="D187"/>
      <c r="E187"/>
      <c r="AP187"/>
      <c r="AQ187"/>
      <c r="AR187"/>
      <c r="AS187"/>
      <c r="AT187"/>
      <c r="AU187"/>
    </row>
    <row r="188" spans="1:47" ht="15" x14ac:dyDescent="0.25">
      <c r="A188"/>
      <c r="B188"/>
      <c r="C188"/>
      <c r="D188"/>
      <c r="E188"/>
      <c r="AP188"/>
      <c r="AQ188"/>
      <c r="AR188"/>
      <c r="AS188"/>
      <c r="AT188"/>
      <c r="AU188"/>
    </row>
    <row r="189" spans="1:47" ht="15" x14ac:dyDescent="0.25">
      <c r="A189"/>
      <c r="B189"/>
      <c r="C189"/>
      <c r="D189"/>
      <c r="E189"/>
      <c r="AP189"/>
      <c r="AQ189"/>
      <c r="AR189"/>
      <c r="AS189"/>
      <c r="AT189"/>
      <c r="AU189"/>
    </row>
    <row r="190" spans="1:47" ht="15" x14ac:dyDescent="0.25">
      <c r="A190"/>
      <c r="B190"/>
      <c r="C190"/>
      <c r="D190"/>
      <c r="E190"/>
      <c r="AP190"/>
      <c r="AQ190"/>
      <c r="AR190"/>
      <c r="AS190"/>
      <c r="AT190"/>
      <c r="AU190"/>
    </row>
    <row r="191" spans="1:47" ht="15" x14ac:dyDescent="0.25">
      <c r="A191"/>
      <c r="B191"/>
      <c r="C191"/>
      <c r="D191"/>
      <c r="E191"/>
      <c r="AP191"/>
      <c r="AQ191"/>
      <c r="AR191"/>
      <c r="AS191"/>
      <c r="AT191"/>
      <c r="AU191"/>
    </row>
    <row r="192" spans="1:47" ht="15" x14ac:dyDescent="0.25">
      <c r="A192"/>
      <c r="B192"/>
      <c r="C192"/>
      <c r="D192"/>
      <c r="E192"/>
      <c r="AP192"/>
      <c r="AQ192"/>
      <c r="AR192"/>
      <c r="AS192"/>
      <c r="AT192"/>
      <c r="AU192"/>
    </row>
    <row r="193" spans="1:47" ht="15" x14ac:dyDescent="0.25">
      <c r="A193"/>
      <c r="B193"/>
      <c r="C193"/>
      <c r="D193"/>
      <c r="E193"/>
      <c r="AP193"/>
      <c r="AQ193"/>
      <c r="AR193"/>
      <c r="AS193"/>
      <c r="AT193"/>
      <c r="AU193"/>
    </row>
    <row r="194" spans="1:47" ht="15" x14ac:dyDescent="0.25">
      <c r="A194"/>
      <c r="B194"/>
      <c r="C194"/>
      <c r="D194"/>
      <c r="E194"/>
      <c r="AP194"/>
      <c r="AQ194"/>
      <c r="AR194"/>
      <c r="AS194"/>
      <c r="AT194"/>
      <c r="AU194"/>
    </row>
    <row r="195" spans="1:47" ht="15" x14ac:dyDescent="0.25">
      <c r="A195"/>
      <c r="B195"/>
      <c r="C195"/>
      <c r="D195"/>
      <c r="E195"/>
      <c r="AP195"/>
      <c r="AQ195"/>
      <c r="AR195"/>
      <c r="AS195"/>
      <c r="AT195"/>
      <c r="AU195"/>
    </row>
    <row r="196" spans="1:47" ht="15" x14ac:dyDescent="0.25">
      <c r="A196"/>
      <c r="B196"/>
      <c r="C196"/>
      <c r="D196"/>
      <c r="E196"/>
      <c r="AP196"/>
      <c r="AQ196"/>
      <c r="AR196"/>
      <c r="AS196"/>
      <c r="AT196"/>
      <c r="AU196"/>
    </row>
    <row r="197" spans="1:47" ht="15" x14ac:dyDescent="0.25">
      <c r="A197"/>
      <c r="B197"/>
      <c r="C197"/>
      <c r="D197"/>
      <c r="E197"/>
      <c r="AP197"/>
      <c r="AQ197"/>
      <c r="AR197"/>
      <c r="AS197"/>
      <c r="AT197"/>
      <c r="AU197"/>
    </row>
    <row r="198" spans="1:47" ht="15" x14ac:dyDescent="0.25">
      <c r="A198"/>
      <c r="B198"/>
      <c r="C198"/>
      <c r="D198"/>
      <c r="E198"/>
      <c r="AP198"/>
      <c r="AQ198"/>
      <c r="AR198"/>
      <c r="AS198"/>
      <c r="AT198"/>
      <c r="AU198"/>
    </row>
    <row r="199" spans="1:47" ht="15" x14ac:dyDescent="0.25">
      <c r="A199"/>
      <c r="B199"/>
      <c r="C199"/>
      <c r="D199"/>
      <c r="E199"/>
      <c r="AP199"/>
      <c r="AQ199"/>
      <c r="AR199"/>
      <c r="AS199"/>
      <c r="AT199"/>
      <c r="AU199"/>
    </row>
    <row r="200" spans="1:47" ht="15" x14ac:dyDescent="0.25">
      <c r="A200"/>
      <c r="B200"/>
      <c r="C200"/>
      <c r="D200"/>
      <c r="E200"/>
      <c r="AP200"/>
      <c r="AQ200"/>
      <c r="AR200"/>
      <c r="AS200"/>
      <c r="AT200"/>
      <c r="AU200"/>
    </row>
    <row r="201" spans="1:47" ht="15" x14ac:dyDescent="0.25">
      <c r="A201"/>
      <c r="B201"/>
      <c r="C201"/>
      <c r="D201"/>
      <c r="E201"/>
      <c r="AP201"/>
      <c r="AQ201"/>
      <c r="AR201"/>
      <c r="AS201"/>
      <c r="AT201"/>
      <c r="AU201"/>
    </row>
    <row r="202" spans="1:47" ht="15" x14ac:dyDescent="0.25">
      <c r="A202"/>
      <c r="B202"/>
      <c r="C202"/>
      <c r="D202"/>
      <c r="E202"/>
      <c r="AP202"/>
      <c r="AQ202"/>
      <c r="AR202"/>
      <c r="AS202"/>
      <c r="AT202"/>
      <c r="AU202"/>
    </row>
    <row r="203" spans="1:47" ht="15" x14ac:dyDescent="0.25">
      <c r="A203"/>
      <c r="B203"/>
      <c r="C203"/>
      <c r="D203"/>
      <c r="E203"/>
      <c r="AP203"/>
      <c r="AQ203"/>
      <c r="AR203"/>
      <c r="AS203"/>
      <c r="AT203"/>
      <c r="AU203"/>
    </row>
    <row r="204" spans="1:47" ht="15" x14ac:dyDescent="0.25">
      <c r="A204"/>
      <c r="B204"/>
      <c r="C204"/>
      <c r="D204"/>
      <c r="E204"/>
      <c r="AP204"/>
      <c r="AQ204"/>
      <c r="AR204"/>
      <c r="AS204"/>
      <c r="AT204"/>
      <c r="AU204"/>
    </row>
    <row r="205" spans="1:47" ht="15" x14ac:dyDescent="0.25">
      <c r="A205"/>
      <c r="B205"/>
      <c r="C205"/>
      <c r="D205"/>
      <c r="E205"/>
      <c r="AP205"/>
      <c r="AQ205"/>
      <c r="AR205"/>
      <c r="AS205"/>
      <c r="AT205"/>
      <c r="AU205"/>
    </row>
    <row r="206" spans="1:47" ht="15" x14ac:dyDescent="0.25">
      <c r="A206"/>
      <c r="B206"/>
      <c r="C206"/>
      <c r="D206"/>
      <c r="E206"/>
      <c r="AP206"/>
      <c r="AQ206"/>
      <c r="AR206"/>
      <c r="AS206"/>
      <c r="AT206"/>
      <c r="AU206"/>
    </row>
    <row r="207" spans="1:47" ht="15" x14ac:dyDescent="0.25">
      <c r="A207"/>
      <c r="B207"/>
      <c r="C207"/>
      <c r="D207"/>
      <c r="E207"/>
      <c r="AP207"/>
      <c r="AQ207"/>
      <c r="AR207"/>
      <c r="AS207"/>
      <c r="AT207"/>
      <c r="AU207"/>
    </row>
    <row r="208" spans="1:47" ht="15" x14ac:dyDescent="0.25">
      <c r="A208"/>
      <c r="B208"/>
      <c r="C208"/>
      <c r="D208"/>
      <c r="E208"/>
      <c r="AP208"/>
      <c r="AQ208"/>
      <c r="AR208"/>
      <c r="AS208"/>
      <c r="AT208"/>
      <c r="AU208"/>
    </row>
    <row r="209" spans="1:47" ht="15" x14ac:dyDescent="0.25">
      <c r="A209"/>
      <c r="B209"/>
      <c r="C209"/>
      <c r="D209"/>
      <c r="E209"/>
      <c r="AP209"/>
      <c r="AQ209"/>
      <c r="AR209"/>
      <c r="AS209"/>
      <c r="AT209"/>
      <c r="AU209"/>
    </row>
    <row r="210" spans="1:47" ht="15" x14ac:dyDescent="0.25">
      <c r="A210"/>
      <c r="B210"/>
      <c r="C210"/>
      <c r="D210"/>
      <c r="E210"/>
      <c r="AP210"/>
      <c r="AQ210"/>
      <c r="AR210"/>
      <c r="AS210"/>
      <c r="AT210"/>
      <c r="AU210"/>
    </row>
    <row r="211" spans="1:47" ht="15" x14ac:dyDescent="0.25">
      <c r="A211"/>
      <c r="B211"/>
      <c r="C211"/>
      <c r="D211"/>
      <c r="E211"/>
      <c r="AP211"/>
      <c r="AQ211"/>
      <c r="AR211"/>
      <c r="AS211"/>
      <c r="AT211"/>
      <c r="AU211"/>
    </row>
    <row r="212" spans="1:47" ht="15" x14ac:dyDescent="0.25">
      <c r="A212"/>
      <c r="B212"/>
      <c r="C212"/>
      <c r="D212"/>
      <c r="E212"/>
      <c r="AP212"/>
      <c r="AQ212"/>
      <c r="AR212"/>
      <c r="AS212"/>
      <c r="AT212"/>
      <c r="AU212"/>
    </row>
    <row r="213" spans="1:47" ht="15" x14ac:dyDescent="0.25">
      <c r="A213"/>
      <c r="B213"/>
      <c r="C213"/>
      <c r="D213"/>
      <c r="E213"/>
      <c r="AP213"/>
      <c r="AQ213"/>
      <c r="AR213"/>
      <c r="AS213"/>
      <c r="AT213"/>
      <c r="AU213"/>
    </row>
    <row r="214" spans="1:47" ht="15" x14ac:dyDescent="0.25">
      <c r="A214"/>
      <c r="B214"/>
      <c r="C214"/>
      <c r="D214"/>
      <c r="E214"/>
      <c r="AP214"/>
      <c r="AQ214"/>
      <c r="AR214"/>
      <c r="AS214"/>
      <c r="AT214"/>
      <c r="AU214"/>
    </row>
    <row r="215" spans="1:47" ht="15" x14ac:dyDescent="0.25">
      <c r="A215"/>
      <c r="B215"/>
      <c r="C215"/>
      <c r="D215"/>
      <c r="E215"/>
      <c r="AP215"/>
      <c r="AQ215"/>
      <c r="AR215"/>
      <c r="AS215"/>
      <c r="AT215"/>
      <c r="AU215"/>
    </row>
    <row r="216" spans="1:47" ht="15" x14ac:dyDescent="0.25">
      <c r="A216"/>
      <c r="B216"/>
      <c r="C216"/>
      <c r="D216"/>
      <c r="E216"/>
      <c r="AP216"/>
      <c r="AQ216"/>
      <c r="AR216"/>
      <c r="AS216"/>
      <c r="AT216"/>
      <c r="AU216"/>
    </row>
    <row r="217" spans="1:47" ht="15" x14ac:dyDescent="0.25">
      <c r="A217"/>
      <c r="B217"/>
      <c r="C217"/>
      <c r="D217"/>
      <c r="E217"/>
      <c r="AP217"/>
      <c r="AQ217"/>
      <c r="AR217"/>
      <c r="AS217"/>
      <c r="AT217"/>
      <c r="AU217"/>
    </row>
    <row r="218" spans="1:47" ht="15" x14ac:dyDescent="0.25">
      <c r="A218"/>
      <c r="B218"/>
      <c r="C218"/>
      <c r="D218"/>
      <c r="E218"/>
      <c r="AP218"/>
      <c r="AQ218"/>
      <c r="AR218"/>
      <c r="AS218"/>
      <c r="AT218"/>
      <c r="AU218"/>
    </row>
    <row r="219" spans="1:47" ht="15" x14ac:dyDescent="0.25">
      <c r="A219"/>
      <c r="B219"/>
      <c r="C219"/>
      <c r="D219"/>
      <c r="E219"/>
      <c r="AP219"/>
      <c r="AQ219"/>
      <c r="AR219"/>
      <c r="AS219"/>
      <c r="AT219"/>
      <c r="AU219"/>
    </row>
    <row r="220" spans="1:47" ht="15" x14ac:dyDescent="0.25">
      <c r="A220"/>
      <c r="B220"/>
      <c r="C220"/>
      <c r="D220"/>
      <c r="E220"/>
      <c r="AP220"/>
      <c r="AQ220"/>
      <c r="AR220"/>
      <c r="AS220"/>
      <c r="AT220"/>
      <c r="AU220"/>
    </row>
    <row r="221" spans="1:47" ht="15" x14ac:dyDescent="0.25">
      <c r="A221"/>
      <c r="B221"/>
      <c r="C221"/>
      <c r="D221"/>
      <c r="E221"/>
      <c r="AP221"/>
      <c r="AQ221"/>
      <c r="AR221"/>
      <c r="AS221"/>
      <c r="AT221"/>
      <c r="AU221"/>
    </row>
    <row r="222" spans="1:47" ht="15" x14ac:dyDescent="0.25">
      <c r="A222"/>
      <c r="B222"/>
      <c r="C222"/>
      <c r="D222"/>
      <c r="E222"/>
      <c r="AP222"/>
      <c r="AQ222"/>
      <c r="AR222"/>
      <c r="AS222"/>
      <c r="AT222"/>
      <c r="AU222"/>
    </row>
    <row r="223" spans="1:47" ht="15" x14ac:dyDescent="0.25">
      <c r="A223"/>
      <c r="B223"/>
      <c r="C223"/>
      <c r="D223"/>
      <c r="E223"/>
      <c r="AP223"/>
      <c r="AQ223"/>
      <c r="AR223"/>
      <c r="AS223"/>
      <c r="AT223"/>
      <c r="AU223"/>
    </row>
    <row r="224" spans="1:47" ht="15" x14ac:dyDescent="0.25">
      <c r="A224"/>
      <c r="B224"/>
      <c r="C224"/>
      <c r="D224"/>
      <c r="E224"/>
      <c r="AP224"/>
      <c r="AQ224"/>
      <c r="AR224"/>
      <c r="AS224"/>
      <c r="AT224"/>
      <c r="AU224"/>
    </row>
    <row r="225" spans="1:47" ht="15" x14ac:dyDescent="0.25">
      <c r="A225"/>
      <c r="B225"/>
      <c r="C225"/>
      <c r="D225"/>
      <c r="E225"/>
      <c r="AP225"/>
      <c r="AQ225"/>
      <c r="AR225"/>
      <c r="AS225"/>
      <c r="AT225"/>
      <c r="AU225"/>
    </row>
    <row r="226" spans="1:47" ht="15" x14ac:dyDescent="0.25">
      <c r="A226"/>
      <c r="B226"/>
      <c r="C226"/>
      <c r="D226"/>
      <c r="E226"/>
      <c r="AP226"/>
      <c r="AQ226"/>
      <c r="AR226"/>
      <c r="AS226"/>
      <c r="AT226"/>
      <c r="AU226"/>
    </row>
    <row r="227" spans="1:47" ht="15" x14ac:dyDescent="0.25">
      <c r="A227"/>
      <c r="B227"/>
      <c r="C227"/>
      <c r="D227"/>
      <c r="E227"/>
      <c r="AP227"/>
      <c r="AQ227"/>
      <c r="AR227"/>
      <c r="AS227"/>
      <c r="AT227"/>
      <c r="AU227"/>
    </row>
    <row r="228" spans="1:47" ht="15" x14ac:dyDescent="0.25">
      <c r="A228"/>
      <c r="B228"/>
      <c r="C228"/>
      <c r="D228"/>
      <c r="E228"/>
      <c r="AP228"/>
      <c r="AQ228"/>
      <c r="AR228"/>
      <c r="AS228"/>
      <c r="AT228"/>
      <c r="AU228"/>
    </row>
    <row r="229" spans="1:47" ht="15" x14ac:dyDescent="0.25">
      <c r="A229"/>
      <c r="B229"/>
      <c r="C229"/>
      <c r="D229"/>
      <c r="E229"/>
      <c r="AP229"/>
      <c r="AQ229"/>
      <c r="AR229"/>
      <c r="AS229"/>
      <c r="AT229"/>
      <c r="AU229"/>
    </row>
    <row r="230" spans="1:47" ht="15" x14ac:dyDescent="0.25">
      <c r="A230"/>
      <c r="B230"/>
      <c r="C230"/>
      <c r="D230"/>
      <c r="E230"/>
      <c r="AP230"/>
      <c r="AQ230"/>
      <c r="AR230"/>
      <c r="AS230"/>
      <c r="AT230"/>
      <c r="AU230"/>
    </row>
    <row r="231" spans="1:47" ht="15" x14ac:dyDescent="0.25">
      <c r="A231"/>
      <c r="B231"/>
      <c r="C231"/>
      <c r="D231"/>
      <c r="E231"/>
      <c r="AP231"/>
      <c r="AQ231"/>
      <c r="AR231"/>
      <c r="AS231"/>
      <c r="AT231"/>
      <c r="AU231"/>
    </row>
    <row r="232" spans="1:47" ht="15" x14ac:dyDescent="0.25">
      <c r="A232"/>
      <c r="B232"/>
      <c r="C232"/>
      <c r="D232"/>
      <c r="E232"/>
      <c r="AP232"/>
      <c r="AQ232"/>
      <c r="AR232"/>
      <c r="AS232"/>
      <c r="AT232"/>
      <c r="AU232"/>
    </row>
    <row r="233" spans="1:47" ht="15" x14ac:dyDescent="0.25">
      <c r="A233"/>
      <c r="B233"/>
      <c r="C233"/>
      <c r="D233"/>
      <c r="E233"/>
      <c r="AP233"/>
      <c r="AQ233"/>
      <c r="AR233"/>
      <c r="AS233"/>
      <c r="AT233"/>
      <c r="AU233"/>
    </row>
    <row r="234" spans="1:47" ht="15" x14ac:dyDescent="0.25">
      <c r="A234"/>
      <c r="B234"/>
      <c r="C234"/>
      <c r="D234"/>
      <c r="E234"/>
      <c r="AP234"/>
      <c r="AQ234"/>
      <c r="AR234"/>
      <c r="AS234"/>
      <c r="AT234"/>
      <c r="AU234"/>
    </row>
    <row r="235" spans="1:47" ht="15" x14ac:dyDescent="0.25">
      <c r="A235"/>
      <c r="B235"/>
      <c r="C235"/>
      <c r="D235"/>
      <c r="E235"/>
      <c r="AP235"/>
      <c r="AQ235"/>
      <c r="AR235"/>
      <c r="AS235"/>
      <c r="AT235"/>
      <c r="AU235"/>
    </row>
    <row r="236" spans="1:47" ht="15" x14ac:dyDescent="0.25">
      <c r="A236"/>
      <c r="B236"/>
      <c r="C236"/>
      <c r="D236"/>
      <c r="E236"/>
      <c r="AP236"/>
      <c r="AQ236"/>
      <c r="AR236"/>
      <c r="AS236"/>
      <c r="AT236"/>
      <c r="AU236"/>
    </row>
    <row r="237" spans="1:47" ht="15" x14ac:dyDescent="0.25">
      <c r="A237"/>
      <c r="B237"/>
      <c r="C237"/>
      <c r="D237"/>
      <c r="E237"/>
      <c r="AP237"/>
      <c r="AQ237"/>
      <c r="AR237"/>
      <c r="AS237"/>
      <c r="AT237"/>
      <c r="AU237"/>
    </row>
    <row r="238" spans="1:47" ht="15" x14ac:dyDescent="0.25">
      <c r="A238"/>
      <c r="B238"/>
      <c r="C238"/>
      <c r="D238"/>
      <c r="E238"/>
      <c r="AP238"/>
      <c r="AQ238"/>
      <c r="AR238"/>
      <c r="AS238"/>
      <c r="AT238"/>
      <c r="AU238"/>
    </row>
    <row r="239" spans="1:47" ht="15" x14ac:dyDescent="0.25">
      <c r="A239"/>
      <c r="B239"/>
      <c r="C239"/>
      <c r="D239"/>
      <c r="E239"/>
      <c r="AP239"/>
      <c r="AQ239"/>
      <c r="AR239"/>
      <c r="AS239"/>
      <c r="AT239"/>
      <c r="AU239"/>
    </row>
    <row r="240" spans="1:47" ht="15" x14ac:dyDescent="0.25">
      <c r="A240"/>
      <c r="B240"/>
      <c r="C240"/>
      <c r="D240"/>
      <c r="E240"/>
      <c r="AP240"/>
      <c r="AQ240"/>
      <c r="AR240"/>
      <c r="AS240"/>
      <c r="AT240"/>
      <c r="AU240"/>
    </row>
    <row r="241" spans="1:47" ht="15" x14ac:dyDescent="0.25">
      <c r="A241"/>
      <c r="B241"/>
      <c r="C241"/>
      <c r="D241"/>
      <c r="E241"/>
      <c r="AP241"/>
      <c r="AQ241"/>
      <c r="AR241"/>
      <c r="AS241"/>
      <c r="AT241"/>
      <c r="AU241"/>
    </row>
    <row r="242" spans="1:47" ht="15" x14ac:dyDescent="0.25">
      <c r="A242"/>
      <c r="B242"/>
      <c r="C242"/>
      <c r="D242"/>
      <c r="E242"/>
      <c r="AP242"/>
      <c r="AQ242"/>
      <c r="AR242"/>
      <c r="AS242"/>
      <c r="AT242"/>
      <c r="AU242"/>
    </row>
    <row r="243" spans="1:47" ht="15" x14ac:dyDescent="0.25">
      <c r="A243"/>
      <c r="B243"/>
      <c r="C243"/>
      <c r="D243"/>
      <c r="E243"/>
      <c r="AP243"/>
      <c r="AQ243"/>
      <c r="AR243"/>
      <c r="AS243"/>
      <c r="AT243"/>
      <c r="AU243"/>
    </row>
    <row r="244" spans="1:47" ht="15" x14ac:dyDescent="0.25">
      <c r="A244"/>
      <c r="B244"/>
      <c r="C244"/>
      <c r="D244"/>
      <c r="E244"/>
      <c r="AP244"/>
      <c r="AQ244"/>
      <c r="AR244"/>
      <c r="AS244"/>
      <c r="AT244"/>
      <c r="AU244"/>
    </row>
    <row r="245" spans="1:47" ht="15" x14ac:dyDescent="0.25">
      <c r="A245"/>
      <c r="B245"/>
      <c r="C245"/>
      <c r="D245"/>
      <c r="E245"/>
      <c r="AP245"/>
      <c r="AQ245"/>
      <c r="AR245"/>
      <c r="AS245"/>
      <c r="AT245"/>
      <c r="AU245"/>
    </row>
    <row r="246" spans="1:47" ht="15" x14ac:dyDescent="0.25">
      <c r="A246"/>
      <c r="B246"/>
      <c r="C246"/>
      <c r="D246"/>
      <c r="E246"/>
      <c r="AP246"/>
      <c r="AQ246"/>
      <c r="AR246"/>
      <c r="AS246"/>
      <c r="AT246"/>
      <c r="AU246"/>
    </row>
    <row r="247" spans="1:47" ht="15" x14ac:dyDescent="0.25">
      <c r="A247"/>
      <c r="B247"/>
      <c r="C247"/>
      <c r="D247"/>
      <c r="E247"/>
      <c r="AP247"/>
      <c r="AQ247"/>
      <c r="AR247"/>
      <c r="AS247"/>
      <c r="AT247"/>
      <c r="AU247"/>
    </row>
    <row r="248" spans="1:47" ht="15" x14ac:dyDescent="0.25">
      <c r="A248"/>
      <c r="B248"/>
      <c r="C248"/>
      <c r="D248"/>
      <c r="E248"/>
      <c r="AP248"/>
      <c r="AQ248"/>
      <c r="AR248"/>
      <c r="AS248"/>
      <c r="AT248"/>
      <c r="AU248"/>
    </row>
    <row r="249" spans="1:47" ht="15" x14ac:dyDescent="0.25">
      <c r="A249"/>
      <c r="B249"/>
      <c r="C249"/>
      <c r="D249"/>
      <c r="E249"/>
      <c r="AP249"/>
      <c r="AQ249"/>
      <c r="AR249"/>
      <c r="AS249"/>
      <c r="AT249"/>
      <c r="AU249"/>
    </row>
    <row r="250" spans="1:47" ht="15" x14ac:dyDescent="0.25">
      <c r="A250"/>
      <c r="B250"/>
      <c r="C250"/>
      <c r="D250"/>
      <c r="E250"/>
      <c r="AP250"/>
      <c r="AQ250"/>
      <c r="AR250"/>
      <c r="AS250"/>
      <c r="AT250"/>
      <c r="AU250"/>
    </row>
    <row r="251" spans="1:47" ht="15" x14ac:dyDescent="0.25">
      <c r="A251"/>
      <c r="B251"/>
      <c r="C251"/>
      <c r="D251"/>
      <c r="E251"/>
      <c r="AP251"/>
      <c r="AQ251"/>
      <c r="AR251"/>
      <c r="AS251"/>
      <c r="AT251"/>
      <c r="AU251"/>
    </row>
    <row r="252" spans="1:47" ht="15" x14ac:dyDescent="0.25">
      <c r="A252"/>
      <c r="B252"/>
      <c r="C252"/>
      <c r="D252"/>
      <c r="E252"/>
      <c r="AP252"/>
      <c r="AQ252"/>
      <c r="AR252"/>
      <c r="AS252"/>
      <c r="AT252"/>
      <c r="AU252"/>
    </row>
    <row r="253" spans="1:47" ht="15" x14ac:dyDescent="0.25">
      <c r="A253"/>
      <c r="B253"/>
      <c r="C253"/>
      <c r="D253"/>
      <c r="E253"/>
      <c r="AP253"/>
      <c r="AQ253"/>
      <c r="AR253"/>
      <c r="AS253"/>
      <c r="AT253"/>
      <c r="AU253"/>
    </row>
    <row r="254" spans="1:47" ht="15" x14ac:dyDescent="0.25">
      <c r="A254"/>
      <c r="B254"/>
      <c r="C254"/>
      <c r="D254"/>
      <c r="E254"/>
      <c r="AP254"/>
      <c r="AQ254"/>
      <c r="AR254"/>
      <c r="AS254"/>
      <c r="AT254"/>
      <c r="AU254"/>
    </row>
    <row r="255" spans="1:47" ht="15" x14ac:dyDescent="0.25">
      <c r="A255"/>
      <c r="B255"/>
      <c r="C255"/>
      <c r="D255"/>
      <c r="E255"/>
      <c r="AP255"/>
      <c r="AQ255"/>
      <c r="AR255"/>
      <c r="AS255"/>
      <c r="AT255"/>
      <c r="AU255"/>
    </row>
    <row r="256" spans="1:47" ht="15" x14ac:dyDescent="0.25">
      <c r="A256"/>
      <c r="B256"/>
      <c r="C256"/>
      <c r="D256"/>
      <c r="E256"/>
      <c r="AP256"/>
      <c r="AQ256"/>
      <c r="AR256"/>
      <c r="AS256"/>
      <c r="AT256"/>
      <c r="AU256"/>
    </row>
    <row r="257" spans="1:47" ht="15" x14ac:dyDescent="0.25">
      <c r="A257"/>
      <c r="B257"/>
      <c r="C257"/>
      <c r="D257"/>
      <c r="E257"/>
      <c r="AP257"/>
      <c r="AQ257"/>
      <c r="AR257"/>
      <c r="AS257"/>
      <c r="AT257"/>
      <c r="AU257"/>
    </row>
    <row r="258" spans="1:47" ht="15" x14ac:dyDescent="0.25">
      <c r="A258"/>
      <c r="B258"/>
      <c r="C258"/>
      <c r="D258"/>
      <c r="E258"/>
      <c r="AP258"/>
      <c r="AQ258"/>
      <c r="AR258"/>
      <c r="AS258"/>
      <c r="AT258"/>
      <c r="AU258"/>
    </row>
    <row r="259" spans="1:47" ht="15" x14ac:dyDescent="0.25">
      <c r="A259"/>
      <c r="B259"/>
      <c r="C259"/>
      <c r="D259"/>
      <c r="E259"/>
      <c r="AP259"/>
      <c r="AQ259"/>
      <c r="AR259"/>
      <c r="AS259"/>
      <c r="AT259"/>
      <c r="AU259"/>
    </row>
    <row r="260" spans="1:47" ht="15" x14ac:dyDescent="0.25">
      <c r="A260"/>
      <c r="B260"/>
      <c r="C260"/>
      <c r="D260"/>
      <c r="E260"/>
      <c r="AP260"/>
      <c r="AQ260"/>
      <c r="AR260"/>
      <c r="AS260"/>
      <c r="AT260"/>
      <c r="AU260"/>
    </row>
    <row r="261" spans="1:47" ht="15" x14ac:dyDescent="0.25">
      <c r="A261"/>
      <c r="B261"/>
      <c r="C261"/>
      <c r="D261"/>
      <c r="E261"/>
      <c r="AP261"/>
      <c r="AQ261"/>
      <c r="AR261"/>
      <c r="AS261"/>
      <c r="AT261"/>
      <c r="AU261"/>
    </row>
    <row r="262" spans="1:47" ht="15" x14ac:dyDescent="0.25">
      <c r="A262"/>
      <c r="B262"/>
      <c r="C262"/>
      <c r="D262"/>
      <c r="E262"/>
      <c r="AP262"/>
      <c r="AQ262"/>
      <c r="AR262"/>
      <c r="AS262"/>
      <c r="AT262"/>
      <c r="AU262"/>
    </row>
    <row r="263" spans="1:47" ht="15" x14ac:dyDescent="0.25">
      <c r="A263"/>
      <c r="B263"/>
      <c r="C263"/>
      <c r="D263"/>
      <c r="E263"/>
      <c r="AP263"/>
      <c r="AQ263"/>
      <c r="AR263"/>
      <c r="AS263"/>
      <c r="AT263"/>
      <c r="AU263"/>
    </row>
    <row r="264" spans="1:47" ht="15" x14ac:dyDescent="0.25">
      <c r="A264"/>
      <c r="B264"/>
      <c r="C264"/>
      <c r="D264"/>
      <c r="E264"/>
      <c r="AP264"/>
      <c r="AQ264"/>
      <c r="AR264"/>
      <c r="AS264"/>
      <c r="AT264"/>
      <c r="AU264"/>
    </row>
    <row r="265" spans="1:47" ht="15" x14ac:dyDescent="0.25">
      <c r="A265"/>
      <c r="B265"/>
      <c r="C265"/>
      <c r="D265"/>
      <c r="E265"/>
      <c r="AP265"/>
      <c r="AQ265"/>
      <c r="AR265"/>
      <c r="AS265"/>
      <c r="AT265"/>
      <c r="AU265"/>
    </row>
    <row r="266" spans="1:47" ht="15" x14ac:dyDescent="0.25">
      <c r="A266"/>
      <c r="B266"/>
      <c r="C266"/>
      <c r="D266"/>
      <c r="E266"/>
      <c r="AP266"/>
      <c r="AQ266"/>
      <c r="AR266"/>
      <c r="AS266"/>
      <c r="AT266"/>
      <c r="AU266"/>
    </row>
    <row r="267" spans="1:47" ht="15" x14ac:dyDescent="0.25">
      <c r="A267"/>
      <c r="B267"/>
      <c r="C267"/>
      <c r="D267"/>
      <c r="E267"/>
      <c r="AP267"/>
      <c r="AQ267"/>
      <c r="AR267"/>
      <c r="AS267"/>
      <c r="AT267"/>
      <c r="AU267"/>
    </row>
    <row r="268" spans="1:47" ht="15" x14ac:dyDescent="0.25">
      <c r="A268"/>
      <c r="B268"/>
      <c r="C268"/>
      <c r="D268"/>
      <c r="E268"/>
      <c r="AP268"/>
      <c r="AQ268"/>
      <c r="AR268"/>
      <c r="AS268"/>
      <c r="AT268"/>
      <c r="AU268"/>
    </row>
    <row r="269" spans="1:47" ht="15" x14ac:dyDescent="0.25">
      <c r="A269"/>
      <c r="B269"/>
      <c r="C269"/>
      <c r="D269"/>
      <c r="E269"/>
      <c r="AP269"/>
      <c r="AQ269"/>
      <c r="AR269"/>
      <c r="AS269"/>
      <c r="AT269"/>
      <c r="AU269"/>
    </row>
    <row r="270" spans="1:47" ht="15" x14ac:dyDescent="0.25">
      <c r="A270"/>
      <c r="B270"/>
      <c r="C270"/>
      <c r="D270"/>
      <c r="E270"/>
      <c r="AP270"/>
      <c r="AQ270"/>
      <c r="AR270"/>
      <c r="AS270"/>
      <c r="AT270"/>
      <c r="AU270"/>
    </row>
    <row r="271" spans="1:47" ht="15" x14ac:dyDescent="0.25">
      <c r="A271"/>
      <c r="B271"/>
      <c r="C271"/>
      <c r="D271"/>
      <c r="E271"/>
      <c r="AP271"/>
      <c r="AQ271"/>
      <c r="AR271"/>
      <c r="AS271"/>
      <c r="AT271"/>
      <c r="AU271"/>
    </row>
    <row r="272" spans="1:47" ht="15" x14ac:dyDescent="0.25">
      <c r="A272"/>
      <c r="B272"/>
      <c r="C272"/>
      <c r="D272"/>
      <c r="E272"/>
      <c r="AP272"/>
      <c r="AQ272"/>
      <c r="AR272"/>
      <c r="AS272"/>
      <c r="AT272"/>
      <c r="AU272"/>
    </row>
    <row r="273" spans="1:47" ht="15" x14ac:dyDescent="0.25">
      <c r="A273"/>
      <c r="B273"/>
      <c r="C273"/>
      <c r="D273"/>
      <c r="E273"/>
      <c r="AP273"/>
      <c r="AQ273"/>
      <c r="AR273"/>
      <c r="AS273"/>
      <c r="AT273"/>
      <c r="AU273"/>
    </row>
    <row r="274" spans="1:47" ht="15" x14ac:dyDescent="0.25">
      <c r="A274"/>
      <c r="B274"/>
      <c r="C274"/>
      <c r="D274"/>
      <c r="E274"/>
      <c r="AP274"/>
      <c r="AQ274"/>
      <c r="AR274"/>
      <c r="AS274"/>
      <c r="AT274"/>
      <c r="AU274"/>
    </row>
    <row r="275" spans="1:47" ht="15" x14ac:dyDescent="0.25">
      <c r="A275"/>
      <c r="B275"/>
      <c r="C275"/>
      <c r="D275"/>
      <c r="E275"/>
      <c r="AP275"/>
      <c r="AQ275"/>
      <c r="AR275"/>
      <c r="AS275"/>
      <c r="AT275"/>
      <c r="AU275"/>
    </row>
    <row r="276" spans="1:47" ht="15" x14ac:dyDescent="0.25">
      <c r="A276"/>
      <c r="B276"/>
      <c r="C276"/>
      <c r="D276"/>
      <c r="E276"/>
      <c r="AP276"/>
      <c r="AQ276"/>
      <c r="AR276"/>
      <c r="AS276"/>
      <c r="AT276"/>
      <c r="AU276"/>
    </row>
    <row r="277" spans="1:47" ht="15" x14ac:dyDescent="0.25">
      <c r="A277"/>
      <c r="B277"/>
      <c r="C277"/>
      <c r="D277"/>
      <c r="E277"/>
      <c r="AP277"/>
      <c r="AQ277"/>
      <c r="AR277"/>
      <c r="AS277"/>
      <c r="AT277"/>
      <c r="AU277"/>
    </row>
    <row r="278" spans="1:47" ht="15" x14ac:dyDescent="0.25">
      <c r="A278"/>
      <c r="B278"/>
      <c r="C278"/>
      <c r="D278"/>
      <c r="E278"/>
      <c r="AP278"/>
      <c r="AQ278"/>
      <c r="AR278"/>
      <c r="AS278"/>
      <c r="AT278"/>
      <c r="AU278"/>
    </row>
    <row r="279" spans="1:47" ht="15" x14ac:dyDescent="0.25">
      <c r="A279"/>
      <c r="B279"/>
      <c r="C279"/>
      <c r="D279"/>
      <c r="E279"/>
      <c r="AP279"/>
      <c r="AQ279"/>
      <c r="AR279"/>
      <c r="AS279"/>
      <c r="AT279"/>
      <c r="AU279"/>
    </row>
    <row r="280" spans="1:47" ht="15" x14ac:dyDescent="0.25">
      <c r="A280"/>
      <c r="B280"/>
      <c r="C280"/>
      <c r="D280"/>
      <c r="E280"/>
      <c r="AP280"/>
      <c r="AQ280"/>
      <c r="AR280"/>
      <c r="AS280"/>
      <c r="AT280"/>
      <c r="AU280"/>
    </row>
    <row r="281" spans="1:47" ht="15" x14ac:dyDescent="0.25">
      <c r="A281"/>
      <c r="B281"/>
      <c r="C281"/>
      <c r="D281"/>
      <c r="E281"/>
      <c r="AP281"/>
      <c r="AQ281"/>
      <c r="AR281"/>
      <c r="AS281"/>
      <c r="AT281"/>
      <c r="AU281"/>
    </row>
    <row r="282" spans="1:47" ht="15" x14ac:dyDescent="0.25">
      <c r="A282"/>
      <c r="B282"/>
      <c r="C282"/>
      <c r="D282"/>
      <c r="E282"/>
      <c r="AP282"/>
      <c r="AQ282"/>
      <c r="AR282"/>
      <c r="AS282"/>
      <c r="AT282"/>
      <c r="AU282"/>
    </row>
    <row r="283" spans="1:47" ht="15" x14ac:dyDescent="0.25">
      <c r="A283"/>
      <c r="B283"/>
      <c r="C283"/>
      <c r="D283"/>
      <c r="E283"/>
      <c r="AP283"/>
      <c r="AQ283"/>
      <c r="AR283"/>
      <c r="AS283"/>
      <c r="AT283"/>
      <c r="AU283"/>
    </row>
    <row r="284" spans="1:47" ht="15" x14ac:dyDescent="0.25">
      <c r="A284"/>
      <c r="B284"/>
      <c r="C284"/>
      <c r="D284"/>
      <c r="E284"/>
      <c r="AP284"/>
      <c r="AQ284"/>
      <c r="AR284"/>
      <c r="AS284"/>
      <c r="AT284"/>
      <c r="AU284"/>
    </row>
    <row r="285" spans="1:47" ht="15" x14ac:dyDescent="0.25">
      <c r="A285"/>
      <c r="B285"/>
      <c r="C285"/>
      <c r="D285"/>
      <c r="E285"/>
      <c r="AP285"/>
      <c r="AQ285"/>
      <c r="AR285"/>
      <c r="AS285"/>
      <c r="AT285"/>
      <c r="AU285"/>
    </row>
    <row r="286" spans="1:47" ht="15" x14ac:dyDescent="0.25">
      <c r="A286"/>
      <c r="B286"/>
      <c r="C286"/>
      <c r="D286"/>
      <c r="E286"/>
      <c r="AP286"/>
      <c r="AQ286"/>
      <c r="AR286"/>
      <c r="AS286"/>
      <c r="AT286"/>
      <c r="AU286"/>
    </row>
    <row r="287" spans="1:47" ht="15" x14ac:dyDescent="0.25">
      <c r="A287"/>
      <c r="B287"/>
      <c r="C287"/>
      <c r="D287"/>
      <c r="E287"/>
      <c r="AP287"/>
      <c r="AQ287"/>
      <c r="AR287"/>
      <c r="AS287"/>
      <c r="AT287"/>
      <c r="AU287"/>
    </row>
    <row r="288" spans="1:47" ht="15" x14ac:dyDescent="0.25">
      <c r="A288"/>
      <c r="B288"/>
      <c r="C288"/>
      <c r="D288"/>
      <c r="E288"/>
      <c r="AP288"/>
      <c r="AQ288"/>
      <c r="AR288"/>
      <c r="AS288"/>
      <c r="AT288"/>
      <c r="AU288"/>
    </row>
    <row r="289" spans="1:47" ht="15" x14ac:dyDescent="0.25">
      <c r="A289"/>
      <c r="B289"/>
      <c r="C289"/>
      <c r="D289"/>
      <c r="E289"/>
      <c r="AP289"/>
      <c r="AQ289"/>
      <c r="AR289"/>
      <c r="AS289"/>
      <c r="AT289"/>
      <c r="AU289"/>
    </row>
    <row r="290" spans="1:47" ht="15" x14ac:dyDescent="0.25">
      <c r="A290"/>
      <c r="B290"/>
      <c r="C290"/>
      <c r="D290"/>
      <c r="E290"/>
      <c r="AP290"/>
      <c r="AQ290"/>
      <c r="AR290"/>
      <c r="AS290"/>
      <c r="AT290"/>
      <c r="AU290"/>
    </row>
    <row r="291" spans="1:47" ht="15" x14ac:dyDescent="0.25">
      <c r="A291"/>
      <c r="B291"/>
      <c r="C291"/>
      <c r="D291"/>
      <c r="E291"/>
      <c r="AP291"/>
      <c r="AQ291"/>
      <c r="AR291"/>
      <c r="AS291"/>
      <c r="AT291"/>
      <c r="AU291"/>
    </row>
    <row r="292" spans="1:47" ht="15" x14ac:dyDescent="0.25">
      <c r="A292"/>
      <c r="B292"/>
      <c r="C292"/>
      <c r="D292"/>
      <c r="E292"/>
      <c r="AP292"/>
      <c r="AQ292"/>
      <c r="AR292"/>
      <c r="AS292"/>
      <c r="AT292"/>
      <c r="AU292"/>
    </row>
    <row r="293" spans="1:47" ht="15" x14ac:dyDescent="0.25">
      <c r="A293"/>
      <c r="B293"/>
      <c r="C293"/>
      <c r="D293"/>
      <c r="E293"/>
      <c r="AP293"/>
      <c r="AQ293"/>
      <c r="AR293"/>
      <c r="AS293"/>
      <c r="AT293"/>
      <c r="AU293"/>
    </row>
    <row r="294" spans="1:47" ht="15" x14ac:dyDescent="0.25">
      <c r="A294"/>
      <c r="B294"/>
      <c r="C294"/>
      <c r="D294"/>
      <c r="E294"/>
      <c r="AP294"/>
      <c r="AQ294"/>
      <c r="AR294"/>
      <c r="AS294"/>
      <c r="AT294"/>
      <c r="AU294"/>
    </row>
    <row r="295" spans="1:47" ht="15" x14ac:dyDescent="0.25">
      <c r="A295"/>
      <c r="B295"/>
      <c r="C295"/>
      <c r="D295"/>
      <c r="E295"/>
      <c r="AP295"/>
      <c r="AQ295"/>
      <c r="AR295"/>
      <c r="AS295"/>
      <c r="AT295"/>
      <c r="AU295"/>
    </row>
    <row r="296" spans="1:47" ht="15" x14ac:dyDescent="0.25">
      <c r="A296"/>
      <c r="B296"/>
      <c r="C296"/>
      <c r="D296"/>
      <c r="E296"/>
      <c r="AP296"/>
      <c r="AQ296"/>
      <c r="AR296"/>
      <c r="AS296"/>
      <c r="AT296"/>
      <c r="AU296"/>
    </row>
    <row r="297" spans="1:47" ht="15" x14ac:dyDescent="0.25">
      <c r="A297"/>
      <c r="B297"/>
      <c r="C297"/>
      <c r="D297"/>
      <c r="E297"/>
      <c r="AP297"/>
      <c r="AQ297"/>
      <c r="AR297"/>
      <c r="AS297"/>
      <c r="AT297"/>
      <c r="AU297"/>
    </row>
    <row r="298" spans="1:47" ht="15" x14ac:dyDescent="0.25">
      <c r="A298"/>
      <c r="B298"/>
      <c r="C298"/>
      <c r="D298"/>
      <c r="E298"/>
      <c r="AP298"/>
      <c r="AQ298"/>
      <c r="AR298"/>
      <c r="AS298"/>
      <c r="AT298"/>
      <c r="AU298"/>
    </row>
    <row r="299" spans="1:47" ht="15" x14ac:dyDescent="0.25">
      <c r="A299"/>
      <c r="B299"/>
      <c r="C299"/>
      <c r="D299"/>
      <c r="E299"/>
      <c r="AP299"/>
      <c r="AQ299"/>
      <c r="AR299"/>
      <c r="AS299"/>
      <c r="AT299"/>
      <c r="AU299"/>
    </row>
    <row r="300" spans="1:47" ht="15" x14ac:dyDescent="0.25">
      <c r="AP300"/>
      <c r="AQ300"/>
      <c r="AR300"/>
      <c r="AS300"/>
      <c r="AT300"/>
      <c r="AU300"/>
    </row>
    <row r="301" spans="1:47" ht="15" x14ac:dyDescent="0.25">
      <c r="AP301"/>
      <c r="AQ301"/>
      <c r="AR301"/>
      <c r="AS301"/>
      <c r="AT301"/>
      <c r="AU301"/>
    </row>
    <row r="302" spans="1:47" ht="15" x14ac:dyDescent="0.25">
      <c r="AP302"/>
      <c r="AQ302"/>
      <c r="AR302"/>
      <c r="AS302"/>
      <c r="AT302"/>
      <c r="AU302"/>
    </row>
    <row r="303" spans="1:47" ht="15" x14ac:dyDescent="0.25">
      <c r="AP303"/>
      <c r="AQ303"/>
      <c r="AR303"/>
      <c r="AS303"/>
      <c r="AT303"/>
      <c r="AU303"/>
    </row>
    <row r="304" spans="1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AL299"/>
  <sheetViews>
    <sheetView tabSelected="1" zoomScale="96" zoomScaleNormal="96" workbookViewId="0">
      <selection activeCell="B4" sqref="B4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9.140625" style="93" customWidth="1"/>
    <col min="5" max="5" width="13" style="85" customWidth="1"/>
    <col min="6" max="7" width="5.85546875" style="85" customWidth="1"/>
    <col min="8" max="8" width="9.7109375" style="85" customWidth="1"/>
    <col min="9" max="9" width="6" style="85" bestFit="1" customWidth="1"/>
    <col min="10" max="10" width="4.85546875" style="85" bestFit="1" customWidth="1"/>
    <col min="11" max="11" width="8.7109375" style="85" bestFit="1" customWidth="1"/>
    <col min="12" max="12" width="10.42578125" style="85" customWidth="1"/>
    <col min="13" max="13" width="12.140625" style="85" bestFit="1" customWidth="1"/>
    <col min="14" max="14" width="13.85546875" style="85" bestFit="1" customWidth="1"/>
    <col min="15" max="15" width="12.42578125" style="85" bestFit="1" customWidth="1"/>
    <col min="16" max="16" width="12.140625" style="85" bestFit="1" customWidth="1"/>
    <col min="17" max="20" width="9.28515625" style="85" bestFit="1" customWidth="1"/>
    <col min="21" max="22" width="9.140625" style="85"/>
    <col min="23" max="23" width="9.28515625" style="85" bestFit="1" customWidth="1"/>
    <col min="24" max="34" width="9.140625" style="85"/>
    <col min="35" max="35" width="9.140625" style="85" customWidth="1"/>
    <col min="36" max="16384" width="9.140625" style="85"/>
  </cols>
  <sheetData>
    <row r="1" spans="1:38" ht="17.25" thickBot="1" x14ac:dyDescent="0.35">
      <c r="A1" s="89" t="s">
        <v>4</v>
      </c>
      <c r="B1" s="90" t="s">
        <v>143</v>
      </c>
      <c r="C1"/>
      <c r="D1"/>
      <c r="E1" s="82" t="s">
        <v>5</v>
      </c>
      <c r="F1" s="82" t="s">
        <v>6</v>
      </c>
      <c r="G1" s="83" t="s">
        <v>7</v>
      </c>
      <c r="H1" s="136" t="s">
        <v>8</v>
      </c>
      <c r="I1" s="167" t="s">
        <v>9</v>
      </c>
      <c r="J1" s="167" t="s">
        <v>10</v>
      </c>
      <c r="K1" s="83" t="s">
        <v>11</v>
      </c>
      <c r="L1" s="118" t="s">
        <v>144</v>
      </c>
      <c r="M1" s="118" t="s">
        <v>147</v>
      </c>
      <c r="N1" s="118" t="s">
        <v>145</v>
      </c>
      <c r="O1" s="118" t="s">
        <v>145</v>
      </c>
      <c r="P1" s="118" t="s">
        <v>146</v>
      </c>
      <c r="S1" s="125" t="s">
        <v>86</v>
      </c>
      <c r="T1" s="127" t="s">
        <v>87</v>
      </c>
      <c r="U1"/>
      <c r="V1" s="86" t="s">
        <v>23</v>
      </c>
    </row>
    <row r="2" spans="1:38" ht="17.25" thickBot="1" x14ac:dyDescent="0.35">
      <c r="A2" s="9">
        <v>1</v>
      </c>
      <c r="B2" s="100">
        <v>50</v>
      </c>
      <c r="C2"/>
      <c r="D2"/>
      <c r="E2" s="94" t="str">
        <f>F2&amp;" - "&amp;G2</f>
        <v>21 - 28</v>
      </c>
      <c r="F2" s="95">
        <f>Y4</f>
        <v>21</v>
      </c>
      <c r="G2" s="96">
        <f t="shared" ref="G2:G14" si="0">F2+$Y$3</f>
        <v>28</v>
      </c>
      <c r="H2" s="137">
        <f t="shared" ref="H2:H14" si="1">COUNTIF($B$2:$B$29, "&lt;"&amp;G2)</f>
        <v>1</v>
      </c>
      <c r="I2" s="97">
        <f>H2</f>
        <v>1</v>
      </c>
      <c r="J2" s="98">
        <f t="shared" ref="J2:J14" si="2">I2/$I$15</f>
        <v>3.5714285714285712E-2</v>
      </c>
      <c r="K2" s="99">
        <f t="shared" ref="K2:K14" si="3">H2/$I$15</f>
        <v>3.5714285714285712E-2</v>
      </c>
      <c r="L2" s="129">
        <f t="shared" ref="L2:L14" si="4">POISSON(G2,$T$2,1)-POISSON(F2,$T$2,1)</f>
        <v>2.6452199417822324E-4</v>
      </c>
      <c r="M2" s="129">
        <f>SUM(L$2:L2)</f>
        <v>2.6452199417822324E-4</v>
      </c>
      <c r="N2" s="129">
        <f t="shared" ref="N2:N14" si="5">_xlfn.NORM.DIST(G2,$T$2,$T$7,1)-_xlfn.NORM.DIST(F2,$T$2,$T$7,1)</f>
        <v>4.4945920040427086E-2</v>
      </c>
      <c r="O2" s="129">
        <f>N2/$N$15</f>
        <v>4.64328589960755E-2</v>
      </c>
      <c r="P2" s="129">
        <f>SUM(O$2:O2)</f>
        <v>4.64328589960755E-2</v>
      </c>
      <c r="S2" s="119" t="s">
        <v>12</v>
      </c>
      <c r="T2" s="122">
        <f>AVERAGE($B$2:$B$29)</f>
        <v>51.392857142857146</v>
      </c>
      <c r="U2"/>
      <c r="V2" s="85" t="s">
        <v>94</v>
      </c>
      <c r="Y2" s="85">
        <f>ROUND(T6/10,0)</f>
        <v>7</v>
      </c>
    </row>
    <row r="3" spans="1:38" ht="17.25" thickBot="1" x14ac:dyDescent="0.35">
      <c r="A3" s="9">
        <v>2</v>
      </c>
      <c r="B3" s="100">
        <v>25</v>
      </c>
      <c r="C3"/>
      <c r="D3"/>
      <c r="E3" s="104" t="str">
        <f t="shared" ref="E3:E14" si="6">F3&amp;" - "&amp;G3</f>
        <v>28 - 35</v>
      </c>
      <c r="F3" s="105">
        <f>G2</f>
        <v>28</v>
      </c>
      <c r="G3" s="106">
        <f t="shared" si="0"/>
        <v>35</v>
      </c>
      <c r="H3" s="137">
        <f t="shared" si="1"/>
        <v>4</v>
      </c>
      <c r="I3" s="107">
        <f>H3-H2</f>
        <v>3</v>
      </c>
      <c r="J3" s="108">
        <f t="shared" si="2"/>
        <v>0.10714285714285714</v>
      </c>
      <c r="K3" s="109">
        <f t="shared" si="3"/>
        <v>0.14285714285714285</v>
      </c>
      <c r="L3" s="129">
        <f t="shared" si="4"/>
        <v>9.7880306542810734E-3</v>
      </c>
      <c r="M3" s="129">
        <f>SUM(L$2:L3)</f>
        <v>1.0052552648459296E-2</v>
      </c>
      <c r="N3" s="129">
        <f t="shared" si="5"/>
        <v>8.1880206371851186E-2</v>
      </c>
      <c r="O3" s="129">
        <f t="shared" ref="O3:O14" si="7">N3/$N$15</f>
        <v>8.4589036638120674E-2</v>
      </c>
      <c r="P3" s="129">
        <f>SUM(O$2:O3)</f>
        <v>0.13102189563419617</v>
      </c>
      <c r="S3" s="133" t="s">
        <v>91</v>
      </c>
      <c r="T3" s="135">
        <f>MEDIAN(B$2:B$29)</f>
        <v>49</v>
      </c>
      <c r="U3"/>
      <c r="V3" s="85" t="s">
        <v>95</v>
      </c>
      <c r="Y3" s="85">
        <f>ROUND(Y2,-LEN(Y2)+1)</f>
        <v>7</v>
      </c>
    </row>
    <row r="4" spans="1:38" ht="17.25" thickBot="1" x14ac:dyDescent="0.35">
      <c r="A4" s="9">
        <v>3</v>
      </c>
      <c r="B4" s="100">
        <v>33</v>
      </c>
      <c r="C4"/>
      <c r="D4"/>
      <c r="E4" s="104" t="str">
        <f t="shared" si="6"/>
        <v>35 - 42</v>
      </c>
      <c r="F4" s="105">
        <f t="shared" ref="F4:F13" si="8">G3</f>
        <v>35</v>
      </c>
      <c r="G4" s="106">
        <f t="shared" si="0"/>
        <v>42</v>
      </c>
      <c r="H4" s="137">
        <f t="shared" si="1"/>
        <v>9</v>
      </c>
      <c r="I4" s="107">
        <f t="shared" ref="I4:I14" si="9">H4-H3</f>
        <v>5</v>
      </c>
      <c r="J4" s="108">
        <f t="shared" si="2"/>
        <v>0.17857142857142858</v>
      </c>
      <c r="K4" s="109">
        <f t="shared" si="3"/>
        <v>0.32142857142857145</v>
      </c>
      <c r="L4" s="129">
        <f t="shared" si="4"/>
        <v>9.4672969820577185E-2</v>
      </c>
      <c r="M4" s="129">
        <f>SUM(L$2:L4)</f>
        <v>0.10472552246903648</v>
      </c>
      <c r="N4" s="129">
        <f t="shared" si="5"/>
        <v>0.12465544466098999</v>
      </c>
      <c r="O4" s="129">
        <f t="shared" si="7"/>
        <v>0.12877940155259177</v>
      </c>
      <c r="P4" s="129">
        <f>SUM(O$2:O4)</f>
        <v>0.25980129718678791</v>
      </c>
      <c r="S4" s="120" t="s">
        <v>13</v>
      </c>
      <c r="T4" s="123">
        <f>MAX(B$2:B$29)</f>
        <v>90</v>
      </c>
      <c r="U4"/>
      <c r="V4" s="85" t="s">
        <v>96</v>
      </c>
      <c r="Y4" s="85">
        <f>Y3*INT(T5/Y3)</f>
        <v>21</v>
      </c>
    </row>
    <row r="5" spans="1:38" ht="17.25" thickBot="1" x14ac:dyDescent="0.35">
      <c r="A5" s="9">
        <v>4</v>
      </c>
      <c r="B5" s="100">
        <v>72</v>
      </c>
      <c r="C5"/>
      <c r="D5"/>
      <c r="E5" s="104" t="str">
        <f t="shared" si="6"/>
        <v>42 - 49</v>
      </c>
      <c r="F5" s="105">
        <f t="shared" si="8"/>
        <v>42</v>
      </c>
      <c r="G5" s="106">
        <f t="shared" si="0"/>
        <v>49</v>
      </c>
      <c r="H5" s="137">
        <f t="shared" si="1"/>
        <v>14</v>
      </c>
      <c r="I5" s="107">
        <f t="shared" si="9"/>
        <v>5</v>
      </c>
      <c r="J5" s="108">
        <f t="shared" si="2"/>
        <v>0.17857142857142858</v>
      </c>
      <c r="K5" s="109">
        <f t="shared" si="3"/>
        <v>0.5</v>
      </c>
      <c r="L5" s="129">
        <f t="shared" si="4"/>
        <v>0.29957239696939675</v>
      </c>
      <c r="M5" s="129">
        <f>SUM(L$2:L5)</f>
        <v>0.40429791943843324</v>
      </c>
      <c r="N5" s="129">
        <f t="shared" si="5"/>
        <v>0.15859747922570577</v>
      </c>
      <c r="O5" s="129">
        <f t="shared" si="7"/>
        <v>0.16384433522322964</v>
      </c>
      <c r="P5" s="129">
        <f>SUM(O$2:O5)</f>
        <v>0.42364563241001751</v>
      </c>
      <c r="S5" s="120" t="s">
        <v>14</v>
      </c>
      <c r="T5" s="123">
        <f>MIN(B$2:B$29)</f>
        <v>25</v>
      </c>
      <c r="U5"/>
      <c r="V5" s="85" t="s">
        <v>93</v>
      </c>
      <c r="Y5" s="85">
        <f>ROUNDUP(T4/Y3,0)</f>
        <v>13</v>
      </c>
    </row>
    <row r="6" spans="1:38" ht="17.25" thickBot="1" x14ac:dyDescent="0.35">
      <c r="A6" s="9">
        <v>5</v>
      </c>
      <c r="B6" s="100">
        <v>67</v>
      </c>
      <c r="C6"/>
      <c r="D6"/>
      <c r="E6" s="104" t="str">
        <f t="shared" si="6"/>
        <v>49 - 56</v>
      </c>
      <c r="F6" s="105">
        <f t="shared" si="8"/>
        <v>49</v>
      </c>
      <c r="G6" s="106">
        <f t="shared" si="0"/>
        <v>56</v>
      </c>
      <c r="H6" s="137">
        <f t="shared" si="1"/>
        <v>18</v>
      </c>
      <c r="I6" s="107">
        <f t="shared" si="9"/>
        <v>4</v>
      </c>
      <c r="J6" s="108">
        <f t="shared" si="2"/>
        <v>0.14285714285714285</v>
      </c>
      <c r="K6" s="109">
        <f t="shared" si="3"/>
        <v>0.6428571428571429</v>
      </c>
      <c r="L6" s="129">
        <f t="shared" si="4"/>
        <v>0.36116651115701282</v>
      </c>
      <c r="M6" s="129">
        <f>SUM(L$2:L6)</f>
        <v>0.76546443059544611</v>
      </c>
      <c r="N6" s="129">
        <f t="shared" si="5"/>
        <v>0.1686317081221278</v>
      </c>
      <c r="O6" s="129">
        <f t="shared" si="7"/>
        <v>0.17421052496999276</v>
      </c>
      <c r="P6" s="129">
        <f>SUM(O$2:O6)</f>
        <v>0.5978561573800103</v>
      </c>
      <c r="S6" s="120" t="s">
        <v>5</v>
      </c>
      <c r="T6" s="123">
        <f>T4-T5</f>
        <v>65</v>
      </c>
      <c r="U6"/>
      <c r="V6" s="93" t="s">
        <v>97</v>
      </c>
      <c r="W6" s="93"/>
      <c r="X6" s="93"/>
      <c r="Y6" s="85">
        <f>Y5*Y3</f>
        <v>91</v>
      </c>
    </row>
    <row r="7" spans="1:38" ht="17.25" thickBot="1" x14ac:dyDescent="0.35">
      <c r="A7" s="9">
        <v>6</v>
      </c>
      <c r="B7" s="100">
        <v>35</v>
      </c>
      <c r="C7"/>
      <c r="D7"/>
      <c r="E7" s="104" t="str">
        <f t="shared" si="6"/>
        <v>56 - 63</v>
      </c>
      <c r="F7" s="105">
        <f t="shared" si="8"/>
        <v>56</v>
      </c>
      <c r="G7" s="106">
        <f t="shared" si="0"/>
        <v>63</v>
      </c>
      <c r="H7" s="137">
        <f t="shared" si="1"/>
        <v>21</v>
      </c>
      <c r="I7" s="107">
        <f t="shared" si="9"/>
        <v>3</v>
      </c>
      <c r="J7" s="108">
        <f t="shared" si="2"/>
        <v>0.10714285714285714</v>
      </c>
      <c r="K7" s="109">
        <f t="shared" si="3"/>
        <v>0.75</v>
      </c>
      <c r="L7" s="129">
        <f t="shared" si="4"/>
        <v>0.18514118188091522</v>
      </c>
      <c r="M7" s="129">
        <f>SUM(L$2:L7)</f>
        <v>0.95060561247636133</v>
      </c>
      <c r="N7" s="129">
        <f t="shared" si="5"/>
        <v>0.14984472741980437</v>
      </c>
      <c r="O7" s="129">
        <f t="shared" si="7"/>
        <v>0.15480201747635716</v>
      </c>
      <c r="P7" s="129">
        <f>SUM(O$2:O7)</f>
        <v>0.75265817485636743</v>
      </c>
      <c r="S7" s="120" t="s">
        <v>15</v>
      </c>
      <c r="T7" s="123">
        <f>_xlfn.STDEV.S(B$2:B$29)</f>
        <v>16.398598146305705</v>
      </c>
      <c r="U7"/>
      <c r="V7" s="85" t="s">
        <v>98</v>
      </c>
      <c r="Y7" s="85">
        <v>4</v>
      </c>
    </row>
    <row r="8" spans="1:38" ht="17.25" thickBot="1" x14ac:dyDescent="0.35">
      <c r="A8" s="9">
        <v>7</v>
      </c>
      <c r="B8" s="100">
        <v>42</v>
      </c>
      <c r="C8"/>
      <c r="D8"/>
      <c r="E8" s="104" t="str">
        <f t="shared" si="6"/>
        <v>63 - 70</v>
      </c>
      <c r="F8" s="105">
        <f t="shared" si="8"/>
        <v>63</v>
      </c>
      <c r="G8" s="106">
        <f t="shared" si="0"/>
        <v>70</v>
      </c>
      <c r="H8" s="137">
        <f t="shared" si="1"/>
        <v>24</v>
      </c>
      <c r="I8" s="107">
        <f t="shared" si="9"/>
        <v>3</v>
      </c>
      <c r="J8" s="108">
        <f t="shared" si="2"/>
        <v>0.10714285714285714</v>
      </c>
      <c r="K8" s="109">
        <f t="shared" si="3"/>
        <v>0.8571428571428571</v>
      </c>
      <c r="L8" s="129">
        <f t="shared" si="4"/>
        <v>4.3905507794962273E-2</v>
      </c>
      <c r="M8" s="129">
        <f>SUM(L$2:L8)</f>
        <v>0.9945111202713236</v>
      </c>
      <c r="N8" s="129">
        <f t="shared" si="5"/>
        <v>0.11127571368707556</v>
      </c>
      <c r="O8" s="129">
        <f t="shared" si="7"/>
        <v>0.11495703099796981</v>
      </c>
      <c r="P8" s="129">
        <f>SUM(O$2:O8)</f>
        <v>0.86761520585433727</v>
      </c>
      <c r="S8" s="120" t="s">
        <v>16</v>
      </c>
      <c r="T8" s="123">
        <f>T7/T2</f>
        <v>0.3190832161894091</v>
      </c>
      <c r="U8"/>
    </row>
    <row r="9" spans="1:38" ht="17.25" thickBot="1" x14ac:dyDescent="0.35">
      <c r="A9" s="9">
        <v>8</v>
      </c>
      <c r="B9" s="100">
        <v>44</v>
      </c>
      <c r="C9"/>
      <c r="D9"/>
      <c r="E9" s="104" t="str">
        <f t="shared" si="6"/>
        <v>70 - 77</v>
      </c>
      <c r="F9" s="105">
        <f t="shared" si="8"/>
        <v>70</v>
      </c>
      <c r="G9" s="106">
        <f t="shared" si="0"/>
        <v>77</v>
      </c>
      <c r="H9" s="137">
        <f t="shared" si="1"/>
        <v>26</v>
      </c>
      <c r="I9" s="107">
        <f t="shared" si="9"/>
        <v>2</v>
      </c>
      <c r="J9" s="108">
        <f t="shared" si="2"/>
        <v>7.1428571428571425E-2</v>
      </c>
      <c r="K9" s="109">
        <f t="shared" si="3"/>
        <v>0.9285714285714286</v>
      </c>
      <c r="L9" s="129">
        <f t="shared" si="4"/>
        <v>5.1584163970143093E-3</v>
      </c>
      <c r="M9" s="129">
        <f>SUM(L$2:L9)</f>
        <v>0.99966953666833791</v>
      </c>
      <c r="N9" s="129">
        <f t="shared" si="5"/>
        <v>6.9057295119646089E-2</v>
      </c>
      <c r="O9" s="129">
        <f t="shared" si="7"/>
        <v>7.1341906986368386E-2</v>
      </c>
      <c r="P9" s="129">
        <f>SUM(O$2:O9)</f>
        <v>0.93895711284070571</v>
      </c>
      <c r="S9" s="133" t="s">
        <v>92</v>
      </c>
      <c r="T9" s="134">
        <f>T2/T3</f>
        <v>1.0488338192419826</v>
      </c>
      <c r="U9"/>
      <c r="V9"/>
      <c r="W9"/>
    </row>
    <row r="10" spans="1:38" ht="17.25" thickBot="1" x14ac:dyDescent="0.35">
      <c r="A10" s="9">
        <v>9</v>
      </c>
      <c r="B10" s="100">
        <v>51</v>
      </c>
      <c r="C10"/>
      <c r="D10"/>
      <c r="E10" s="104" t="str">
        <f t="shared" si="6"/>
        <v>77 - 84</v>
      </c>
      <c r="F10" s="105">
        <f t="shared" si="8"/>
        <v>77</v>
      </c>
      <c r="G10" s="106">
        <f t="shared" si="0"/>
        <v>84</v>
      </c>
      <c r="H10" s="137">
        <f t="shared" si="1"/>
        <v>27</v>
      </c>
      <c r="I10" s="107">
        <f t="shared" si="9"/>
        <v>1</v>
      </c>
      <c r="J10" s="108">
        <f t="shared" si="2"/>
        <v>3.5714285714285712E-2</v>
      </c>
      <c r="K10" s="109">
        <f t="shared" si="3"/>
        <v>0.9642857142857143</v>
      </c>
      <c r="L10" s="129">
        <f t="shared" si="4"/>
        <v>3.1810866270798321E-4</v>
      </c>
      <c r="M10" s="129">
        <f>SUM(L$2:L10)</f>
        <v>0.99998764533104589</v>
      </c>
      <c r="N10" s="129">
        <f t="shared" si="5"/>
        <v>3.5814490626567164E-2</v>
      </c>
      <c r="O10" s="129">
        <f t="shared" si="7"/>
        <v>3.6999335908217822E-2</v>
      </c>
      <c r="P10" s="129">
        <f>SUM(O$2:O10)</f>
        <v>0.97595644874892351</v>
      </c>
      <c r="S10" s="121" t="s">
        <v>90</v>
      </c>
      <c r="T10" s="124">
        <f>T6/T2</f>
        <v>1.2647671994440584</v>
      </c>
      <c r="U10"/>
      <c r="V10"/>
      <c r="W10"/>
    </row>
    <row r="11" spans="1:38" ht="17.25" thickBot="1" x14ac:dyDescent="0.35">
      <c r="A11" s="9">
        <v>10</v>
      </c>
      <c r="B11" s="100">
        <v>39</v>
      </c>
      <c r="C11"/>
      <c r="D11"/>
      <c r="E11" s="104" t="str">
        <f t="shared" si="6"/>
        <v>84 - 91</v>
      </c>
      <c r="F11" s="105">
        <f t="shared" si="8"/>
        <v>84</v>
      </c>
      <c r="G11" s="106">
        <f t="shared" si="0"/>
        <v>91</v>
      </c>
      <c r="H11" s="137">
        <f t="shared" si="1"/>
        <v>28</v>
      </c>
      <c r="I11" s="107">
        <f t="shared" si="9"/>
        <v>1</v>
      </c>
      <c r="J11" s="108">
        <f t="shared" si="2"/>
        <v>3.5714285714285712E-2</v>
      </c>
      <c r="K11" s="109">
        <f t="shared" si="3"/>
        <v>1</v>
      </c>
      <c r="L11" s="129">
        <f t="shared" si="4"/>
        <v>1.0821135845384688E-5</v>
      </c>
      <c r="M11" s="129">
        <f>SUM(L$2:L11)</f>
        <v>0.99999846646689128</v>
      </c>
      <c r="N11" s="129">
        <f t="shared" si="5"/>
        <v>1.5521518467200623E-2</v>
      </c>
      <c r="O11" s="129">
        <f t="shared" si="7"/>
        <v>1.6035014473933556E-2</v>
      </c>
      <c r="P11" s="129">
        <f>SUM(O$2:O11)</f>
        <v>0.99199146322285703</v>
      </c>
      <c r="U11"/>
      <c r="V11"/>
      <c r="W11"/>
    </row>
    <row r="12" spans="1:38" ht="17.25" thickBot="1" x14ac:dyDescent="0.35">
      <c r="A12" s="9">
        <v>11</v>
      </c>
      <c r="B12" s="100">
        <v>46</v>
      </c>
      <c r="C12"/>
      <c r="D12"/>
      <c r="E12" s="104" t="str">
        <f t="shared" si="6"/>
        <v>91 - 98</v>
      </c>
      <c r="F12" s="105">
        <f t="shared" si="8"/>
        <v>91</v>
      </c>
      <c r="G12" s="106">
        <f t="shared" si="0"/>
        <v>98</v>
      </c>
      <c r="H12" s="137">
        <f t="shared" si="1"/>
        <v>28</v>
      </c>
      <c r="I12" s="107">
        <f t="shared" si="9"/>
        <v>0</v>
      </c>
      <c r="J12" s="108">
        <f t="shared" si="2"/>
        <v>0</v>
      </c>
      <c r="K12" s="109">
        <f t="shared" si="3"/>
        <v>1</v>
      </c>
      <c r="L12" s="129">
        <f t="shared" si="4"/>
        <v>2.1202410649401315E-7</v>
      </c>
      <c r="M12" s="129">
        <f>SUM(L$2:L12)</f>
        <v>0.99999867849099777</v>
      </c>
      <c r="N12" s="129">
        <f t="shared" si="5"/>
        <v>5.6210650202784818E-3</v>
      </c>
      <c r="O12" s="129">
        <f t="shared" si="7"/>
        <v>5.8070258492784639E-3</v>
      </c>
      <c r="P12" s="129">
        <f>SUM(O$2:O12)</f>
        <v>0.99779848907213553</v>
      </c>
    </row>
    <row r="13" spans="1:38" ht="17.25" thickBot="1" x14ac:dyDescent="0.35">
      <c r="A13" s="9">
        <v>12</v>
      </c>
      <c r="B13" s="100">
        <v>41</v>
      </c>
      <c r="C13"/>
      <c r="D13"/>
      <c r="E13" s="104" t="str">
        <f t="shared" si="6"/>
        <v>98 - 105</v>
      </c>
      <c r="F13" s="105">
        <f t="shared" si="8"/>
        <v>98</v>
      </c>
      <c r="G13" s="106">
        <f t="shared" si="0"/>
        <v>105</v>
      </c>
      <c r="H13" s="137">
        <f t="shared" si="1"/>
        <v>28</v>
      </c>
      <c r="I13" s="107">
        <f t="shared" si="9"/>
        <v>0</v>
      </c>
      <c r="J13" s="108">
        <f t="shared" si="2"/>
        <v>0</v>
      </c>
      <c r="K13" s="109">
        <f t="shared" si="3"/>
        <v>1</v>
      </c>
      <c r="L13" s="129">
        <f t="shared" si="4"/>
        <v>2.4852652158458E-9</v>
      </c>
      <c r="M13" s="129">
        <f>SUM(L$2:L13)</f>
        <v>0.99999868097626299</v>
      </c>
      <c r="N13" s="129">
        <f t="shared" si="5"/>
        <v>1.7009501809579497E-3</v>
      </c>
      <c r="O13" s="129">
        <f t="shared" si="7"/>
        <v>1.7572224540231952E-3</v>
      </c>
      <c r="P13" s="129">
        <f>SUM(O$2:O13)</f>
        <v>0.99955571152615874</v>
      </c>
    </row>
    <row r="14" spans="1:38" ht="17.25" thickBot="1" x14ac:dyDescent="0.35">
      <c r="A14" s="9">
        <v>13</v>
      </c>
      <c r="B14" s="100">
        <v>69</v>
      </c>
      <c r="C14"/>
      <c r="D14"/>
      <c r="E14" s="111" t="str">
        <f t="shared" si="6"/>
        <v>105 - 112</v>
      </c>
      <c r="F14" s="112">
        <f>G13</f>
        <v>105</v>
      </c>
      <c r="G14" s="113">
        <f t="shared" si="0"/>
        <v>112</v>
      </c>
      <c r="H14" s="138">
        <f t="shared" si="1"/>
        <v>28</v>
      </c>
      <c r="I14" s="114">
        <f t="shared" si="9"/>
        <v>0</v>
      </c>
      <c r="J14" s="115">
        <f t="shared" si="2"/>
        <v>0</v>
      </c>
      <c r="K14" s="116">
        <f t="shared" si="3"/>
        <v>1</v>
      </c>
      <c r="L14" s="129">
        <f t="shared" si="4"/>
        <v>1.8019696845783528E-11</v>
      </c>
      <c r="M14" s="129">
        <f>SUM(L$2:L14)</f>
        <v>0.99999868099428268</v>
      </c>
      <c r="N14" s="129">
        <f t="shared" si="5"/>
        <v>4.3006083734453693E-4</v>
      </c>
      <c r="O14" s="129">
        <f t="shared" si="7"/>
        <v>4.4428847384126872E-4</v>
      </c>
      <c r="P14" s="129">
        <f>SUM(O$2:O14)</f>
        <v>1</v>
      </c>
    </row>
    <row r="15" spans="1:38" ht="16.5" x14ac:dyDescent="0.3">
      <c r="A15" s="9">
        <v>14</v>
      </c>
      <c r="B15" s="100">
        <v>28</v>
      </c>
      <c r="C15"/>
      <c r="D15"/>
      <c r="E15" s="117"/>
      <c r="F15" s="107"/>
      <c r="G15" s="107"/>
      <c r="H15" s="107"/>
      <c r="I15" s="107">
        <f>SUM(I2:I14)</f>
        <v>28</v>
      </c>
      <c r="J15" s="108">
        <f>SUM(J2:J14)</f>
        <v>0.99999999999999978</v>
      </c>
      <c r="K15" s="108"/>
      <c r="L15" s="146">
        <f>SUM(L2:L14)</f>
        <v>0.99999868099428268</v>
      </c>
      <c r="M15" s="118"/>
      <c r="N15" s="146">
        <f>SUM(N2:N14)</f>
        <v>0.96797657977997664</v>
      </c>
      <c r="O15" s="146">
        <f>SUM(O2:O14)</f>
        <v>1</v>
      </c>
      <c r="P15" s="118"/>
    </row>
    <row r="16" spans="1:38" ht="16.5" x14ac:dyDescent="0.3">
      <c r="A16" s="9">
        <v>15</v>
      </c>
      <c r="B16" s="100">
        <v>82</v>
      </c>
      <c r="C16"/>
      <c r="D16" s="10"/>
      <c r="E16" s="131"/>
      <c r="F16" s="131"/>
      <c r="G16" s="131"/>
      <c r="H16" s="131"/>
      <c r="I16" s="93"/>
      <c r="J16" s="93"/>
      <c r="K16" s="131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</row>
    <row r="17" spans="1:38" ht="16.5" x14ac:dyDescent="0.3">
      <c r="A17" s="9">
        <v>16</v>
      </c>
      <c r="B17" s="100">
        <v>65</v>
      </c>
      <c r="C17"/>
      <c r="D17" s="10"/>
      <c r="E17" s="93"/>
      <c r="F17" s="93"/>
      <c r="G17" s="93"/>
      <c r="H17" s="93"/>
      <c r="I17" s="132"/>
      <c r="J17" s="132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</row>
    <row r="18" spans="1:38" ht="16.5" x14ac:dyDescent="0.3">
      <c r="A18" s="9">
        <v>17</v>
      </c>
      <c r="B18" s="100">
        <v>47</v>
      </c>
      <c r="C18"/>
      <c r="D18" s="10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</row>
    <row r="19" spans="1:38" ht="16.5" x14ac:dyDescent="0.3">
      <c r="A19" s="9">
        <v>18</v>
      </c>
      <c r="B19" s="100">
        <v>53</v>
      </c>
      <c r="C19"/>
      <c r="D19" s="10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</row>
    <row r="20" spans="1:38" ht="16.5" x14ac:dyDescent="0.3">
      <c r="A20" s="9">
        <v>19</v>
      </c>
      <c r="B20" s="100">
        <v>90</v>
      </c>
      <c r="C20"/>
      <c r="D20" s="10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</row>
    <row r="21" spans="1:38" ht="16.5" x14ac:dyDescent="0.3">
      <c r="A21" s="9">
        <v>20</v>
      </c>
      <c r="B21" s="100">
        <v>56</v>
      </c>
      <c r="C21"/>
      <c r="D21" s="10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</row>
    <row r="22" spans="1:38" ht="16.5" x14ac:dyDescent="0.3">
      <c r="A22" s="9">
        <v>21</v>
      </c>
      <c r="B22" s="100">
        <v>51</v>
      </c>
      <c r="C22"/>
      <c r="D22" s="10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</row>
    <row r="23" spans="1:38" ht="16.5" x14ac:dyDescent="0.3">
      <c r="A23" s="9">
        <v>22</v>
      </c>
      <c r="B23" s="100">
        <v>40</v>
      </c>
      <c r="C23"/>
      <c r="D23" s="10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</row>
    <row r="24" spans="1:38" ht="16.5" x14ac:dyDescent="0.3">
      <c r="A24" s="9">
        <v>23</v>
      </c>
      <c r="B24" s="100">
        <v>61</v>
      </c>
      <c r="C24"/>
      <c r="D24" s="10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</row>
    <row r="25" spans="1:38" ht="16.5" x14ac:dyDescent="0.3">
      <c r="A25" s="9">
        <v>24</v>
      </c>
      <c r="B25" s="100">
        <v>72</v>
      </c>
      <c r="C25"/>
      <c r="D25" s="10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</row>
    <row r="26" spans="1:38" ht="16.5" x14ac:dyDescent="0.3">
      <c r="A26" s="9">
        <v>25</v>
      </c>
      <c r="B26" s="100">
        <v>39</v>
      </c>
      <c r="C26"/>
      <c r="D26" s="10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38" ht="16.5" x14ac:dyDescent="0.3">
      <c r="A27" s="9">
        <v>26</v>
      </c>
      <c r="B27" s="100">
        <v>31</v>
      </c>
      <c r="C27"/>
      <c r="D27" s="10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</row>
    <row r="28" spans="1:38" ht="16.5" x14ac:dyDescent="0.3">
      <c r="A28" s="9">
        <v>27</v>
      </c>
      <c r="B28" s="100">
        <v>62</v>
      </c>
      <c r="C28"/>
      <c r="D28" s="10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</row>
    <row r="29" spans="1:38" ht="16.5" x14ac:dyDescent="0.3">
      <c r="A29" s="9">
        <v>28</v>
      </c>
      <c r="B29" s="100">
        <v>48</v>
      </c>
      <c r="C29"/>
      <c r="D29" s="10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</row>
    <row r="30" spans="1:38" ht="15" x14ac:dyDescent="0.25">
      <c r="C30"/>
      <c r="D30" s="10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</row>
    <row r="31" spans="1:38" ht="15" x14ac:dyDescent="0.25">
      <c r="A31"/>
      <c r="B31"/>
      <c r="C31"/>
      <c r="D31" s="10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</row>
    <row r="32" spans="1:38" ht="15" x14ac:dyDescent="0.25">
      <c r="A32"/>
      <c r="B32"/>
      <c r="C32"/>
      <c r="D32" s="10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</row>
    <row r="33" spans="1:38" ht="15" x14ac:dyDescent="0.25">
      <c r="A33"/>
      <c r="B33"/>
      <c r="C33"/>
      <c r="D33" s="10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</row>
    <row r="34" spans="1:38" ht="15" x14ac:dyDescent="0.25">
      <c r="A34"/>
      <c r="B34"/>
      <c r="C34"/>
      <c r="D34" s="10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</row>
    <row r="35" spans="1:38" ht="16.5" x14ac:dyDescent="0.3">
      <c r="A35"/>
      <c r="B35"/>
      <c r="C35"/>
      <c r="D35" s="166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</row>
    <row r="36" spans="1:38" ht="16.5" x14ac:dyDescent="0.3">
      <c r="A36"/>
      <c r="B36"/>
      <c r="C36"/>
      <c r="D36" s="166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</row>
    <row r="37" spans="1:38" ht="16.5" x14ac:dyDescent="0.3">
      <c r="A37"/>
      <c r="B37"/>
      <c r="C37"/>
      <c r="D37" s="166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</row>
    <row r="38" spans="1:38" ht="16.5" x14ac:dyDescent="0.3">
      <c r="A38"/>
      <c r="B38"/>
      <c r="C38"/>
      <c r="D38" s="166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</row>
    <row r="39" spans="1:38" ht="16.5" x14ac:dyDescent="0.3">
      <c r="A39"/>
      <c r="B39"/>
      <c r="C39"/>
      <c r="D39" s="166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</row>
    <row r="40" spans="1:38" ht="16.5" x14ac:dyDescent="0.3">
      <c r="A40"/>
      <c r="B40"/>
      <c r="C40"/>
      <c r="D40" s="166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</row>
    <row r="41" spans="1:38" ht="16.5" x14ac:dyDescent="0.3">
      <c r="A41"/>
      <c r="B41"/>
      <c r="C41"/>
      <c r="D41" s="166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</row>
    <row r="42" spans="1:38" ht="16.5" x14ac:dyDescent="0.3">
      <c r="A42"/>
      <c r="B42"/>
      <c r="C42"/>
      <c r="D42" s="166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</row>
    <row r="43" spans="1:38" ht="16.5" x14ac:dyDescent="0.3">
      <c r="A43"/>
      <c r="B43"/>
      <c r="C43"/>
      <c r="D43" s="166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</row>
    <row r="44" spans="1:38" ht="16.5" x14ac:dyDescent="0.3">
      <c r="A44"/>
      <c r="B44"/>
      <c r="C44"/>
      <c r="D44" s="166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</row>
    <row r="45" spans="1:38" ht="16.5" x14ac:dyDescent="0.3">
      <c r="A45"/>
      <c r="B45"/>
      <c r="C45"/>
      <c r="D45" s="166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</row>
    <row r="46" spans="1:38" ht="16.5" x14ac:dyDescent="0.3">
      <c r="A46"/>
      <c r="B46"/>
      <c r="C46"/>
      <c r="D46" s="166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</row>
    <row r="47" spans="1:38" ht="16.5" x14ac:dyDescent="0.3">
      <c r="A47"/>
      <c r="B47"/>
      <c r="C47"/>
      <c r="D47" s="166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</row>
    <row r="48" spans="1:38" ht="16.5" x14ac:dyDescent="0.3">
      <c r="A48"/>
      <c r="B48"/>
      <c r="C48"/>
      <c r="D48" s="166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</row>
    <row r="49" spans="1:38" ht="16.5" x14ac:dyDescent="0.3">
      <c r="A49"/>
      <c r="B49"/>
      <c r="C49"/>
      <c r="D49" s="166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</row>
    <row r="50" spans="1:38" ht="16.5" x14ac:dyDescent="0.3">
      <c r="A50"/>
      <c r="B50"/>
      <c r="C50"/>
      <c r="D50" s="166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</row>
    <row r="51" spans="1:38" ht="16.5" x14ac:dyDescent="0.3">
      <c r="A51"/>
      <c r="B51"/>
      <c r="C51"/>
      <c r="D51" s="166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</row>
    <row r="52" spans="1:38" ht="16.5" x14ac:dyDescent="0.3">
      <c r="A52"/>
      <c r="B52"/>
      <c r="C52"/>
      <c r="D52" s="166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</row>
    <row r="53" spans="1:38" ht="16.5" x14ac:dyDescent="0.3">
      <c r="A53"/>
      <c r="B53"/>
      <c r="C53"/>
      <c r="D53" s="166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</row>
    <row r="54" spans="1:38" ht="16.5" x14ac:dyDescent="0.3">
      <c r="A54"/>
      <c r="B54"/>
      <c r="C54"/>
      <c r="D54" s="166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</row>
    <row r="55" spans="1:38" ht="16.5" x14ac:dyDescent="0.3">
      <c r="A55"/>
      <c r="B55"/>
      <c r="C55"/>
      <c r="D55" s="166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</row>
    <row r="56" spans="1:38" ht="16.5" x14ac:dyDescent="0.3">
      <c r="A56"/>
      <c r="B56"/>
      <c r="C56"/>
      <c r="D56" s="166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</row>
    <row r="57" spans="1:38" ht="16.5" x14ac:dyDescent="0.3">
      <c r="A57"/>
      <c r="B57"/>
      <c r="C57"/>
      <c r="D57" s="166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</row>
    <row r="58" spans="1:38" ht="16.5" x14ac:dyDescent="0.3">
      <c r="A58"/>
      <c r="B58"/>
      <c r="C58"/>
      <c r="D58" s="166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</row>
    <row r="59" spans="1:38" ht="16.5" x14ac:dyDescent="0.3">
      <c r="A59"/>
      <c r="B59"/>
      <c r="C59"/>
      <c r="D59" s="166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</row>
    <row r="60" spans="1:38" ht="16.5" x14ac:dyDescent="0.3">
      <c r="A60"/>
      <c r="B60"/>
      <c r="C60"/>
      <c r="D60" s="166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</row>
    <row r="61" spans="1:38" ht="16.5" x14ac:dyDescent="0.3">
      <c r="A61"/>
      <c r="B61"/>
      <c r="C61"/>
      <c r="D61" s="166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</row>
    <row r="62" spans="1:38" ht="16.5" x14ac:dyDescent="0.3">
      <c r="A62"/>
      <c r="B62"/>
      <c r="C62"/>
      <c r="D62" s="166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</row>
    <row r="63" spans="1:38" ht="15" x14ac:dyDescent="0.25">
      <c r="A63"/>
      <c r="B63"/>
      <c r="C6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</row>
    <row r="64" spans="1:38" ht="15" x14ac:dyDescent="0.25">
      <c r="A64"/>
      <c r="B64"/>
      <c r="C6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</row>
    <row r="65" spans="1:38" ht="15" x14ac:dyDescent="0.25">
      <c r="A65"/>
      <c r="B65"/>
      <c r="C65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</row>
    <row r="66" spans="1:38" ht="15" x14ac:dyDescent="0.25">
      <c r="A66"/>
      <c r="B66"/>
      <c r="C66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</row>
    <row r="67" spans="1:38" ht="15" x14ac:dyDescent="0.25">
      <c r="A67"/>
      <c r="B67"/>
      <c r="C67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</row>
    <row r="68" spans="1:38" ht="15" x14ac:dyDescent="0.25">
      <c r="A68"/>
      <c r="B68"/>
      <c r="C68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</row>
    <row r="69" spans="1:38" ht="15" x14ac:dyDescent="0.25">
      <c r="A69"/>
      <c r="B69"/>
      <c r="C69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</row>
    <row r="70" spans="1:38" ht="15" x14ac:dyDescent="0.25">
      <c r="A70"/>
      <c r="B70"/>
      <c r="C70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</row>
    <row r="71" spans="1:38" ht="15" x14ac:dyDescent="0.25">
      <c r="A71"/>
      <c r="B71"/>
      <c r="C71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</row>
    <row r="72" spans="1:38" ht="15" x14ac:dyDescent="0.25">
      <c r="A72"/>
      <c r="B72"/>
      <c r="C7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</row>
    <row r="73" spans="1:38" ht="15" x14ac:dyDescent="0.25">
      <c r="A73"/>
      <c r="B73"/>
      <c r="C7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</row>
    <row r="74" spans="1:38" ht="15" x14ac:dyDescent="0.25">
      <c r="A74"/>
      <c r="B74"/>
      <c r="C74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</row>
    <row r="75" spans="1:38" ht="15" x14ac:dyDescent="0.25">
      <c r="A75"/>
      <c r="B75"/>
      <c r="C75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</row>
    <row r="76" spans="1:38" ht="15" x14ac:dyDescent="0.25">
      <c r="A76"/>
      <c r="B76"/>
      <c r="C76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</row>
    <row r="77" spans="1:38" ht="15" x14ac:dyDescent="0.25">
      <c r="A77"/>
      <c r="B77"/>
      <c r="C77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</row>
    <row r="78" spans="1:38" ht="16.5" x14ac:dyDescent="0.3">
      <c r="A78"/>
      <c r="B78"/>
      <c r="C78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</row>
    <row r="79" spans="1:38" ht="16.5" x14ac:dyDescent="0.3">
      <c r="A79"/>
      <c r="B79"/>
      <c r="C79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</row>
    <row r="80" spans="1:38" ht="16.5" x14ac:dyDescent="0.3">
      <c r="A80"/>
      <c r="B80"/>
      <c r="C80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</row>
    <row r="81" spans="1:38" ht="16.5" x14ac:dyDescent="0.3">
      <c r="A81"/>
      <c r="B81"/>
      <c r="C81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</row>
    <row r="82" spans="1:38" ht="16.5" x14ac:dyDescent="0.3">
      <c r="A82"/>
      <c r="B82"/>
      <c r="C82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</row>
    <row r="83" spans="1:38" ht="16.5" x14ac:dyDescent="0.3">
      <c r="A83"/>
      <c r="B83"/>
      <c r="C8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</row>
    <row r="84" spans="1:38" ht="16.5" x14ac:dyDescent="0.3">
      <c r="A84"/>
      <c r="B84"/>
      <c r="C84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</row>
    <row r="85" spans="1:38" ht="16.5" x14ac:dyDescent="0.3">
      <c r="A85"/>
      <c r="B85"/>
      <c r="C85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</row>
    <row r="86" spans="1:38" ht="16.5" x14ac:dyDescent="0.3">
      <c r="A86"/>
      <c r="B86"/>
      <c r="C86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</row>
    <row r="87" spans="1:38" ht="16.5" x14ac:dyDescent="0.3">
      <c r="A87"/>
      <c r="B87"/>
      <c r="C87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</row>
    <row r="88" spans="1:38" ht="16.5" x14ac:dyDescent="0.3">
      <c r="A88"/>
      <c r="B88"/>
      <c r="C88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</row>
    <row r="89" spans="1:38" ht="16.5" x14ac:dyDescent="0.3">
      <c r="A89"/>
      <c r="B89"/>
      <c r="C89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</row>
    <row r="90" spans="1:38" ht="15" x14ac:dyDescent="0.25">
      <c r="A90"/>
      <c r="B90"/>
      <c r="C90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</row>
    <row r="91" spans="1:38" ht="15" x14ac:dyDescent="0.25">
      <c r="A91"/>
      <c r="B91"/>
      <c r="C91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</row>
    <row r="92" spans="1:38" ht="15" x14ac:dyDescent="0.25">
      <c r="A92"/>
      <c r="B92"/>
      <c r="C92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</row>
    <row r="93" spans="1:38" ht="15" x14ac:dyDescent="0.25">
      <c r="A93"/>
      <c r="B93"/>
      <c r="C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</row>
    <row r="94" spans="1:38" ht="15" x14ac:dyDescent="0.25">
      <c r="A94"/>
      <c r="B94"/>
      <c r="C94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</row>
    <row r="95" spans="1:38" ht="15" x14ac:dyDescent="0.25">
      <c r="A95"/>
      <c r="B95"/>
      <c r="C95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</row>
    <row r="96" spans="1:38" ht="15" x14ac:dyDescent="0.25">
      <c r="A96"/>
      <c r="B96"/>
      <c r="C96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</row>
    <row r="97" spans="1:38" ht="15" x14ac:dyDescent="0.25">
      <c r="A97"/>
      <c r="B97"/>
      <c r="C97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</row>
    <row r="98" spans="1:38" ht="15" x14ac:dyDescent="0.25">
      <c r="A98"/>
      <c r="B98"/>
      <c r="C98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</row>
    <row r="99" spans="1:38" ht="15" x14ac:dyDescent="0.25">
      <c r="A99"/>
      <c r="B99"/>
      <c r="C99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</row>
    <row r="100" spans="1:38" ht="15" x14ac:dyDescent="0.25">
      <c r="A100"/>
      <c r="B100"/>
      <c r="C100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</row>
    <row r="101" spans="1:38" ht="15" x14ac:dyDescent="0.25">
      <c r="A101"/>
      <c r="B101"/>
      <c r="C101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</row>
    <row r="102" spans="1:38" ht="15" x14ac:dyDescent="0.25">
      <c r="A102"/>
      <c r="B102"/>
      <c r="C10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</row>
    <row r="103" spans="1:38" ht="15" x14ac:dyDescent="0.25">
      <c r="A103"/>
      <c r="B103"/>
      <c r="C10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</row>
    <row r="104" spans="1:38" ht="15" x14ac:dyDescent="0.25">
      <c r="A104"/>
      <c r="B104"/>
      <c r="C10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</row>
    <row r="105" spans="1:38" ht="15" x14ac:dyDescent="0.25">
      <c r="A105"/>
      <c r="B105"/>
      <c r="C105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</row>
    <row r="106" spans="1:38" ht="15" x14ac:dyDescent="0.25">
      <c r="A106"/>
      <c r="B106"/>
      <c r="C106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</row>
    <row r="107" spans="1:38" ht="15" x14ac:dyDescent="0.25">
      <c r="A107"/>
      <c r="B107"/>
      <c r="C107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</row>
    <row r="108" spans="1:38" ht="15" x14ac:dyDescent="0.25">
      <c r="A108"/>
      <c r="B108"/>
      <c r="C108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</row>
    <row r="109" spans="1:38" ht="15" x14ac:dyDescent="0.25">
      <c r="A109"/>
      <c r="B109"/>
      <c r="C109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</row>
    <row r="110" spans="1:38" ht="15" x14ac:dyDescent="0.25">
      <c r="A110"/>
      <c r="B110"/>
      <c r="C110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</row>
    <row r="111" spans="1:38" ht="15" x14ac:dyDescent="0.25">
      <c r="A111"/>
      <c r="B111"/>
      <c r="C111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</row>
    <row r="112" spans="1:38" ht="15" x14ac:dyDescent="0.25">
      <c r="A112"/>
      <c r="B112"/>
      <c r="C11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</row>
    <row r="113" spans="1:38" ht="15" x14ac:dyDescent="0.25">
      <c r="A113"/>
      <c r="B113"/>
      <c r="C11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</row>
    <row r="114" spans="1:38" ht="15" x14ac:dyDescent="0.25">
      <c r="A114"/>
      <c r="B114"/>
      <c r="C11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</row>
    <row r="115" spans="1:38" ht="15" x14ac:dyDescent="0.25">
      <c r="A115"/>
      <c r="B115"/>
      <c r="C115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</row>
    <row r="116" spans="1:38" ht="15" x14ac:dyDescent="0.25">
      <c r="A116"/>
      <c r="B116"/>
      <c r="C116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</row>
    <row r="117" spans="1:38" ht="15" x14ac:dyDescent="0.25">
      <c r="A117"/>
      <c r="B117"/>
      <c r="C117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</row>
    <row r="118" spans="1:38" ht="15" x14ac:dyDescent="0.25">
      <c r="A118"/>
      <c r="B118"/>
      <c r="C118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</row>
    <row r="119" spans="1:38" ht="15" x14ac:dyDescent="0.25">
      <c r="A119"/>
      <c r="B119"/>
      <c r="C119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</row>
    <row r="120" spans="1:38" ht="15" x14ac:dyDescent="0.25">
      <c r="A120"/>
      <c r="B120"/>
      <c r="C120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</row>
    <row r="121" spans="1:38" ht="15" x14ac:dyDescent="0.25">
      <c r="A121"/>
      <c r="B121"/>
      <c r="C121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</row>
    <row r="122" spans="1:38" ht="15" x14ac:dyDescent="0.25">
      <c r="A122"/>
      <c r="B122"/>
      <c r="C12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</row>
    <row r="123" spans="1:38" ht="15" x14ac:dyDescent="0.25">
      <c r="A123"/>
      <c r="B123"/>
      <c r="C12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</row>
    <row r="124" spans="1:38" ht="15" x14ac:dyDescent="0.25">
      <c r="A124"/>
      <c r="B124"/>
      <c r="C12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</row>
    <row r="125" spans="1:38" ht="15" x14ac:dyDescent="0.25">
      <c r="A125"/>
      <c r="B125"/>
      <c r="C125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</row>
    <row r="126" spans="1:38" ht="16.5" x14ac:dyDescent="0.3">
      <c r="A126"/>
      <c r="B126"/>
      <c r="C126"/>
      <c r="D126" s="166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</row>
    <row r="127" spans="1:38" ht="16.5" x14ac:dyDescent="0.3">
      <c r="A127"/>
      <c r="B127"/>
      <c r="C127"/>
      <c r="D127" s="166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</row>
    <row r="128" spans="1:38" ht="16.5" x14ac:dyDescent="0.3">
      <c r="A128"/>
      <c r="B128"/>
      <c r="C128"/>
      <c r="D128" s="166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</row>
    <row r="129" spans="1:38" ht="16.5" x14ac:dyDescent="0.3">
      <c r="A129"/>
      <c r="B129"/>
      <c r="C129"/>
      <c r="D129" s="166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</row>
    <row r="130" spans="1:38" ht="16.5" x14ac:dyDescent="0.3">
      <c r="A130"/>
      <c r="B130"/>
      <c r="C130"/>
      <c r="D130" s="166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</row>
    <row r="131" spans="1:38" ht="16.5" x14ac:dyDescent="0.3">
      <c r="A131"/>
      <c r="B131"/>
      <c r="C131"/>
      <c r="D131" s="166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</row>
    <row r="132" spans="1:38" ht="16.5" x14ac:dyDescent="0.3">
      <c r="A132"/>
      <c r="B132"/>
      <c r="C132"/>
      <c r="D132" s="166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</row>
    <row r="133" spans="1:38" ht="16.5" x14ac:dyDescent="0.3">
      <c r="A133"/>
      <c r="B133"/>
      <c r="C133"/>
      <c r="D133" s="166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</row>
    <row r="134" spans="1:38" ht="16.5" x14ac:dyDescent="0.3">
      <c r="A134"/>
      <c r="B134"/>
      <c r="C134"/>
      <c r="D134" s="166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</row>
    <row r="135" spans="1:38" ht="16.5" x14ac:dyDescent="0.3">
      <c r="A135"/>
      <c r="B135"/>
      <c r="C135"/>
      <c r="D135" s="166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</row>
    <row r="136" spans="1:38" ht="16.5" x14ac:dyDescent="0.3">
      <c r="A136"/>
      <c r="B136"/>
      <c r="C136"/>
      <c r="D136" s="166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</row>
    <row r="137" spans="1:38" ht="16.5" x14ac:dyDescent="0.3">
      <c r="A137"/>
      <c r="B137"/>
      <c r="C137"/>
      <c r="D137" s="166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</row>
    <row r="138" spans="1:38" ht="16.5" x14ac:dyDescent="0.3">
      <c r="A138"/>
      <c r="B138"/>
      <c r="C138"/>
      <c r="D138" s="166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</row>
    <row r="139" spans="1:38" ht="16.5" x14ac:dyDescent="0.3">
      <c r="A139"/>
      <c r="B139"/>
      <c r="C139"/>
      <c r="D139" s="166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</row>
    <row r="140" spans="1:38" ht="16.5" x14ac:dyDescent="0.3">
      <c r="A140"/>
      <c r="B140"/>
      <c r="C140"/>
      <c r="D140" s="166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</row>
    <row r="141" spans="1:38" ht="16.5" x14ac:dyDescent="0.3">
      <c r="A141"/>
      <c r="B141"/>
      <c r="C141"/>
      <c r="D141" s="166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</row>
    <row r="142" spans="1:38" ht="16.5" x14ac:dyDescent="0.3">
      <c r="A142"/>
      <c r="B142"/>
      <c r="C142"/>
      <c r="D142" s="166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</row>
    <row r="143" spans="1:38" ht="16.5" x14ac:dyDescent="0.3">
      <c r="A143"/>
      <c r="B143"/>
      <c r="C143"/>
      <c r="D143" s="166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</row>
    <row r="144" spans="1:38" ht="16.5" x14ac:dyDescent="0.3">
      <c r="A144"/>
      <c r="B144"/>
      <c r="C144"/>
      <c r="D144" s="166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</row>
    <row r="145" spans="1:38" ht="16.5" x14ac:dyDescent="0.3">
      <c r="A145"/>
      <c r="B145"/>
      <c r="C145"/>
      <c r="D145" s="166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</row>
    <row r="146" spans="1:38" ht="16.5" x14ac:dyDescent="0.3">
      <c r="A146"/>
      <c r="B146"/>
      <c r="C146"/>
      <c r="D146" s="16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</row>
    <row r="147" spans="1:38" ht="16.5" x14ac:dyDescent="0.3">
      <c r="A147"/>
      <c r="B147"/>
      <c r="C147"/>
      <c r="D147" s="166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</row>
    <row r="148" spans="1:38" ht="16.5" x14ac:dyDescent="0.3">
      <c r="A148"/>
      <c r="B148"/>
      <c r="C148"/>
      <c r="D148" s="166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</row>
    <row r="149" spans="1:38" ht="16.5" x14ac:dyDescent="0.3">
      <c r="A149"/>
      <c r="B149"/>
      <c r="C149"/>
      <c r="D149" s="166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</row>
    <row r="150" spans="1:38" ht="16.5" x14ac:dyDescent="0.3">
      <c r="A150"/>
      <c r="B150"/>
      <c r="C150"/>
      <c r="D150" s="166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</row>
    <row r="151" spans="1:38" ht="16.5" x14ac:dyDescent="0.3">
      <c r="A151"/>
      <c r="B151"/>
      <c r="C151"/>
      <c r="D151" s="166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</row>
    <row r="152" spans="1:38" ht="16.5" x14ac:dyDescent="0.3">
      <c r="A152"/>
      <c r="B152"/>
      <c r="C152"/>
      <c r="D152" s="166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</row>
    <row r="153" spans="1:38" ht="16.5" x14ac:dyDescent="0.3">
      <c r="A153"/>
      <c r="B153"/>
      <c r="C153"/>
      <c r="D153" s="166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</row>
    <row r="154" spans="1:38" ht="16.5" x14ac:dyDescent="0.3">
      <c r="A154"/>
      <c r="B154"/>
      <c r="C154"/>
      <c r="D154" s="16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</row>
    <row r="155" spans="1:38" ht="16.5" x14ac:dyDescent="0.3">
      <c r="A155"/>
      <c r="B155"/>
      <c r="C155"/>
      <c r="D155" s="166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</row>
    <row r="156" spans="1:38" ht="16.5" x14ac:dyDescent="0.3">
      <c r="A156"/>
      <c r="B156"/>
      <c r="C156"/>
      <c r="D156" s="16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</row>
    <row r="157" spans="1:38" ht="16.5" x14ac:dyDescent="0.3">
      <c r="A157"/>
      <c r="B157"/>
      <c r="C157"/>
      <c r="D157" s="166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</row>
    <row r="158" spans="1:38" ht="16.5" x14ac:dyDescent="0.3">
      <c r="A158"/>
      <c r="B158"/>
      <c r="C158"/>
      <c r="D158" s="16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</row>
    <row r="159" spans="1:38" ht="16.5" x14ac:dyDescent="0.3">
      <c r="A159"/>
      <c r="B159"/>
      <c r="C159"/>
      <c r="D159" s="166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</row>
    <row r="160" spans="1:38" ht="16.5" x14ac:dyDescent="0.3">
      <c r="A160"/>
      <c r="B160"/>
      <c r="C160"/>
      <c r="D160" s="166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</row>
    <row r="161" spans="1:38" ht="16.5" x14ac:dyDescent="0.3">
      <c r="A161"/>
      <c r="B161"/>
      <c r="C161"/>
      <c r="D161" s="166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</row>
    <row r="162" spans="1:38" ht="16.5" x14ac:dyDescent="0.3">
      <c r="A162"/>
      <c r="B162"/>
      <c r="C162"/>
      <c r="D162" s="166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</row>
    <row r="163" spans="1:38" ht="16.5" x14ac:dyDescent="0.3">
      <c r="A163"/>
      <c r="B163"/>
      <c r="C163"/>
      <c r="D163" s="166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</row>
    <row r="164" spans="1:38" ht="16.5" x14ac:dyDescent="0.3">
      <c r="A164"/>
      <c r="B164"/>
      <c r="C164"/>
      <c r="D164" s="166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</row>
    <row r="165" spans="1:38" ht="16.5" x14ac:dyDescent="0.3">
      <c r="A165"/>
      <c r="B165"/>
      <c r="C165"/>
      <c r="D165" s="166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</row>
    <row r="166" spans="1:38" ht="16.5" x14ac:dyDescent="0.3">
      <c r="A166"/>
      <c r="B166"/>
      <c r="C166"/>
      <c r="D166" s="166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</row>
    <row r="167" spans="1:38" ht="16.5" x14ac:dyDescent="0.3">
      <c r="A167"/>
      <c r="B167"/>
      <c r="C167"/>
      <c r="D167" s="166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</row>
    <row r="168" spans="1:38" ht="16.5" x14ac:dyDescent="0.3">
      <c r="A168"/>
      <c r="B168"/>
      <c r="C168"/>
      <c r="D168" s="16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</row>
    <row r="169" spans="1:38" ht="16.5" x14ac:dyDescent="0.3">
      <c r="A169"/>
      <c r="B169"/>
      <c r="C169"/>
      <c r="D169" s="166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</row>
    <row r="170" spans="1:38" ht="16.5" x14ac:dyDescent="0.3">
      <c r="A170"/>
      <c r="B170"/>
      <c r="C170"/>
      <c r="D170" s="16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</row>
    <row r="171" spans="1:38" ht="16.5" x14ac:dyDescent="0.3">
      <c r="A171"/>
      <c r="B171"/>
      <c r="C171"/>
      <c r="D171" s="166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</row>
    <row r="172" spans="1:38" ht="16.5" x14ac:dyDescent="0.3">
      <c r="A172"/>
      <c r="B172"/>
      <c r="C172"/>
      <c r="D172" s="166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</row>
    <row r="173" spans="1:38" ht="16.5" x14ac:dyDescent="0.3">
      <c r="A173"/>
      <c r="B173"/>
      <c r="C173"/>
      <c r="D173" s="166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</row>
    <row r="174" spans="1:38" ht="16.5" x14ac:dyDescent="0.3">
      <c r="A174"/>
      <c r="B174"/>
      <c r="C174"/>
      <c r="D174" s="166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</row>
    <row r="175" spans="1:38" ht="16.5" x14ac:dyDescent="0.3">
      <c r="A175"/>
      <c r="B175"/>
      <c r="C175"/>
      <c r="D175" s="166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</row>
    <row r="176" spans="1:38" ht="16.5" x14ac:dyDescent="0.3">
      <c r="A176"/>
      <c r="B176"/>
      <c r="C176"/>
      <c r="D176" s="166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</row>
    <row r="177" spans="1:38" ht="16.5" x14ac:dyDescent="0.3">
      <c r="A177"/>
      <c r="B177"/>
      <c r="C177"/>
      <c r="D177" s="166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</row>
    <row r="178" spans="1:38" ht="16.5" x14ac:dyDescent="0.3">
      <c r="A178"/>
      <c r="B178"/>
      <c r="C178"/>
      <c r="D178" s="166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</row>
    <row r="179" spans="1:38" ht="16.5" x14ac:dyDescent="0.3">
      <c r="A179"/>
      <c r="B179"/>
      <c r="C179"/>
      <c r="D179" s="166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</row>
    <row r="180" spans="1:38" ht="16.5" x14ac:dyDescent="0.3">
      <c r="A180"/>
      <c r="B180"/>
      <c r="C180"/>
      <c r="D180" s="166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</row>
    <row r="181" spans="1:38" ht="16.5" x14ac:dyDescent="0.3">
      <c r="A181"/>
      <c r="B181"/>
      <c r="C181"/>
      <c r="D181" s="16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</row>
    <row r="182" spans="1:38" ht="15" x14ac:dyDescent="0.25">
      <c r="A182"/>
      <c r="B182"/>
      <c r="C18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</row>
    <row r="183" spans="1:38" ht="15" x14ac:dyDescent="0.25">
      <c r="A183"/>
      <c r="B183"/>
      <c r="C18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</row>
    <row r="184" spans="1:38" ht="15" x14ac:dyDescent="0.25">
      <c r="A184"/>
      <c r="B184"/>
      <c r="C18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</row>
    <row r="185" spans="1:38" ht="15" x14ac:dyDescent="0.25">
      <c r="A185"/>
      <c r="B185"/>
      <c r="C185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</row>
    <row r="186" spans="1:38" ht="15" x14ac:dyDescent="0.25">
      <c r="A186"/>
      <c r="B186"/>
      <c r="C186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</row>
    <row r="187" spans="1:38" ht="15" x14ac:dyDescent="0.25">
      <c r="A187"/>
      <c r="B187"/>
      <c r="C187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</row>
    <row r="188" spans="1:38" ht="15" x14ac:dyDescent="0.25">
      <c r="A188"/>
      <c r="B188"/>
      <c r="C188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</row>
    <row r="189" spans="1:38" ht="15" x14ac:dyDescent="0.25">
      <c r="A189"/>
      <c r="B189"/>
      <c r="C189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</row>
    <row r="190" spans="1:38" ht="15" x14ac:dyDescent="0.25">
      <c r="A190"/>
      <c r="B190"/>
      <c r="C190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</row>
    <row r="191" spans="1:38" ht="15" x14ac:dyDescent="0.25">
      <c r="A191"/>
      <c r="B191"/>
      <c r="C191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</row>
    <row r="192" spans="1:38" ht="15" x14ac:dyDescent="0.25">
      <c r="A192"/>
      <c r="B192"/>
      <c r="C1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</row>
    <row r="193" spans="1:38" ht="15" x14ac:dyDescent="0.25">
      <c r="A193"/>
      <c r="B193"/>
      <c r="C1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</row>
    <row r="194" spans="1:38" ht="15" x14ac:dyDescent="0.25">
      <c r="A194"/>
      <c r="B194"/>
      <c r="C19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</row>
    <row r="195" spans="1:38" ht="15" x14ac:dyDescent="0.25">
      <c r="A195"/>
      <c r="B195"/>
      <c r="C195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</row>
    <row r="196" spans="1:38" ht="15" x14ac:dyDescent="0.25">
      <c r="A196"/>
      <c r="B196"/>
      <c r="C196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</row>
    <row r="197" spans="1:38" ht="15" x14ac:dyDescent="0.25">
      <c r="A197"/>
      <c r="B197"/>
      <c r="C197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</row>
    <row r="198" spans="1:38" ht="15" x14ac:dyDescent="0.25">
      <c r="A198"/>
      <c r="B198"/>
      <c r="C198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</row>
    <row r="199" spans="1:38" ht="15" x14ac:dyDescent="0.25">
      <c r="A199"/>
      <c r="B199"/>
      <c r="C199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</row>
    <row r="200" spans="1:38" ht="15" x14ac:dyDescent="0.25">
      <c r="A200"/>
      <c r="B200"/>
      <c r="C200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</row>
    <row r="201" spans="1:38" ht="15" x14ac:dyDescent="0.25">
      <c r="A201"/>
      <c r="B201"/>
      <c r="C201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</row>
    <row r="202" spans="1:38" ht="15" x14ac:dyDescent="0.25">
      <c r="A202"/>
      <c r="B202"/>
      <c r="C20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</row>
    <row r="203" spans="1:38" ht="15" x14ac:dyDescent="0.25">
      <c r="A203"/>
      <c r="B203"/>
      <c r="C20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</row>
    <row r="204" spans="1:38" ht="15" x14ac:dyDescent="0.25">
      <c r="A204"/>
      <c r="B204"/>
      <c r="C20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</row>
    <row r="205" spans="1:38" ht="15" x14ac:dyDescent="0.25">
      <c r="A205"/>
      <c r="B205"/>
      <c r="C205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</row>
    <row r="206" spans="1:38" ht="15" x14ac:dyDescent="0.25">
      <c r="A206"/>
      <c r="B206"/>
      <c r="C206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</row>
    <row r="207" spans="1:38" ht="15" x14ac:dyDescent="0.25">
      <c r="A207"/>
      <c r="B207"/>
      <c r="C207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</row>
    <row r="208" spans="1:38" ht="15" x14ac:dyDescent="0.25">
      <c r="A208"/>
      <c r="B208"/>
      <c r="C208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</row>
    <row r="209" spans="1:38" ht="15" x14ac:dyDescent="0.25">
      <c r="A209"/>
      <c r="B209"/>
      <c r="C209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</row>
    <row r="210" spans="1:38" ht="15" x14ac:dyDescent="0.25">
      <c r="A210"/>
      <c r="B210"/>
      <c r="C210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</row>
    <row r="211" spans="1:38" ht="15" x14ac:dyDescent="0.25">
      <c r="A211"/>
      <c r="B211"/>
      <c r="C211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</row>
    <row r="212" spans="1:38" ht="15" x14ac:dyDescent="0.25">
      <c r="A212"/>
      <c r="B212"/>
      <c r="C21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</row>
    <row r="213" spans="1:38" ht="15" x14ac:dyDescent="0.25">
      <c r="A213"/>
      <c r="B213"/>
      <c r="C21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</row>
    <row r="214" spans="1:38" ht="15" x14ac:dyDescent="0.25">
      <c r="A214"/>
      <c r="B214"/>
      <c r="C21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</row>
    <row r="215" spans="1:38" ht="15" x14ac:dyDescent="0.25">
      <c r="A215"/>
      <c r="B215"/>
      <c r="C215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</row>
    <row r="216" spans="1:38" ht="15" x14ac:dyDescent="0.25">
      <c r="A216"/>
      <c r="B216"/>
      <c r="C216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</row>
    <row r="217" spans="1:38" ht="15" x14ac:dyDescent="0.25">
      <c r="A217"/>
      <c r="B217"/>
      <c r="C217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</row>
    <row r="218" spans="1:38" ht="15" x14ac:dyDescent="0.25">
      <c r="A218"/>
      <c r="B218"/>
      <c r="C218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</row>
    <row r="219" spans="1:38" ht="15" x14ac:dyDescent="0.25">
      <c r="A219"/>
      <c r="B219"/>
      <c r="C219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</row>
    <row r="220" spans="1:38" ht="15" x14ac:dyDescent="0.25">
      <c r="A220"/>
      <c r="B220"/>
      <c r="C220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</row>
    <row r="221" spans="1:38" ht="15" x14ac:dyDescent="0.25">
      <c r="A221"/>
      <c r="B221"/>
      <c r="C221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</row>
    <row r="222" spans="1:38" ht="15" x14ac:dyDescent="0.25">
      <c r="A222"/>
      <c r="B222"/>
      <c r="C22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</row>
    <row r="223" spans="1:38" ht="15" x14ac:dyDescent="0.25">
      <c r="A223"/>
      <c r="B223"/>
      <c r="C22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</row>
    <row r="224" spans="1:38" ht="15" x14ac:dyDescent="0.25">
      <c r="A224"/>
      <c r="B224"/>
      <c r="C22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</row>
    <row r="225" spans="1:38" ht="15" x14ac:dyDescent="0.25">
      <c r="A225"/>
      <c r="B225"/>
      <c r="C225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</row>
    <row r="226" spans="1:38" ht="15" x14ac:dyDescent="0.25">
      <c r="A226"/>
      <c r="B226"/>
      <c r="C226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</row>
    <row r="227" spans="1:38" ht="15" x14ac:dyDescent="0.25">
      <c r="A227"/>
      <c r="B227"/>
      <c r="C227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</row>
    <row r="228" spans="1:38" ht="15" x14ac:dyDescent="0.25">
      <c r="A228"/>
      <c r="B228"/>
      <c r="C228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</row>
    <row r="229" spans="1:38" ht="15" x14ac:dyDescent="0.25">
      <c r="A229"/>
      <c r="B229"/>
      <c r="C229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</row>
    <row r="230" spans="1:38" ht="15" x14ac:dyDescent="0.25">
      <c r="A230"/>
      <c r="B230"/>
      <c r="C230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</row>
    <row r="231" spans="1:38" ht="15" x14ac:dyDescent="0.25">
      <c r="A231"/>
      <c r="B231"/>
      <c r="C231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</row>
    <row r="232" spans="1:38" ht="15" x14ac:dyDescent="0.25">
      <c r="A232"/>
      <c r="B232"/>
      <c r="C23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</row>
    <row r="233" spans="1:38" ht="15" x14ac:dyDescent="0.25">
      <c r="A233"/>
      <c r="B233"/>
      <c r="C23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</row>
    <row r="234" spans="1:38" ht="15" x14ac:dyDescent="0.25">
      <c r="A234"/>
      <c r="B234"/>
      <c r="C23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</row>
    <row r="235" spans="1:38" ht="15" x14ac:dyDescent="0.25">
      <c r="A235"/>
      <c r="B235"/>
      <c r="C235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</row>
    <row r="236" spans="1:38" ht="15" x14ac:dyDescent="0.25">
      <c r="A236"/>
      <c r="B236"/>
      <c r="C236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</row>
    <row r="237" spans="1:38" ht="15" x14ac:dyDescent="0.25">
      <c r="A237"/>
      <c r="B237"/>
      <c r="C237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</row>
    <row r="238" spans="1:38" ht="15" x14ac:dyDescent="0.25">
      <c r="A238"/>
      <c r="B238"/>
      <c r="C238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</row>
    <row r="239" spans="1:38" ht="15" x14ac:dyDescent="0.25">
      <c r="A239"/>
      <c r="B239"/>
      <c r="C239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</row>
    <row r="240" spans="1:38" ht="15" x14ac:dyDescent="0.25">
      <c r="A240"/>
      <c r="B240"/>
      <c r="C240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</row>
    <row r="241" spans="1:38" ht="15" x14ac:dyDescent="0.25">
      <c r="A241"/>
      <c r="B241"/>
      <c r="C241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</row>
    <row r="242" spans="1:38" ht="15" x14ac:dyDescent="0.25">
      <c r="A242"/>
      <c r="B242"/>
      <c r="C24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</row>
    <row r="243" spans="1:38" ht="15" x14ac:dyDescent="0.25">
      <c r="A243"/>
      <c r="B243"/>
      <c r="C24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</row>
    <row r="244" spans="1:38" ht="15" x14ac:dyDescent="0.25">
      <c r="A244"/>
      <c r="B244"/>
      <c r="C244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</row>
    <row r="245" spans="1:38" ht="15" x14ac:dyDescent="0.25">
      <c r="A245"/>
      <c r="B245"/>
      <c r="C245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</row>
    <row r="246" spans="1:38" ht="15" x14ac:dyDescent="0.25">
      <c r="A246"/>
      <c r="B246"/>
      <c r="C246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</row>
    <row r="247" spans="1:38" ht="15" x14ac:dyDescent="0.25">
      <c r="A247"/>
      <c r="B247"/>
      <c r="C247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</row>
    <row r="248" spans="1:38" ht="15" x14ac:dyDescent="0.25">
      <c r="A248"/>
      <c r="B248"/>
      <c r="C248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</row>
    <row r="249" spans="1:38" ht="15" x14ac:dyDescent="0.25">
      <c r="A249"/>
      <c r="B249"/>
      <c r="C249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</row>
    <row r="250" spans="1:38" ht="15" x14ac:dyDescent="0.25">
      <c r="A250"/>
      <c r="B250"/>
      <c r="C250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</row>
    <row r="251" spans="1:38" ht="15" x14ac:dyDescent="0.25">
      <c r="A251"/>
      <c r="B251"/>
      <c r="C251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</row>
    <row r="252" spans="1:38" ht="15" x14ac:dyDescent="0.25">
      <c r="A252"/>
      <c r="B252"/>
      <c r="C25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</row>
    <row r="253" spans="1:38" ht="15" x14ac:dyDescent="0.25">
      <c r="A253"/>
      <c r="B253"/>
      <c r="C25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</row>
    <row r="254" spans="1:38" ht="15" x14ac:dyDescent="0.25">
      <c r="A254"/>
      <c r="B254"/>
      <c r="C25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</row>
    <row r="255" spans="1:38" ht="15" x14ac:dyDescent="0.25">
      <c r="A255"/>
      <c r="B255"/>
      <c r="C255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</row>
    <row r="256" spans="1:38" ht="15" x14ac:dyDescent="0.25">
      <c r="A256"/>
      <c r="B256"/>
      <c r="C256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B12" sqref="B12"/>
    </sheetView>
  </sheetViews>
  <sheetFormatPr defaultColWidth="9.140625" defaultRowHeight="15" x14ac:dyDescent="0.25"/>
  <cols>
    <col min="1" max="1" width="4.5703125" style="85" bestFit="1" customWidth="1"/>
    <col min="2" max="2" width="9.7109375" style="85" bestFit="1" customWidth="1"/>
    <col min="3" max="3" width="13" style="85" customWidth="1"/>
    <col min="4" max="4" width="8.7109375" style="85" customWidth="1"/>
    <col min="5" max="5" width="5.85546875" style="85" customWidth="1"/>
    <col min="6" max="6" width="9.7109375" style="85" customWidth="1"/>
    <col min="7" max="7" width="10.7109375" style="85" customWidth="1"/>
    <col min="8" max="8" width="7.28515625" style="85" customWidth="1"/>
    <col min="9" max="9" width="8.7109375" style="85" bestFit="1" customWidth="1"/>
    <col min="10" max="10" width="9.140625" style="85"/>
    <col min="11" max="11" width="12.140625" style="85" bestFit="1" customWidth="1"/>
    <col min="12" max="12" width="13.85546875" style="85" bestFit="1" customWidth="1"/>
    <col min="13" max="13" width="12.42578125" style="85" bestFit="1" customWidth="1"/>
    <col min="14" max="14" width="12.140625" style="85" bestFit="1" customWidth="1"/>
    <col min="15" max="18" width="9.28515625" style="85" bestFit="1" customWidth="1"/>
    <col min="19" max="20" width="9.140625" style="85"/>
    <col min="21" max="21" width="9.28515625" style="85" bestFit="1" customWidth="1"/>
    <col min="22" max="32" width="9.140625" style="85"/>
    <col min="33" max="33" width="9.140625" style="85" customWidth="1"/>
    <col min="34" max="36" width="9.140625" style="8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5"/>
  </cols>
  <sheetData>
    <row r="1" spans="1:43" customFormat="1" ht="15.75" thickBot="1" x14ac:dyDescent="0.3">
      <c r="J1" t="s">
        <v>118</v>
      </c>
      <c r="K1" s="139">
        <v>2.2929434185014169E-2</v>
      </c>
    </row>
    <row r="2" spans="1:43" ht="17.25" thickBot="1" x14ac:dyDescent="0.35">
      <c r="A2" s="89" t="s">
        <v>4</v>
      </c>
      <c r="B2" s="90" t="s">
        <v>106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</v>
      </c>
      <c r="I2" s="1" t="s">
        <v>116</v>
      </c>
      <c r="J2" s="1" t="s">
        <v>117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42">
        <v>1</v>
      </c>
      <c r="B3" s="100">
        <f>'1.StatFitPoissNorm'!B2</f>
        <v>50</v>
      </c>
      <c r="C3" s="1">
        <f>B3</f>
        <v>50</v>
      </c>
      <c r="D3" s="140">
        <f>B3-C3</f>
        <v>0</v>
      </c>
      <c r="E3" s="1">
        <f>ABS(D3)</f>
        <v>0</v>
      </c>
      <c r="F3" s="140">
        <f>D3^2</f>
        <v>0</v>
      </c>
      <c r="G3" s="140">
        <f>E3/B3</f>
        <v>0</v>
      </c>
      <c r="H3" s="140">
        <f>AVERAGE(E$3:E3)</f>
        <v>0</v>
      </c>
      <c r="I3" s="140">
        <f>AVERAGE(F$3:F3)</f>
        <v>0</v>
      </c>
      <c r="J3" s="140">
        <f>AVERAGE(G$3:G3)</f>
        <v>0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42">
        <v>2</v>
      </c>
      <c r="B4" s="100">
        <f>'1.StatFitPoissNorm'!B3</f>
        <v>25</v>
      </c>
      <c r="C4" s="140">
        <f>(1-$K$1)*C3+$K$1*B3</f>
        <v>50.000000000000007</v>
      </c>
      <c r="D4" s="140">
        <f t="shared" ref="D4:D30" si="0">B4-C4</f>
        <v>-25.000000000000007</v>
      </c>
      <c r="E4" s="1">
        <f t="shared" ref="E4:E30" si="1">ABS(D4)</f>
        <v>25.000000000000007</v>
      </c>
      <c r="F4" s="140">
        <f t="shared" ref="F4:F30" si="2">D4^2</f>
        <v>625.00000000000034</v>
      </c>
      <c r="G4" s="140">
        <f t="shared" ref="G4:G30" si="3">E4/B4</f>
        <v>1.0000000000000002</v>
      </c>
      <c r="H4" s="140">
        <f>AVERAGE(E$3:E4)</f>
        <v>12.500000000000004</v>
      </c>
      <c r="I4" s="140">
        <f>AVERAGE(F$3:F4)</f>
        <v>312.50000000000017</v>
      </c>
      <c r="J4" s="140">
        <f>AVERAGE(G$3:G4)</f>
        <v>0.50000000000000011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42">
        <v>3</v>
      </c>
      <c r="B5" s="100">
        <f>'1.StatFitPoissNorm'!B4</f>
        <v>33</v>
      </c>
      <c r="C5" s="140">
        <f t="shared" ref="C5:C31" si="4">(1-$K$1)*C4+$K$1*B4</f>
        <v>49.426764145374655</v>
      </c>
      <c r="D5" s="140">
        <f t="shared" si="0"/>
        <v>-16.426764145374655</v>
      </c>
      <c r="E5" s="1">
        <f t="shared" si="1"/>
        <v>16.426764145374655</v>
      </c>
      <c r="F5" s="140">
        <f t="shared" si="2"/>
        <v>269.83858028776632</v>
      </c>
      <c r="G5" s="140">
        <f t="shared" si="3"/>
        <v>0.49778073167801984</v>
      </c>
      <c r="H5" s="140">
        <f>AVERAGE(E$3:E5)</f>
        <v>13.808921381791555</v>
      </c>
      <c r="I5" s="140">
        <f>AVERAGE(F$3:F5)</f>
        <v>298.27952676258889</v>
      </c>
      <c r="J5" s="140">
        <f>AVERAGE(G$3:G5)</f>
        <v>0.49926024389267337</v>
      </c>
      <c r="K5"/>
      <c r="L5"/>
      <c r="M5" s="139">
        <f>J30</f>
        <v>0.27413096018056099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42">
        <v>4</v>
      </c>
      <c r="B6" s="100">
        <f>'1.StatFitPoissNorm'!B5</f>
        <v>72</v>
      </c>
      <c r="C6" s="140">
        <f t="shared" si="4"/>
        <v>49.05010773803054</v>
      </c>
      <c r="D6" s="140">
        <f t="shared" si="0"/>
        <v>22.94989226196946</v>
      </c>
      <c r="E6" s="1">
        <f t="shared" si="1"/>
        <v>22.94989226196946</v>
      </c>
      <c r="F6" s="140">
        <f t="shared" si="2"/>
        <v>526.69755483600568</v>
      </c>
      <c r="G6" s="140">
        <f t="shared" si="3"/>
        <v>0.31874850363846474</v>
      </c>
      <c r="H6" s="140">
        <f>AVERAGE(E$3:E6)</f>
        <v>16.094164101836029</v>
      </c>
      <c r="I6" s="140">
        <f>AVERAGE(F$3:F6)</f>
        <v>355.38403378094313</v>
      </c>
      <c r="J6" s="140">
        <f>AVERAGE(G$3:G6)</f>
        <v>0.4541323088291212</v>
      </c>
      <c r="K6"/>
      <c r="L6">
        <f>L3</f>
        <v>0.01</v>
      </c>
      <c r="M6">
        <f t="dataTable" ref="M6:M16" dt2D="0" dtr="0" r1="K1"/>
        <v>0.274155620971131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42">
        <v>5</v>
      </c>
      <c r="B7" s="100">
        <f>'1.StatFitPoissNorm'!B6</f>
        <v>67</v>
      </c>
      <c r="C7" s="140">
        <f t="shared" si="4"/>
        <v>49.576335782204538</v>
      </c>
      <c r="D7" s="140">
        <f t="shared" si="0"/>
        <v>17.423664217795462</v>
      </c>
      <c r="E7" s="1">
        <f t="shared" si="1"/>
        <v>17.423664217795462</v>
      </c>
      <c r="F7" s="140">
        <f t="shared" si="2"/>
        <v>303.58407477448594</v>
      </c>
      <c r="G7" s="140">
        <f t="shared" si="3"/>
        <v>0.26005468981784274</v>
      </c>
      <c r="H7" s="140">
        <f>AVERAGE(E$3:E7)</f>
        <v>16.360064125027915</v>
      </c>
      <c r="I7" s="140">
        <f>AVERAGE(F$3:F7)</f>
        <v>345.02404197965171</v>
      </c>
      <c r="J7" s="140">
        <f>AVERAGE(G$3:G7)</f>
        <v>0.41531678502686553</v>
      </c>
      <c r="K7"/>
      <c r="L7">
        <f>L6+L$4</f>
        <v>1.2E-2</v>
      </c>
      <c r="M7">
        <v>0.27415005395583492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42">
        <v>6</v>
      </c>
      <c r="B8" s="100">
        <f>'1.StatFitPoissNorm'!B7</f>
        <v>35</v>
      </c>
      <c r="C8" s="140">
        <f t="shared" si="4"/>
        <v>49.975850544148265</v>
      </c>
      <c r="D8" s="140">
        <f t="shared" si="0"/>
        <v>-14.975850544148265</v>
      </c>
      <c r="E8" s="1">
        <f t="shared" si="1"/>
        <v>14.975850544148265</v>
      </c>
      <c r="F8" s="140">
        <f t="shared" si="2"/>
        <v>224.27609952066589</v>
      </c>
      <c r="G8" s="140">
        <f t="shared" si="3"/>
        <v>0.42788144411852186</v>
      </c>
      <c r="H8" s="140">
        <f>AVERAGE(E$3:E8)</f>
        <v>16.129361861547974</v>
      </c>
      <c r="I8" s="140">
        <f>AVERAGE(F$3:F8)</f>
        <v>324.89938490315404</v>
      </c>
      <c r="J8" s="140">
        <f>AVERAGE(G$3:G8)</f>
        <v>0.41741089487547489</v>
      </c>
      <c r="K8"/>
      <c r="L8">
        <f t="shared" ref="L8:L16" si="5">L7+L$4</f>
        <v>1.4E-2</v>
      </c>
      <c r="M8">
        <v>0.27414540070220533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42">
        <v>7</v>
      </c>
      <c r="B9" s="100">
        <f>'1.StatFitPoissNorm'!B8</f>
        <v>42</v>
      </c>
      <c r="C9" s="140">
        <f t="shared" si="4"/>
        <v>49.632462764731606</v>
      </c>
      <c r="D9" s="140">
        <f t="shared" si="0"/>
        <v>-7.6324627647316063</v>
      </c>
      <c r="E9" s="1">
        <f t="shared" si="1"/>
        <v>7.6324627647316063</v>
      </c>
      <c r="F9" s="140">
        <f t="shared" si="2"/>
        <v>58.254487855014439</v>
      </c>
      <c r="G9" s="140">
        <f t="shared" si="3"/>
        <v>0.18172530392218111</v>
      </c>
      <c r="H9" s="140">
        <f>AVERAGE(E$3:E9)</f>
        <v>14.915519133431347</v>
      </c>
      <c r="I9" s="140">
        <f>AVERAGE(F$3:F9)</f>
        <v>286.80725675341984</v>
      </c>
      <c r="J9" s="140">
        <f>AVERAGE(G$3:G9)</f>
        <v>0.38374152473929002</v>
      </c>
      <c r="K9"/>
      <c r="L9">
        <f t="shared" si="5"/>
        <v>1.6E-2</v>
      </c>
      <c r="M9">
        <v>0.27414146446295334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42">
        <v>8</v>
      </c>
      <c r="B10" s="100">
        <f>'1.StatFitPoissNorm'!B9</f>
        <v>44</v>
      </c>
      <c r="C10" s="140">
        <f t="shared" si="4"/>
        <v>49.457454712098119</v>
      </c>
      <c r="D10" s="140">
        <f t="shared" si="0"/>
        <v>-5.4574547120981194</v>
      </c>
      <c r="E10" s="1">
        <f t="shared" si="1"/>
        <v>5.4574547120981194</v>
      </c>
      <c r="F10" s="140">
        <f t="shared" si="2"/>
        <v>29.783811934601967</v>
      </c>
      <c r="G10" s="140">
        <f t="shared" si="3"/>
        <v>0.12403306163859362</v>
      </c>
      <c r="H10" s="140">
        <f>AVERAGE(E$3:E10)</f>
        <v>13.733261080764695</v>
      </c>
      <c r="I10" s="140">
        <f>AVERAGE(F$3:F10)</f>
        <v>254.67932615106761</v>
      </c>
      <c r="J10" s="140">
        <f>AVERAGE(G$3:G10)</f>
        <v>0.35127796685170298</v>
      </c>
      <c r="K10"/>
      <c r="L10">
        <f t="shared" si="5"/>
        <v>1.8000000000000002E-2</v>
      </c>
      <c r="M10">
        <v>0.27413806476272762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42">
        <v>9</v>
      </c>
      <c r="B11" s="100">
        <f>'1.StatFitPoissNorm'!B10</f>
        <v>51</v>
      </c>
      <c r="C11" s="140">
        <f t="shared" si="4"/>
        <v>49.332318363459372</v>
      </c>
      <c r="D11" s="140">
        <f t="shared" si="0"/>
        <v>1.6676816365406282</v>
      </c>
      <c r="E11" s="1">
        <f t="shared" si="1"/>
        <v>1.6676816365406282</v>
      </c>
      <c r="F11" s="140">
        <f t="shared" si="2"/>
        <v>2.7811620408548277</v>
      </c>
      <c r="G11" s="140">
        <f t="shared" si="3"/>
        <v>3.2699639932169178E-2</v>
      </c>
      <c r="H11" s="140">
        <f>AVERAGE(E$3:E11)</f>
        <v>12.392641142517578</v>
      </c>
      <c r="I11" s="140">
        <f>AVERAGE(F$3:F11)</f>
        <v>226.69064124993284</v>
      </c>
      <c r="J11" s="140">
        <f>AVERAGE(G$3:G11)</f>
        <v>0.31588037497175475</v>
      </c>
      <c r="K11"/>
      <c r="L11">
        <f t="shared" si="5"/>
        <v>2.0000000000000004E-2</v>
      </c>
      <c r="M11">
        <v>0.27413503643983356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42">
        <v>10</v>
      </c>
      <c r="B12" s="100">
        <f>'1.StatFitPoissNorm'!B11</f>
        <v>39</v>
      </c>
      <c r="C12" s="140">
        <f t="shared" si="4"/>
        <v>49.370557359785984</v>
      </c>
      <c r="D12" s="140">
        <f t="shared" si="0"/>
        <v>-10.370557359785984</v>
      </c>
      <c r="E12" s="1">
        <f t="shared" si="1"/>
        <v>10.370557359785984</v>
      </c>
      <c r="F12" s="140">
        <f t="shared" si="2"/>
        <v>107.54845995261124</v>
      </c>
      <c r="G12" s="140">
        <f t="shared" si="3"/>
        <v>0.26591172717399958</v>
      </c>
      <c r="H12" s="140">
        <f>AVERAGE(E$3:E12)</f>
        <v>12.190432764244417</v>
      </c>
      <c r="I12" s="140">
        <f>AVERAGE(F$3:F12)</f>
        <v>214.77642312020072</v>
      </c>
      <c r="J12" s="140">
        <f>AVERAGE(G$3:G12)</f>
        <v>0.31088351019197924</v>
      </c>
      <c r="K12"/>
      <c r="L12">
        <f t="shared" si="5"/>
        <v>2.2000000000000006E-2</v>
      </c>
      <c r="M12">
        <v>0.27413222873619675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42">
        <v>11</v>
      </c>
      <c r="B13" s="100">
        <f>'1.StatFitPoissNorm'!B12</f>
        <v>46</v>
      </c>
      <c r="C13" s="140">
        <f t="shared" si="4"/>
        <v>49.132766347342859</v>
      </c>
      <c r="D13" s="140">
        <f t="shared" si="0"/>
        <v>-3.1327663473428586</v>
      </c>
      <c r="E13" s="1">
        <f t="shared" si="1"/>
        <v>3.1327663473428586</v>
      </c>
      <c r="F13" s="140">
        <f t="shared" si="2"/>
        <v>9.8142249870439162</v>
      </c>
      <c r="G13" s="140">
        <f t="shared" si="3"/>
        <v>6.8103616246583884E-2</v>
      </c>
      <c r="H13" s="140">
        <f>AVERAGE(E$3:E13)</f>
        <v>11.367008544526094</v>
      </c>
      <c r="I13" s="140">
        <f>AVERAGE(F$3:F13)</f>
        <v>196.14349601718644</v>
      </c>
      <c r="J13" s="140">
        <f>AVERAGE(G$3:G13)</f>
        <v>0.28881261074239784</v>
      </c>
      <c r="K13"/>
      <c r="L13">
        <f t="shared" si="5"/>
        <v>2.4000000000000007E-2</v>
      </c>
      <c r="M13">
        <v>0.27420535913628102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42">
        <v>12</v>
      </c>
      <c r="B14" s="100">
        <f>'1.StatFitPoissNorm'!B13</f>
        <v>41</v>
      </c>
      <c r="C14" s="140">
        <f t="shared" si="4"/>
        <v>49.060933787564437</v>
      </c>
      <c r="D14" s="140">
        <f t="shared" si="0"/>
        <v>-8.0609337875644371</v>
      </c>
      <c r="E14" s="1">
        <f t="shared" si="1"/>
        <v>8.0609337875644371</v>
      </c>
      <c r="F14" s="140">
        <f t="shared" si="2"/>
        <v>64.97865352749794</v>
      </c>
      <c r="G14" s="140">
        <f t="shared" si="3"/>
        <v>0.19660814116010822</v>
      </c>
      <c r="H14" s="140">
        <f>AVERAGE(E$3:E14)</f>
        <v>11.091502314779289</v>
      </c>
      <c r="I14" s="140">
        <f>AVERAGE(F$3:F14)</f>
        <v>185.21309247637907</v>
      </c>
      <c r="J14" s="140">
        <f>AVERAGE(G$3:G14)</f>
        <v>0.28112890494387371</v>
      </c>
      <c r="K14"/>
      <c r="L14">
        <f t="shared" si="5"/>
        <v>2.6000000000000009E-2</v>
      </c>
      <c r="M14">
        <v>0.27434611907800793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42">
        <v>13</v>
      </c>
      <c r="B15" s="100">
        <f>'1.StatFitPoissNorm'!B14</f>
        <v>69</v>
      </c>
      <c r="C15" s="140">
        <f t="shared" si="4"/>
        <v>48.876101136812721</v>
      </c>
      <c r="D15" s="140">
        <f t="shared" si="0"/>
        <v>20.123898863187279</v>
      </c>
      <c r="E15" s="1">
        <f t="shared" si="1"/>
        <v>20.123898863187279</v>
      </c>
      <c r="F15" s="140">
        <f t="shared" si="2"/>
        <v>404.97130545579023</v>
      </c>
      <c r="G15" s="140">
        <f t="shared" si="3"/>
        <v>0.29165070816213445</v>
      </c>
      <c r="H15" s="140">
        <f>AVERAGE(E$3:E15)</f>
        <v>11.786302049272212</v>
      </c>
      <c r="I15" s="140">
        <f>AVERAGE(F$3:F15)</f>
        <v>202.11757039787224</v>
      </c>
      <c r="J15" s="140">
        <f>AVERAGE(G$3:G15)</f>
        <v>0.28193827442220148</v>
      </c>
      <c r="K15"/>
      <c r="L15">
        <f t="shared" si="5"/>
        <v>2.8000000000000011E-2</v>
      </c>
      <c r="M15">
        <v>0.27448893516528905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42">
        <v>14</v>
      </c>
      <c r="B16" s="100">
        <f>'1.StatFitPoissNorm'!B15</f>
        <v>28</v>
      </c>
      <c r="C16" s="140">
        <f t="shared" si="4"/>
        <v>49.337530751342058</v>
      </c>
      <c r="D16" s="140">
        <f t="shared" si="0"/>
        <v>-21.337530751342058</v>
      </c>
      <c r="E16" s="1">
        <f t="shared" si="1"/>
        <v>21.337530751342058</v>
      </c>
      <c r="F16" s="140">
        <f t="shared" si="2"/>
        <v>455.29021856446798</v>
      </c>
      <c r="G16" s="140">
        <f t="shared" si="3"/>
        <v>0.76205466969078783</v>
      </c>
      <c r="H16" s="140">
        <f>AVERAGE(E$3:E16)</f>
        <v>12.46853267084863</v>
      </c>
      <c r="I16" s="140">
        <f>AVERAGE(F$3:F16)</f>
        <v>220.2013309812005</v>
      </c>
      <c r="J16" s="140">
        <f>AVERAGE(G$3:G16)</f>
        <v>0.31623230265567193</v>
      </c>
      <c r="K16" s="10"/>
      <c r="L16">
        <f t="shared" si="5"/>
        <v>3.0000000000000013E-2</v>
      </c>
      <c r="M16" s="10">
        <v>0.27463353462165579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3"/>
      <c r="AD16" s="93"/>
      <c r="AE16" s="93"/>
      <c r="AF16" s="93"/>
      <c r="AG16" s="93"/>
      <c r="AH16" s="93"/>
      <c r="AI16" s="93"/>
      <c r="AJ16" s="93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42">
        <v>15</v>
      </c>
      <c r="B17" s="100">
        <f>'1.StatFitPoissNorm'!B16</f>
        <v>82</v>
      </c>
      <c r="C17" s="140">
        <f t="shared" si="4"/>
        <v>48.848273244308444</v>
      </c>
      <c r="D17" s="140">
        <f t="shared" si="0"/>
        <v>33.151726755691556</v>
      </c>
      <c r="E17" s="1">
        <f t="shared" si="1"/>
        <v>33.151726755691556</v>
      </c>
      <c r="F17" s="140">
        <f t="shared" si="2"/>
        <v>1099.0369868840353</v>
      </c>
      <c r="G17" s="140">
        <f t="shared" si="3"/>
        <v>0.40428935067916533</v>
      </c>
      <c r="H17" s="140">
        <f>AVERAGE(E$3:E17)</f>
        <v>13.847412276504825</v>
      </c>
      <c r="I17" s="140">
        <f>AVERAGE(F$3:F17)</f>
        <v>278.79037470805616</v>
      </c>
      <c r="J17" s="140">
        <f>AVERAGE(G$3:G17)</f>
        <v>0.32210277252390479</v>
      </c>
      <c r="K17" s="93"/>
      <c r="L17"/>
      <c r="M17" s="93">
        <f>MIN(M6:M16)</f>
        <v>0.27413222873619675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42">
        <v>16</v>
      </c>
      <c r="B18" s="100">
        <f>'1.StatFitPoissNorm'!B17</f>
        <v>65</v>
      </c>
      <c r="C18" s="140">
        <f t="shared" si="4"/>
        <v>49.60842358107265</v>
      </c>
      <c r="D18" s="140">
        <f t="shared" si="0"/>
        <v>15.39157641892735</v>
      </c>
      <c r="E18" s="1">
        <f t="shared" si="1"/>
        <v>15.39157641892735</v>
      </c>
      <c r="F18" s="140">
        <f t="shared" si="2"/>
        <v>236.90062465968049</v>
      </c>
      <c r="G18" s="140">
        <f t="shared" si="3"/>
        <v>0.23679348336811309</v>
      </c>
      <c r="H18" s="140">
        <f>AVERAGE(E$3:E18)</f>
        <v>13.943922535406232</v>
      </c>
      <c r="I18" s="140">
        <f>AVERAGE(F$3:F18)</f>
        <v>276.1722653300327</v>
      </c>
      <c r="J18" s="140">
        <f>AVERAGE(G$3:G18)</f>
        <v>0.31677094195166783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42">
        <v>17</v>
      </c>
      <c r="B19" s="100">
        <f>'1.StatFitPoissNorm'!B18</f>
        <v>47</v>
      </c>
      <c r="C19" s="140">
        <f t="shared" si="4"/>
        <v>49.96134371957406</v>
      </c>
      <c r="D19" s="140">
        <f t="shared" si="0"/>
        <v>-2.9613437195740602</v>
      </c>
      <c r="E19" s="1">
        <f t="shared" si="1"/>
        <v>2.9613437195740602</v>
      </c>
      <c r="F19" s="140">
        <f t="shared" si="2"/>
        <v>8.76955662546073</v>
      </c>
      <c r="G19" s="140">
        <f t="shared" si="3"/>
        <v>6.3007313182426819E-2</v>
      </c>
      <c r="H19" s="140">
        <f>AVERAGE(E$3:E19)</f>
        <v>13.297888487416103</v>
      </c>
      <c r="I19" s="140">
        <f>AVERAGE(F$3:F19)</f>
        <v>260.44269422976373</v>
      </c>
      <c r="J19" s="140">
        <f>AVERAGE(G$3:G19)</f>
        <v>0.30184366967112419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42">
        <v>18</v>
      </c>
      <c r="B20" s="100">
        <f>'1.StatFitPoissNorm'!B19</f>
        <v>53</v>
      </c>
      <c r="C20" s="140">
        <f t="shared" si="4"/>
        <v>49.893441783656883</v>
      </c>
      <c r="D20" s="140">
        <f t="shared" si="0"/>
        <v>3.1065582163431174</v>
      </c>
      <c r="E20" s="1">
        <f t="shared" si="1"/>
        <v>3.1065582163431174</v>
      </c>
      <c r="F20" s="140">
        <f t="shared" si="2"/>
        <v>9.6507039515289303</v>
      </c>
      <c r="G20" s="140">
        <f t="shared" si="3"/>
        <v>5.861430596873806E-2</v>
      </c>
      <c r="H20" s="140">
        <f>AVERAGE(E$3:E20)</f>
        <v>12.731703472356493</v>
      </c>
      <c r="I20" s="140">
        <f>AVERAGE(F$3:F20)</f>
        <v>246.50980588097295</v>
      </c>
      <c r="J20" s="140">
        <f>AVERAGE(G$3:G20)</f>
        <v>0.28833092724321385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42">
        <v>19</v>
      </c>
      <c r="B21" s="100">
        <f>'1.StatFitPoissNorm'!B20</f>
        <v>90</v>
      </c>
      <c r="C21" s="140">
        <f t="shared" si="4"/>
        <v>49.964673405820442</v>
      </c>
      <c r="D21" s="140">
        <f t="shared" si="0"/>
        <v>40.035326594179558</v>
      </c>
      <c r="E21" s="1">
        <f t="shared" si="1"/>
        <v>40.035326594179558</v>
      </c>
      <c r="F21" s="140">
        <f t="shared" si="2"/>
        <v>1602.827375502621</v>
      </c>
      <c r="G21" s="140">
        <f t="shared" si="3"/>
        <v>0.44483696215755064</v>
      </c>
      <c r="H21" s="140">
        <f>AVERAGE(E$3:E21)</f>
        <v>14.168736268241915</v>
      </c>
      <c r="I21" s="140">
        <f>AVERAGE(F$3:F21)</f>
        <v>317.89494112421761</v>
      </c>
      <c r="J21" s="140">
        <f>AVERAGE(G$3:G21)</f>
        <v>0.29656808697554737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42">
        <v>20</v>
      </c>
      <c r="B22" s="100">
        <f>'1.StatFitPoissNorm'!B21</f>
        <v>56</v>
      </c>
      <c r="C22" s="140">
        <f t="shared" si="4"/>
        <v>50.882660792037228</v>
      </c>
      <c r="D22" s="140">
        <f t="shared" si="0"/>
        <v>5.1173392079627718</v>
      </c>
      <c r="E22" s="1">
        <f t="shared" si="1"/>
        <v>5.1173392079627718</v>
      </c>
      <c r="F22" s="140">
        <f t="shared" si="2"/>
        <v>26.187160569353047</v>
      </c>
      <c r="G22" s="140">
        <f t="shared" si="3"/>
        <v>9.13810572850495E-2</v>
      </c>
      <c r="H22" s="140">
        <f>AVERAGE(E$3:E22)</f>
        <v>13.716166415227956</v>
      </c>
      <c r="I22" s="140">
        <f>AVERAGE(F$3:F22)</f>
        <v>303.30955209647436</v>
      </c>
      <c r="J22" s="140">
        <f>AVERAGE(G$3:G22)</f>
        <v>0.28630873549102248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42">
        <v>21</v>
      </c>
      <c r="B23" s="100">
        <f>'1.StatFitPoissNorm'!B22</f>
        <v>51</v>
      </c>
      <c r="C23" s="140">
        <f t="shared" si="4"/>
        <v>50.999998484608604</v>
      </c>
      <c r="D23" s="140">
        <f t="shared" si="0"/>
        <v>1.5153913963672494E-6</v>
      </c>
      <c r="E23" s="1">
        <f t="shared" si="1"/>
        <v>1.5153913963672494E-6</v>
      </c>
      <c r="F23" s="140">
        <f t="shared" si="2"/>
        <v>2.2964110841838819E-12</v>
      </c>
      <c r="G23" s="140">
        <f t="shared" si="3"/>
        <v>2.9713556791514694E-8</v>
      </c>
      <c r="H23" s="140">
        <f>AVERAGE(E$3:E23)</f>
        <v>13.06301570571193</v>
      </c>
      <c r="I23" s="140">
        <f>AVERAGE(F$3:F23)</f>
        <v>288.86624009188046</v>
      </c>
      <c r="J23" s="140">
        <f>AVERAGE(G$3:G23)</f>
        <v>0.27267498759685749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42">
        <v>22</v>
      </c>
      <c r="B24" s="100">
        <f>'1.StatFitPoissNorm'!B23</f>
        <v>40</v>
      </c>
      <c r="C24" s="140">
        <f t="shared" si="4"/>
        <v>50.999998519355671</v>
      </c>
      <c r="D24" s="140">
        <f t="shared" si="0"/>
        <v>-10.999998519355671</v>
      </c>
      <c r="E24" s="1">
        <f t="shared" si="1"/>
        <v>10.999998519355671</v>
      </c>
      <c r="F24" s="140">
        <f t="shared" si="2"/>
        <v>120.99996742582695</v>
      </c>
      <c r="G24" s="140">
        <f t="shared" si="3"/>
        <v>0.27499996298389179</v>
      </c>
      <c r="H24" s="140">
        <f>AVERAGE(E$3:E24)</f>
        <v>12.969242197241188</v>
      </c>
      <c r="I24" s="140">
        <f>AVERAGE(F$3:F24)</f>
        <v>281.23595497069624</v>
      </c>
      <c r="J24" s="140">
        <f>AVERAGE(G$3:G24)</f>
        <v>0.27278066829626813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42">
        <v>23</v>
      </c>
      <c r="B25" s="100">
        <f>'1.StatFitPoissNorm'!B24</f>
        <v>61</v>
      </c>
      <c r="C25" s="140">
        <f t="shared" si="4"/>
        <v>50.747774777270855</v>
      </c>
      <c r="D25" s="140">
        <f t="shared" si="0"/>
        <v>10.252225222729145</v>
      </c>
      <c r="E25" s="1">
        <f t="shared" si="1"/>
        <v>10.252225222729145</v>
      </c>
      <c r="F25" s="140">
        <f t="shared" si="2"/>
        <v>105.10812201756366</v>
      </c>
      <c r="G25" s="140">
        <f t="shared" si="3"/>
        <v>0.16806926594637941</v>
      </c>
      <c r="H25" s="140">
        <f>AVERAGE(E$3:E25)</f>
        <v>12.851111024436317</v>
      </c>
      <c r="I25" s="140">
        <f>AVERAGE(F$3:F25)</f>
        <v>273.57822310316874</v>
      </c>
      <c r="J25" s="140">
        <f>AVERAGE(G$3:G25)</f>
        <v>0.26822799862888169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42">
        <v>24</v>
      </c>
      <c r="B26" s="100">
        <f>'1.StatFitPoissNorm'!B25</f>
        <v>72</v>
      </c>
      <c r="C26" s="140">
        <f t="shared" si="4"/>
        <v>50.982852500765368</v>
      </c>
      <c r="D26" s="140">
        <f t="shared" si="0"/>
        <v>21.017147499234632</v>
      </c>
      <c r="E26" s="1">
        <f t="shared" si="1"/>
        <v>21.017147499234632</v>
      </c>
      <c r="F26" s="140">
        <f t="shared" si="2"/>
        <v>441.72048900458452</v>
      </c>
      <c r="G26" s="140">
        <f t="shared" si="3"/>
        <v>0.29190482637825876</v>
      </c>
      <c r="H26" s="140">
        <f>AVERAGE(E$3:E26)</f>
        <v>13.191362544219579</v>
      </c>
      <c r="I26" s="140">
        <f>AVERAGE(F$3:F26)</f>
        <v>280.58415084906102</v>
      </c>
      <c r="J26" s="140">
        <f>AVERAGE(G$3:G26)</f>
        <v>0.26921453311843907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42">
        <v>25</v>
      </c>
      <c r="B27" s="100">
        <f>'1.StatFitPoissNorm'!B26</f>
        <v>39</v>
      </c>
      <c r="C27" s="140">
        <f t="shared" si="4"/>
        <v>51.464763801105804</v>
      </c>
      <c r="D27" s="140">
        <f t="shared" si="0"/>
        <v>-12.464763801105804</v>
      </c>
      <c r="E27" s="1">
        <f t="shared" si="1"/>
        <v>12.464763801105804</v>
      </c>
      <c r="F27" s="140">
        <f t="shared" si="2"/>
        <v>155.37033661735759</v>
      </c>
      <c r="G27" s="140">
        <f t="shared" si="3"/>
        <v>0.31960932823348215</v>
      </c>
      <c r="H27" s="140">
        <f>AVERAGE(E$3:E27)</f>
        <v>13.162298594495027</v>
      </c>
      <c r="I27" s="140">
        <f>AVERAGE(F$3:F27)</f>
        <v>275.57559827979293</v>
      </c>
      <c r="J27" s="140">
        <f>AVERAGE(G$3:G27)</f>
        <v>0.27123032492304078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42">
        <v>26</v>
      </c>
      <c r="B28" s="100">
        <f>'1.StatFitPoissNorm'!B27</f>
        <v>31</v>
      </c>
      <c r="C28" s="140">
        <f t="shared" si="4"/>
        <v>51.178953819896606</v>
      </c>
      <c r="D28" s="140">
        <f t="shared" si="0"/>
        <v>-20.178953819896606</v>
      </c>
      <c r="E28" s="1">
        <f t="shared" si="1"/>
        <v>20.178953819896606</v>
      </c>
      <c r="F28" s="140">
        <f t="shared" si="2"/>
        <v>407.19017726551982</v>
      </c>
      <c r="G28" s="140">
        <f t="shared" si="3"/>
        <v>0.65093399419021314</v>
      </c>
      <c r="H28" s="140">
        <f>AVERAGE(E$3:E28)</f>
        <v>13.432169949318165</v>
      </c>
      <c r="I28" s="140">
        <f>AVERAGE(F$3:F28)</f>
        <v>280.63769747155163</v>
      </c>
      <c r="J28" s="140">
        <f>AVERAGE(G$3:G28)</f>
        <v>0.2858343122025474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42">
        <v>27</v>
      </c>
      <c r="B29" s="100">
        <f>'1.StatFitPoissNorm'!B28</f>
        <v>62</v>
      </c>
      <c r="C29" s="140">
        <f t="shared" si="4"/>
        <v>50.716261826360842</v>
      </c>
      <c r="D29" s="140">
        <f t="shared" si="0"/>
        <v>11.283738173639158</v>
      </c>
      <c r="E29" s="1">
        <f t="shared" si="1"/>
        <v>11.283738173639158</v>
      </c>
      <c r="F29" s="140">
        <f t="shared" si="2"/>
        <v>127.32274717124156</v>
      </c>
      <c r="G29" s="140">
        <f t="shared" si="3"/>
        <v>0.18199577699417996</v>
      </c>
      <c r="H29" s="140">
        <f>AVERAGE(E$3:E29)</f>
        <v>13.352598402070795</v>
      </c>
      <c r="I29" s="140">
        <f>AVERAGE(F$3:F29)</f>
        <v>274.95936597894757</v>
      </c>
      <c r="J29" s="140">
        <f>AVERAGE(G$3:G29)</f>
        <v>0.28198844052816341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42">
        <v>28</v>
      </c>
      <c r="B30" s="100">
        <f>'1.StatFitPoissNorm'!B29</f>
        <v>48</v>
      </c>
      <c r="C30" s="140">
        <f t="shared" si="4"/>
        <v>50.974991558174239</v>
      </c>
      <c r="D30" s="140">
        <f t="shared" si="0"/>
        <v>-2.9749915581742385</v>
      </c>
      <c r="E30" s="1">
        <f t="shared" si="1"/>
        <v>2.9749915581742385</v>
      </c>
      <c r="F30" s="140">
        <f t="shared" si="2"/>
        <v>8.8505747712079845</v>
      </c>
      <c r="G30" s="140">
        <f t="shared" si="3"/>
        <v>6.1978990795296639E-2</v>
      </c>
      <c r="H30" s="140">
        <f>AVERAGE(E$3:E30)</f>
        <v>12.981969586217346</v>
      </c>
      <c r="I30" s="140">
        <f>AVERAGE(F$3:F30)</f>
        <v>265.45548057867114</v>
      </c>
      <c r="J30" s="140">
        <f>AVERAGE(G$3:G30)</f>
        <v>0.27413096018056099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41">
        <v>29</v>
      </c>
      <c r="B31"/>
      <c r="C31" s="140">
        <f t="shared" si="4"/>
        <v>50.906776685040107</v>
      </c>
      <c r="D31" s="132"/>
      <c r="E31" s="1"/>
      <c r="F31" s="140"/>
      <c r="G31" s="140"/>
      <c r="H3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0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0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8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B3" sqref="B3:B30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10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31" t="s">
        <v>56</v>
      </c>
      <c r="G1" s="31" t="s">
        <v>57</v>
      </c>
      <c r="H1" s="31" t="s">
        <v>58</v>
      </c>
      <c r="I1" s="31" t="s">
        <v>59</v>
      </c>
    </row>
    <row r="2" spans="1:16" ht="15.75" thickBot="1" x14ac:dyDescent="0.3">
      <c r="A2" s="23" t="s">
        <v>25</v>
      </c>
      <c r="B2" s="25" t="s">
        <v>0</v>
      </c>
      <c r="C2" s="25" t="s">
        <v>26</v>
      </c>
      <c r="D2" s="24" t="s">
        <v>27</v>
      </c>
      <c r="E2" s="25" t="s">
        <v>55</v>
      </c>
      <c r="F2" s="1">
        <f>AVERAGE(B3:B52)</f>
        <v>51.392857142857146</v>
      </c>
      <c r="G2" s="29">
        <f>SUM(D3:D52)</f>
        <v>7005.7216748768469</v>
      </c>
      <c r="H2" s="29">
        <f>SUM(E3:E52)</f>
        <v>7260.6785714285725</v>
      </c>
      <c r="I2">
        <f>1-G2/H2</f>
        <v>3.5114747753054898E-2</v>
      </c>
      <c r="J2" t="s">
        <v>28</v>
      </c>
      <c r="P2" t="s">
        <v>43</v>
      </c>
    </row>
    <row r="3" spans="1:16" ht="15.75" thickBot="1" x14ac:dyDescent="0.3">
      <c r="A3" s="26">
        <v>1</v>
      </c>
      <c r="B3" s="70">
        <f>'1.StatFitPoissNorm'!B2</f>
        <v>50</v>
      </c>
      <c r="C3" s="71">
        <f>$K$20+$K$21*A3</f>
        <v>46.349753694581288</v>
      </c>
      <c r="D3" s="27">
        <f>(B3-C3)^2</f>
        <v>13.324298090222955</v>
      </c>
      <c r="E3" s="72">
        <f>(B3-$F$2)^2</f>
        <v>1.9400510204081718</v>
      </c>
      <c r="F3"/>
      <c r="G3"/>
      <c r="H3"/>
    </row>
    <row r="4" spans="1:16" x14ac:dyDescent="0.25">
      <c r="A4" s="26">
        <v>2</v>
      </c>
      <c r="B4" s="70">
        <f>'1.StatFitPoissNorm'!B3</f>
        <v>25</v>
      </c>
      <c r="C4" s="71">
        <f t="shared" ref="C4:C30" si="0">$K$20+$K$21*A4</f>
        <v>46.723316912972088</v>
      </c>
      <c r="D4" s="27">
        <f t="shared" ref="D4:D30" si="1">(B4-C4)^2</f>
        <v>471.90249770141918</v>
      </c>
      <c r="E4" s="72">
        <f t="shared" ref="E4:E30" si="2">(B4-$F$2)^2</f>
        <v>696.58290816326542</v>
      </c>
      <c r="F4" s="30"/>
      <c r="G4" s="30"/>
      <c r="H4" s="30"/>
      <c r="J4" s="12" t="s">
        <v>29</v>
      </c>
      <c r="K4" s="12"/>
    </row>
    <row r="5" spans="1:16" x14ac:dyDescent="0.25">
      <c r="A5" s="26">
        <v>3</v>
      </c>
      <c r="B5" s="70">
        <f>'1.StatFitPoissNorm'!B4</f>
        <v>33</v>
      </c>
      <c r="C5" s="71">
        <f t="shared" si="0"/>
        <v>47.096880131362894</v>
      </c>
      <c r="D5" s="27">
        <f t="shared" si="1"/>
        <v>198.72202943801395</v>
      </c>
      <c r="E5" s="72">
        <f t="shared" si="2"/>
        <v>338.29719387755114</v>
      </c>
      <c r="F5" s="30"/>
      <c r="G5" s="30"/>
      <c r="H5" s="30"/>
      <c r="I5" s="13" t="s">
        <v>30</v>
      </c>
      <c r="J5" s="14" t="s">
        <v>31</v>
      </c>
      <c r="K5" s="15">
        <v>0.32299932660652342</v>
      </c>
      <c r="L5" s="16">
        <f>CORREL(A3:A30,B3:B30)</f>
        <v>0.18738929465968635</v>
      </c>
    </row>
    <row r="6" spans="1:16" x14ac:dyDescent="0.25">
      <c r="A6" s="26">
        <v>4</v>
      </c>
      <c r="B6" s="70">
        <f>'1.StatFitPoissNorm'!B5</f>
        <v>72</v>
      </c>
      <c r="C6" s="71">
        <f t="shared" si="0"/>
        <v>47.470443349753701</v>
      </c>
      <c r="D6" s="27">
        <f t="shared" si="1"/>
        <v>601.69914945764242</v>
      </c>
      <c r="E6" s="72">
        <f t="shared" si="2"/>
        <v>424.65433673469374</v>
      </c>
      <c r="F6" s="30"/>
      <c r="G6" s="30"/>
      <c r="H6" s="30"/>
      <c r="I6" s="13" t="s">
        <v>32</v>
      </c>
      <c r="J6" s="14" t="s">
        <v>33</v>
      </c>
      <c r="K6" s="15">
        <v>0.10432856498826758</v>
      </c>
      <c r="L6" s="16">
        <f>L5^2</f>
        <v>3.5114747753054752E-2</v>
      </c>
      <c r="M6" s="76">
        <f>1-G2/H2</f>
        <v>3.5114747753054898E-2</v>
      </c>
    </row>
    <row r="7" spans="1:16" x14ac:dyDescent="0.25">
      <c r="A7" s="26">
        <v>5</v>
      </c>
      <c r="B7" s="70">
        <f>'1.StatFitPoissNorm'!B6</f>
        <v>67</v>
      </c>
      <c r="C7" s="71">
        <f t="shared" si="0"/>
        <v>47.844006568144508</v>
      </c>
      <c r="D7" s="27">
        <f t="shared" si="1"/>
        <v>366.95208436129076</v>
      </c>
      <c r="E7" s="72">
        <f t="shared" si="2"/>
        <v>243.58290816326522</v>
      </c>
      <c r="F7" s="30"/>
      <c r="G7" s="30"/>
      <c r="H7" s="30"/>
      <c r="J7" s="17" t="s">
        <v>34</v>
      </c>
      <c r="K7" s="18">
        <v>8.566874342552315E-2</v>
      </c>
    </row>
    <row r="8" spans="1:16" x14ac:dyDescent="0.25">
      <c r="A8" s="26">
        <v>6</v>
      </c>
      <c r="B8" s="70">
        <f>'1.StatFitPoissNorm'!B7</f>
        <v>35</v>
      </c>
      <c r="C8" s="71">
        <f t="shared" si="0"/>
        <v>48.217569786535307</v>
      </c>
      <c r="D8" s="27">
        <f t="shared" si="1"/>
        <v>174.70415106193101</v>
      </c>
      <c r="E8" s="72">
        <f t="shared" si="2"/>
        <v>268.72576530612253</v>
      </c>
      <c r="F8" s="30"/>
      <c r="G8" s="30"/>
      <c r="H8" s="30"/>
      <c r="J8" s="14" t="s">
        <v>35</v>
      </c>
      <c r="K8" s="15">
        <v>17.721983000572738</v>
      </c>
      <c r="L8" s="16">
        <f>SQRT(SUM(D3:D30)/(COUNT(D3:D30)-2))</f>
        <v>16.414957619473451</v>
      </c>
    </row>
    <row r="9" spans="1:16" ht="15.75" thickBot="1" x14ac:dyDescent="0.3">
      <c r="A9" s="26">
        <v>7</v>
      </c>
      <c r="B9" s="70">
        <f>'1.StatFitPoissNorm'!B8</f>
        <v>42</v>
      </c>
      <c r="C9" s="71">
        <f t="shared" si="0"/>
        <v>48.591133004926114</v>
      </c>
      <c r="D9" s="27">
        <f t="shared" si="1"/>
        <v>43.443034288626343</v>
      </c>
      <c r="E9" s="72">
        <f t="shared" si="2"/>
        <v>88.225765306122511</v>
      </c>
      <c r="F9" s="30"/>
      <c r="G9" s="30"/>
      <c r="H9" s="30"/>
      <c r="J9" s="19" t="s">
        <v>36</v>
      </c>
      <c r="K9" s="19">
        <v>50</v>
      </c>
      <c r="L9" s="16">
        <f>COUNT(B3:B30)</f>
        <v>28</v>
      </c>
    </row>
    <row r="10" spans="1:16" x14ac:dyDescent="0.25">
      <c r="A10" s="26">
        <v>8</v>
      </c>
      <c r="B10" s="70">
        <f>'1.StatFitPoissNorm'!B9</f>
        <v>44</v>
      </c>
      <c r="C10" s="71">
        <f t="shared" si="0"/>
        <v>48.964696223316921</v>
      </c>
      <c r="D10" s="27">
        <f t="shared" si="1"/>
        <v>24.648208589817294</v>
      </c>
      <c r="E10" s="72">
        <f t="shared" si="2"/>
        <v>54.654336734693921</v>
      </c>
      <c r="F10" s="30"/>
      <c r="G10" s="30"/>
      <c r="H10" s="30"/>
    </row>
    <row r="11" spans="1:16" ht="15.75" thickBot="1" x14ac:dyDescent="0.3">
      <c r="A11" s="26">
        <v>9</v>
      </c>
      <c r="B11" s="70">
        <f>'1.StatFitPoissNorm'!B10</f>
        <v>51</v>
      </c>
      <c r="C11" s="71">
        <f t="shared" si="0"/>
        <v>49.33825944170772</v>
      </c>
      <c r="D11" s="27">
        <f t="shared" si="1"/>
        <v>2.7613816830735383</v>
      </c>
      <c r="E11" s="72">
        <f t="shared" si="2"/>
        <v>0.15433673469387996</v>
      </c>
      <c r="F11" s="30"/>
      <c r="G11" s="30"/>
      <c r="H11" s="30"/>
      <c r="J11" t="s">
        <v>37</v>
      </c>
    </row>
    <row r="12" spans="1:16" x14ac:dyDescent="0.25">
      <c r="A12" s="26">
        <v>10</v>
      </c>
      <c r="B12" s="70">
        <f>'1.StatFitPoissNorm'!B11</f>
        <v>39</v>
      </c>
      <c r="C12" s="71">
        <f t="shared" si="0"/>
        <v>49.711822660098527</v>
      </c>
      <c r="D12" s="27">
        <f t="shared" si="1"/>
        <v>114.74314470140028</v>
      </c>
      <c r="E12" s="72">
        <f t="shared" si="2"/>
        <v>153.58290816326539</v>
      </c>
      <c r="F12" s="30"/>
      <c r="G12" s="30"/>
      <c r="H12" s="30"/>
      <c r="J12" s="20"/>
      <c r="K12" s="20" t="s">
        <v>38</v>
      </c>
      <c r="L12" s="20" t="s">
        <v>39</v>
      </c>
      <c r="M12" s="20" t="s">
        <v>40</v>
      </c>
      <c r="N12" s="20" t="s">
        <v>41</v>
      </c>
      <c r="O12" s="20" t="s">
        <v>42</v>
      </c>
    </row>
    <row r="13" spans="1:16" x14ac:dyDescent="0.25">
      <c r="A13" s="26">
        <v>11</v>
      </c>
      <c r="B13" s="70">
        <f>'1.StatFitPoissNorm'!B12</f>
        <v>46</v>
      </c>
      <c r="C13" s="71">
        <f t="shared" si="0"/>
        <v>50.085385878489333</v>
      </c>
      <c r="D13" s="27">
        <f t="shared" si="1"/>
        <v>16.690377776160062</v>
      </c>
      <c r="E13" s="72">
        <f t="shared" si="2"/>
        <v>29.082908163265341</v>
      </c>
      <c r="F13" s="30"/>
      <c r="G13" s="30"/>
      <c r="H13" s="30"/>
      <c r="J13" s="17" t="s">
        <v>43</v>
      </c>
      <c r="K13" s="52">
        <v>1</v>
      </c>
      <c r="L13" s="73">
        <v>1755.9832893157291</v>
      </c>
      <c r="M13" s="73">
        <v>1755.9832893157291</v>
      </c>
      <c r="N13" s="73">
        <v>5.5910805276169686</v>
      </c>
      <c r="O13" s="73">
        <v>2.2144150363479678E-2</v>
      </c>
    </row>
    <row r="14" spans="1:16" x14ac:dyDescent="0.25">
      <c r="A14" s="26">
        <v>12</v>
      </c>
      <c r="B14" s="70">
        <f>'1.StatFitPoissNorm'!B13</f>
        <v>41</v>
      </c>
      <c r="C14" s="71">
        <f t="shared" si="0"/>
        <v>50.458949096880133</v>
      </c>
      <c r="D14" s="27">
        <f t="shared" si="1"/>
        <v>89.471718017369483</v>
      </c>
      <c r="E14" s="72">
        <f t="shared" si="2"/>
        <v>108.0114795918368</v>
      </c>
      <c r="F14" s="30"/>
      <c r="G14" s="30"/>
      <c r="H14" s="30"/>
      <c r="J14" s="17" t="s">
        <v>44</v>
      </c>
      <c r="K14" s="52">
        <v>48</v>
      </c>
      <c r="L14" s="73">
        <v>15075.296710684277</v>
      </c>
      <c r="M14" s="73">
        <v>314.06868147258911</v>
      </c>
      <c r="N14" s="73"/>
      <c r="O14" s="73"/>
    </row>
    <row r="15" spans="1:16" ht="15.75" thickBot="1" x14ac:dyDescent="0.3">
      <c r="A15" s="26">
        <v>13</v>
      </c>
      <c r="B15" s="70">
        <f>'1.StatFitPoissNorm'!B14</f>
        <v>69</v>
      </c>
      <c r="C15" s="71">
        <f t="shared" si="0"/>
        <v>50.832512315270939</v>
      </c>
      <c r="D15" s="27">
        <f t="shared" si="1"/>
        <v>330.05760877478207</v>
      </c>
      <c r="E15" s="72">
        <f t="shared" si="2"/>
        <v>310.01147959183663</v>
      </c>
      <c r="F15" s="30"/>
      <c r="G15" s="30"/>
      <c r="H15" s="30"/>
      <c r="J15" s="21" t="s">
        <v>45</v>
      </c>
      <c r="K15" s="74">
        <v>49</v>
      </c>
      <c r="L15" s="75">
        <v>16831.280000000006</v>
      </c>
      <c r="M15" s="75"/>
      <c r="N15" s="75"/>
      <c r="O15" s="75"/>
    </row>
    <row r="16" spans="1:16" ht="15.75" thickBot="1" x14ac:dyDescent="0.3">
      <c r="A16" s="26">
        <v>14</v>
      </c>
      <c r="B16" s="70">
        <f>'1.StatFitPoissNorm'!B15</f>
        <v>28</v>
      </c>
      <c r="C16" s="71">
        <f t="shared" si="0"/>
        <v>51.206075533661746</v>
      </c>
      <c r="D16" s="27">
        <f t="shared" si="1"/>
        <v>538.52194167401433</v>
      </c>
      <c r="E16" s="72">
        <f t="shared" si="2"/>
        <v>547.22576530612264</v>
      </c>
      <c r="F16" s="30"/>
      <c r="G16" s="30"/>
      <c r="H16" s="30"/>
    </row>
    <row r="17" spans="1:16" x14ac:dyDescent="0.25">
      <c r="A17" s="26">
        <v>15</v>
      </c>
      <c r="B17" s="70">
        <f>'1.StatFitPoissNorm'!B16</f>
        <v>82</v>
      </c>
      <c r="C17" s="71">
        <f t="shared" si="0"/>
        <v>51.579638752052553</v>
      </c>
      <c r="D17" s="27">
        <f t="shared" si="1"/>
        <v>925.39837845562272</v>
      </c>
      <c r="E17" s="72">
        <f t="shared" si="2"/>
        <v>936.79719387755085</v>
      </c>
      <c r="F17" s="30"/>
      <c r="G17" s="30"/>
      <c r="H17" s="30"/>
      <c r="J17" s="20"/>
      <c r="K17" s="20" t="s">
        <v>46</v>
      </c>
      <c r="L17" s="20" t="s">
        <v>35</v>
      </c>
      <c r="M17" s="20" t="s">
        <v>47</v>
      </c>
      <c r="N17" s="20" t="s">
        <v>48</v>
      </c>
      <c r="O17" s="20" t="s">
        <v>49</v>
      </c>
      <c r="P17" s="20" t="s">
        <v>50</v>
      </c>
    </row>
    <row r="18" spans="1:16" x14ac:dyDescent="0.25">
      <c r="A18" s="26">
        <v>16</v>
      </c>
      <c r="B18" s="70">
        <f>'1.StatFitPoissNorm'!B17</f>
        <v>65</v>
      </c>
      <c r="C18" s="71">
        <f t="shared" si="0"/>
        <v>51.953201970443352</v>
      </c>
      <c r="D18" s="27">
        <f t="shared" si="1"/>
        <v>170.21893882404322</v>
      </c>
      <c r="E18" s="72">
        <f t="shared" si="2"/>
        <v>185.1543367346938</v>
      </c>
      <c r="F18" s="30"/>
      <c r="G18" s="30"/>
      <c r="H18" s="30"/>
      <c r="I18" s="13" t="s">
        <v>51</v>
      </c>
      <c r="J18" s="14" t="s">
        <v>52</v>
      </c>
      <c r="K18" s="18">
        <v>19.408163265306122</v>
      </c>
      <c r="L18" s="73">
        <v>5.0886778547249945</v>
      </c>
      <c r="M18" s="73">
        <v>3.8139893739363053</v>
      </c>
      <c r="N18" s="73">
        <v>3.9045739200275012E-4</v>
      </c>
      <c r="O18" s="73">
        <v>9.1766907002433395</v>
      </c>
      <c r="P18" s="73">
        <v>29.639635830368903</v>
      </c>
    </row>
    <row r="19" spans="1:16" ht="15.75" thickBot="1" x14ac:dyDescent="0.3">
      <c r="A19" s="26">
        <v>17</v>
      </c>
      <c r="B19" s="70">
        <f>'1.StatFitPoissNorm'!B18</f>
        <v>47</v>
      </c>
      <c r="C19" s="71">
        <f t="shared" si="0"/>
        <v>52.326765188834159</v>
      </c>
      <c r="D19" s="27">
        <f t="shared" si="1"/>
        <v>28.374427376975412</v>
      </c>
      <c r="E19" s="72">
        <f t="shared" si="2"/>
        <v>19.297193877551049</v>
      </c>
      <c r="F19" s="30"/>
      <c r="G19" s="30"/>
      <c r="H19" s="30"/>
      <c r="I19" s="13" t="s">
        <v>53</v>
      </c>
      <c r="J19" s="19" t="s">
        <v>54</v>
      </c>
      <c r="K19" s="22">
        <v>0.41066026410564221</v>
      </c>
      <c r="L19" s="75">
        <v>0.17367400060101817</v>
      </c>
      <c r="M19" s="75">
        <v>2.3645465797097249</v>
      </c>
      <c r="N19" s="77">
        <v>2.2144150363479765E-2</v>
      </c>
      <c r="O19" s="77">
        <v>6.146528200158341E-2</v>
      </c>
      <c r="P19" s="77">
        <v>0.75985524620970102</v>
      </c>
    </row>
    <row r="20" spans="1:16" x14ac:dyDescent="0.25">
      <c r="A20" s="26">
        <v>18</v>
      </c>
      <c r="B20" s="70">
        <f>'1.StatFitPoissNorm'!B19</f>
        <v>53</v>
      </c>
      <c r="C20" s="71">
        <f t="shared" si="0"/>
        <v>52.700328407224966</v>
      </c>
      <c r="D20" s="27">
        <f t="shared" si="1"/>
        <v>8.9803063516326054E-2</v>
      </c>
      <c r="E20" s="72">
        <f t="shared" si="2"/>
        <v>2.5829081632652962</v>
      </c>
      <c r="F20" s="30"/>
      <c r="G20" s="30"/>
      <c r="H20" s="30"/>
      <c r="J20" s="16" t="s">
        <v>52</v>
      </c>
      <c r="K20" s="16">
        <f>INTERCEPT(B3:B30,A3:A30)</f>
        <v>45.976190476190482</v>
      </c>
    </row>
    <row r="21" spans="1:16" x14ac:dyDescent="0.25">
      <c r="A21" s="26">
        <v>19</v>
      </c>
      <c r="B21" s="70">
        <f>'1.StatFitPoissNorm'!B20</f>
        <v>90</v>
      </c>
      <c r="C21" s="71">
        <f t="shared" si="0"/>
        <v>53.073891625615772</v>
      </c>
      <c r="D21" s="27">
        <f t="shared" si="1"/>
        <v>1363.537479676769</v>
      </c>
      <c r="E21" s="72">
        <f t="shared" si="2"/>
        <v>1490.5114795918364</v>
      </c>
      <c r="F21" s="30"/>
      <c r="G21" s="30"/>
      <c r="H21" s="30"/>
      <c r="J21" s="16" t="s">
        <v>54</v>
      </c>
      <c r="K21" s="16">
        <f>SLOPE(B3:B30,A3:A30)</f>
        <v>0.37356321839080459</v>
      </c>
    </row>
    <row r="22" spans="1:16" x14ac:dyDescent="0.25">
      <c r="A22" s="26">
        <v>20</v>
      </c>
      <c r="B22" s="70">
        <f>'1.StatFitPoissNorm'!B21</f>
        <v>56</v>
      </c>
      <c r="C22" s="71">
        <f t="shared" si="0"/>
        <v>53.447454844006572</v>
      </c>
      <c r="D22" s="27">
        <f t="shared" si="1"/>
        <v>6.5154867733855149</v>
      </c>
      <c r="E22" s="72">
        <f t="shared" si="2"/>
        <v>21.225765306122423</v>
      </c>
      <c r="F22" s="30"/>
      <c r="G22" s="30"/>
      <c r="H22" s="30"/>
      <c r="L22" s="28"/>
    </row>
    <row r="23" spans="1:16" x14ac:dyDescent="0.25">
      <c r="A23" s="26">
        <v>21</v>
      </c>
      <c r="B23" s="70">
        <f>'1.StatFitPoissNorm'!B22</f>
        <v>51</v>
      </c>
      <c r="C23" s="71">
        <f t="shared" si="0"/>
        <v>53.821018062397378</v>
      </c>
      <c r="D23" s="27">
        <f t="shared" si="1"/>
        <v>7.9581429083722588</v>
      </c>
      <c r="E23" s="72">
        <f t="shared" si="2"/>
        <v>0.15433673469387996</v>
      </c>
      <c r="F23" s="30"/>
      <c r="G23" s="30"/>
      <c r="H23" s="30"/>
    </row>
    <row r="24" spans="1:16" x14ac:dyDescent="0.25">
      <c r="A24" s="26">
        <v>22</v>
      </c>
      <c r="B24" s="70">
        <f>'1.StatFitPoissNorm'!B23</f>
        <v>40</v>
      </c>
      <c r="C24" s="71">
        <f t="shared" si="0"/>
        <v>54.194581280788185</v>
      </c>
      <c r="D24" s="27">
        <f t="shared" si="1"/>
        <v>201.48613773690235</v>
      </c>
      <c r="E24" s="72">
        <f t="shared" si="2"/>
        <v>129.79719387755108</v>
      </c>
      <c r="F24" s="30"/>
      <c r="G24" s="30"/>
      <c r="H24" s="30"/>
    </row>
    <row r="25" spans="1:16" x14ac:dyDescent="0.25">
      <c r="A25" s="26">
        <v>23</v>
      </c>
      <c r="B25" s="70">
        <f>'1.StatFitPoissNorm'!B24</f>
        <v>61</v>
      </c>
      <c r="C25" s="71">
        <f t="shared" si="0"/>
        <v>54.568144499178985</v>
      </c>
      <c r="D25" s="27">
        <f t="shared" si="1"/>
        <v>41.368765183441553</v>
      </c>
      <c r="E25" s="72">
        <f t="shared" si="2"/>
        <v>92.297193877550967</v>
      </c>
      <c r="F25" s="30"/>
      <c r="G25" s="30"/>
      <c r="H25" s="30"/>
    </row>
    <row r="26" spans="1:16" x14ac:dyDescent="0.25">
      <c r="A26" s="26">
        <v>24</v>
      </c>
      <c r="B26" s="70">
        <f>'1.StatFitPoissNorm'!B25</f>
        <v>72</v>
      </c>
      <c r="C26" s="71">
        <f t="shared" si="0"/>
        <v>54.941707717569791</v>
      </c>
      <c r="D26" s="27">
        <f t="shared" si="1"/>
        <v>290.98533559281805</v>
      </c>
      <c r="E26" s="72">
        <f t="shared" si="2"/>
        <v>424.65433673469374</v>
      </c>
      <c r="F26" s="30"/>
      <c r="G26" s="30"/>
      <c r="H26" s="30"/>
    </row>
    <row r="27" spans="1:16" x14ac:dyDescent="0.25">
      <c r="A27" s="26">
        <v>25</v>
      </c>
      <c r="B27" s="70">
        <f>'1.StatFitPoissNorm'!B26</f>
        <v>39</v>
      </c>
      <c r="C27" s="71">
        <f t="shared" si="0"/>
        <v>55.315270935960598</v>
      </c>
      <c r="D27" s="27">
        <f t="shared" si="1"/>
        <v>266.1880657138006</v>
      </c>
      <c r="E27" s="72">
        <f t="shared" si="2"/>
        <v>153.58290816326539</v>
      </c>
      <c r="F27" s="30"/>
      <c r="G27" s="30"/>
      <c r="H27" s="30"/>
    </row>
    <row r="28" spans="1:16" x14ac:dyDescent="0.25">
      <c r="A28" s="26">
        <v>26</v>
      </c>
      <c r="B28" s="70">
        <f>'1.StatFitPoissNorm'!B27</f>
        <v>31</v>
      </c>
      <c r="C28" s="71">
        <f t="shared" si="0"/>
        <v>55.688834154351397</v>
      </c>
      <c r="D28" s="27">
        <f t="shared" si="1"/>
        <v>609.53853190106804</v>
      </c>
      <c r="E28" s="72">
        <f t="shared" si="2"/>
        <v>415.86862244897969</v>
      </c>
      <c r="F28" s="30"/>
      <c r="G28" s="30"/>
      <c r="H28" s="30"/>
    </row>
    <row r="29" spans="1:16" x14ac:dyDescent="0.25">
      <c r="A29" s="26">
        <v>27</v>
      </c>
      <c r="B29" s="70">
        <f>'1.StatFitPoissNorm'!B28</f>
        <v>62</v>
      </c>
      <c r="C29" s="71">
        <f t="shared" si="0"/>
        <v>56.062397372742204</v>
      </c>
      <c r="D29" s="27">
        <f t="shared" si="1"/>
        <v>35.255124959218684</v>
      </c>
      <c r="E29" s="72">
        <f t="shared" si="2"/>
        <v>112.51147959183668</v>
      </c>
      <c r="F29" s="30"/>
      <c r="G29" s="30"/>
      <c r="H29" s="30"/>
    </row>
    <row r="30" spans="1:16" x14ac:dyDescent="0.25">
      <c r="A30" s="26">
        <v>28</v>
      </c>
      <c r="B30" s="70">
        <f>'1.StatFitPoissNorm'!B29</f>
        <v>48</v>
      </c>
      <c r="C30" s="71">
        <f t="shared" si="0"/>
        <v>56.435960591133011</v>
      </c>
      <c r="D30" s="27">
        <f t="shared" si="1"/>
        <v>71.165431095149216</v>
      </c>
      <c r="E30" s="72">
        <f t="shared" si="2"/>
        <v>11.511479591836755</v>
      </c>
      <c r="F30" s="30"/>
      <c r="G30" s="30"/>
      <c r="H30" s="30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9">
        <f>1-G2/H2</f>
        <v>3.5114747753054898E-2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5" bestFit="1" customWidth="1"/>
    <col min="2" max="2" width="9.7109375" style="85" bestFit="1" customWidth="1"/>
    <col min="3" max="3" width="13" style="85" customWidth="1"/>
    <col min="4" max="4" width="8.7109375" style="85" customWidth="1"/>
    <col min="5" max="5" width="13.140625" style="85" customWidth="1"/>
    <col min="6" max="6" width="9.7109375" style="85" customWidth="1"/>
    <col min="7" max="7" width="10.7109375" style="85" customWidth="1"/>
    <col min="8" max="8" width="7.28515625" style="85" customWidth="1"/>
    <col min="9" max="9" width="8.7109375" style="85" bestFit="1" customWidth="1"/>
    <col min="10" max="10" width="9.140625" style="85"/>
    <col min="11" max="11" width="12.140625" style="85" bestFit="1" customWidth="1"/>
    <col min="12" max="12" width="13.85546875" style="85" bestFit="1" customWidth="1"/>
    <col min="13" max="13" width="12.42578125" style="85" bestFit="1" customWidth="1"/>
    <col min="14" max="14" width="12.140625" style="85" bestFit="1" customWidth="1"/>
    <col min="15" max="18" width="9.28515625" style="85" bestFit="1" customWidth="1"/>
    <col min="19" max="20" width="9.140625" style="85"/>
    <col min="21" max="21" width="9.28515625" style="85" bestFit="1" customWidth="1"/>
    <col min="22" max="32" width="9.140625" style="85"/>
    <col min="33" max="33" width="9.140625" style="85" customWidth="1"/>
    <col min="34" max="36" width="9.140625" style="8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5"/>
  </cols>
  <sheetData>
    <row r="1" spans="1:43" customFormat="1" ht="15.75" thickBot="1" x14ac:dyDescent="0.3">
      <c r="J1" t="s">
        <v>118</v>
      </c>
      <c r="K1" s="139">
        <v>1</v>
      </c>
      <c r="L1" t="s">
        <v>119</v>
      </c>
      <c r="M1">
        <v>0</v>
      </c>
    </row>
    <row r="2" spans="1:43" ht="17.25" thickBot="1" x14ac:dyDescent="0.35">
      <c r="A2" s="89" t="s">
        <v>4</v>
      </c>
      <c r="B2" s="91" t="s">
        <v>19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</v>
      </c>
      <c r="I2" s="1" t="s">
        <v>116</v>
      </c>
      <c r="J2" s="1" t="s">
        <v>117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42">
        <v>1</v>
      </c>
      <c r="B3" s="101">
        <f>'1.StatFitPoissNorm'!B2</f>
        <v>50</v>
      </c>
      <c r="C3" s="1">
        <f>B3</f>
        <v>50</v>
      </c>
      <c r="D3" s="140">
        <f>B3-C3</f>
        <v>0</v>
      </c>
      <c r="E3" s="1">
        <f t="shared" ref="E3:E30" si="0">ABS(D3)</f>
        <v>0</v>
      </c>
      <c r="F3" s="140">
        <f t="shared" ref="F3:F30" si="1">D3^2</f>
        <v>0</v>
      </c>
      <c r="G3" s="140">
        <f t="shared" ref="G3:G30" si="2">E3/B3</f>
        <v>0</v>
      </c>
      <c r="H3" s="140">
        <f>AVERAGE(E$3:E3)</f>
        <v>0</v>
      </c>
      <c r="I3" s="140">
        <f>AVERAGE(F$3:F3)</f>
        <v>0</v>
      </c>
      <c r="J3" s="140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42">
        <v>2</v>
      </c>
      <c r="B4" s="101">
        <f>'1.StatFitPoissNorm'!B3</f>
        <v>25</v>
      </c>
      <c r="C4" s="140">
        <f t="shared" ref="C4:C31" si="3">(1-$K$1)*C3+$K$1*B3+$M$1</f>
        <v>50</v>
      </c>
      <c r="D4" s="140">
        <f t="shared" ref="D4:D30" si="4">B4-C4</f>
        <v>-25</v>
      </c>
      <c r="E4" s="1">
        <f t="shared" si="0"/>
        <v>25</v>
      </c>
      <c r="F4" s="140">
        <f t="shared" si="1"/>
        <v>625</v>
      </c>
      <c r="G4" s="140">
        <f t="shared" si="2"/>
        <v>1</v>
      </c>
      <c r="H4" s="140">
        <f>AVERAGE(E$3:E4)</f>
        <v>12.5</v>
      </c>
      <c r="I4" s="140">
        <f>AVERAGE(F$3:F4)</f>
        <v>312.5</v>
      </c>
      <c r="J4" s="140">
        <f>AVERAGE(G$3:G4)</f>
        <v>0.5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42">
        <v>3</v>
      </c>
      <c r="B5" s="101">
        <f>'1.StatFitPoissNorm'!B4</f>
        <v>33</v>
      </c>
      <c r="C5" s="140">
        <f t="shared" si="3"/>
        <v>25</v>
      </c>
      <c r="D5" s="140">
        <f t="shared" si="4"/>
        <v>8</v>
      </c>
      <c r="E5" s="1">
        <f t="shared" si="0"/>
        <v>8</v>
      </c>
      <c r="F5" s="140">
        <f t="shared" si="1"/>
        <v>64</v>
      </c>
      <c r="G5" s="140">
        <f t="shared" si="2"/>
        <v>0.24242424242424243</v>
      </c>
      <c r="H5" s="140">
        <f>AVERAGE(E$3:E5)</f>
        <v>11</v>
      </c>
      <c r="I5" s="140">
        <f>AVERAGE(F$3:F5)</f>
        <v>229.66666666666666</v>
      </c>
      <c r="J5" s="140">
        <f>AVERAGE(G$3:G5)</f>
        <v>0.41414141414141414</v>
      </c>
      <c r="K5"/>
      <c r="L5"/>
      <c r="M5" s="139">
        <f>J30</f>
        <v>0.38481283794075527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42">
        <v>4</v>
      </c>
      <c r="B6" s="101">
        <f>'1.StatFitPoissNorm'!B5</f>
        <v>72</v>
      </c>
      <c r="C6" s="140">
        <f t="shared" si="3"/>
        <v>33</v>
      </c>
      <c r="D6" s="140">
        <f t="shared" si="4"/>
        <v>39</v>
      </c>
      <c r="E6" s="1">
        <f t="shared" si="0"/>
        <v>39</v>
      </c>
      <c r="F6" s="140">
        <f t="shared" si="1"/>
        <v>1521</v>
      </c>
      <c r="G6" s="140">
        <f t="shared" si="2"/>
        <v>0.54166666666666663</v>
      </c>
      <c r="H6" s="140">
        <f>AVERAGE(E$3:E6)</f>
        <v>18</v>
      </c>
      <c r="I6" s="140">
        <f>AVERAGE(F$3:F6)</f>
        <v>552.5</v>
      </c>
      <c r="J6" s="140">
        <f>AVERAGE(G$3:G6)</f>
        <v>0.44602272727272729</v>
      </c>
      <c r="K6"/>
      <c r="L6">
        <f>L3</f>
        <v>0</v>
      </c>
      <c r="M6">
        <f t="dataTable" ref="M6:M16" dt2D="0" dtr="0" r1="K1"/>
        <v>0.27420531931383363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42">
        <v>5</v>
      </c>
      <c r="B7" s="101">
        <f>'1.StatFitPoissNorm'!B6</f>
        <v>67</v>
      </c>
      <c r="C7" s="140">
        <f t="shared" si="3"/>
        <v>72</v>
      </c>
      <c r="D7" s="140">
        <f t="shared" si="4"/>
        <v>-5</v>
      </c>
      <c r="E7" s="1">
        <f t="shared" si="0"/>
        <v>5</v>
      </c>
      <c r="F7" s="140">
        <f t="shared" si="1"/>
        <v>25</v>
      </c>
      <c r="G7" s="140">
        <f t="shared" si="2"/>
        <v>7.4626865671641784E-2</v>
      </c>
      <c r="H7" s="140">
        <f>AVERAGE(E$3:E7)</f>
        <v>15.4</v>
      </c>
      <c r="I7" s="140">
        <f>AVERAGE(F$3:F7)</f>
        <v>447</v>
      </c>
      <c r="J7" s="140">
        <f>AVERAGE(G$3:G7)</f>
        <v>0.37174355495251021</v>
      </c>
      <c r="K7"/>
      <c r="L7">
        <f>L6+L$4</f>
        <v>0.1</v>
      </c>
      <c r="M7">
        <v>0.27964053304229147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42">
        <v>6</v>
      </c>
      <c r="B8" s="101">
        <f>'1.StatFitPoissNorm'!B7</f>
        <v>35</v>
      </c>
      <c r="C8" s="140">
        <f t="shared" si="3"/>
        <v>67</v>
      </c>
      <c r="D8" s="140">
        <f t="shared" si="4"/>
        <v>-32</v>
      </c>
      <c r="E8" s="1">
        <f t="shared" si="0"/>
        <v>32</v>
      </c>
      <c r="F8" s="140">
        <f t="shared" si="1"/>
        <v>1024</v>
      </c>
      <c r="G8" s="140">
        <f t="shared" si="2"/>
        <v>0.91428571428571426</v>
      </c>
      <c r="H8" s="140">
        <f>AVERAGE(E$3:E8)</f>
        <v>18.166666666666668</v>
      </c>
      <c r="I8" s="140">
        <f>AVERAGE(F$3:F8)</f>
        <v>543.16666666666663</v>
      </c>
      <c r="J8" s="140">
        <f>AVERAGE(G$3:G8)</f>
        <v>0.46216724817471083</v>
      </c>
      <c r="K8"/>
      <c r="L8">
        <f t="shared" ref="L8:L16" si="5">L7+L$4</f>
        <v>0.2</v>
      </c>
      <c r="M8">
        <v>0.29170433984762761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42">
        <v>7</v>
      </c>
      <c r="B9" s="101">
        <f>'1.StatFitPoissNorm'!B8</f>
        <v>42</v>
      </c>
      <c r="C9" s="140">
        <f t="shared" si="3"/>
        <v>35</v>
      </c>
      <c r="D9" s="140">
        <f t="shared" si="4"/>
        <v>7</v>
      </c>
      <c r="E9" s="1">
        <f t="shared" si="0"/>
        <v>7</v>
      </c>
      <c r="F9" s="140">
        <f t="shared" si="1"/>
        <v>49</v>
      </c>
      <c r="G9" s="140">
        <f t="shared" si="2"/>
        <v>0.16666666666666666</v>
      </c>
      <c r="H9" s="140">
        <f>AVERAGE(E$3:E9)</f>
        <v>16.571428571428573</v>
      </c>
      <c r="I9" s="140">
        <f>AVERAGE(F$3:F9)</f>
        <v>472.57142857142856</v>
      </c>
      <c r="J9" s="140">
        <f>AVERAGE(G$3:G9)</f>
        <v>0.41995287938784737</v>
      </c>
      <c r="K9"/>
      <c r="L9">
        <f t="shared" si="5"/>
        <v>0.30000000000000004</v>
      </c>
      <c r="M9">
        <v>0.30474337289603498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42">
        <v>8</v>
      </c>
      <c r="B10" s="101">
        <f>'1.StatFitPoissNorm'!B9</f>
        <v>44</v>
      </c>
      <c r="C10" s="140">
        <f t="shared" si="3"/>
        <v>42</v>
      </c>
      <c r="D10" s="140">
        <f t="shared" si="4"/>
        <v>2</v>
      </c>
      <c r="E10" s="1">
        <f t="shared" si="0"/>
        <v>2</v>
      </c>
      <c r="F10" s="140">
        <f t="shared" si="1"/>
        <v>4</v>
      </c>
      <c r="G10" s="140">
        <f t="shared" si="2"/>
        <v>4.5454545454545456E-2</v>
      </c>
      <c r="H10" s="140">
        <f>AVERAGE(E$3:E10)</f>
        <v>14.75</v>
      </c>
      <c r="I10" s="140">
        <f>AVERAGE(F$3:F10)</f>
        <v>414</v>
      </c>
      <c r="J10" s="140">
        <f>AVERAGE(G$3:G10)</f>
        <v>0.37314058764618463</v>
      </c>
      <c r="K10"/>
      <c r="L10">
        <f t="shared" si="5"/>
        <v>0.4</v>
      </c>
      <c r="M10">
        <v>0.31493310293056415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42">
        <v>9</v>
      </c>
      <c r="B11" s="101">
        <f>'1.StatFitPoissNorm'!B10</f>
        <v>51</v>
      </c>
      <c r="C11" s="140">
        <f t="shared" si="3"/>
        <v>44</v>
      </c>
      <c r="D11" s="140">
        <f t="shared" si="4"/>
        <v>7</v>
      </c>
      <c r="E11" s="1">
        <f t="shared" si="0"/>
        <v>7</v>
      </c>
      <c r="F11" s="140">
        <f t="shared" si="1"/>
        <v>49</v>
      </c>
      <c r="G11" s="140">
        <f t="shared" si="2"/>
        <v>0.13725490196078433</v>
      </c>
      <c r="H11" s="140">
        <f>AVERAGE(E$3:E11)</f>
        <v>13.888888888888889</v>
      </c>
      <c r="I11" s="140">
        <f>AVERAGE(F$3:F11)</f>
        <v>373.44444444444446</v>
      </c>
      <c r="J11" s="140">
        <f>AVERAGE(G$3:G11)</f>
        <v>0.34693106701447346</v>
      </c>
      <c r="K11"/>
      <c r="L11">
        <f t="shared" si="5"/>
        <v>0.5</v>
      </c>
      <c r="M11">
        <v>0.32264905499528551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42">
        <v>10</v>
      </c>
      <c r="B12" s="101">
        <f>'1.StatFitPoissNorm'!B11</f>
        <v>39</v>
      </c>
      <c r="C12" s="140">
        <f t="shared" si="3"/>
        <v>51</v>
      </c>
      <c r="D12" s="140">
        <f t="shared" si="4"/>
        <v>-12</v>
      </c>
      <c r="E12" s="1">
        <f t="shared" si="0"/>
        <v>12</v>
      </c>
      <c r="F12" s="140">
        <f t="shared" si="1"/>
        <v>144</v>
      </c>
      <c r="G12" s="140">
        <f t="shared" si="2"/>
        <v>0.30769230769230771</v>
      </c>
      <c r="H12" s="140">
        <f>AVERAGE(E$3:E12)</f>
        <v>13.7</v>
      </c>
      <c r="I12" s="140">
        <f>AVERAGE(F$3:F12)</f>
        <v>350.5</v>
      </c>
      <c r="J12" s="140">
        <f>AVERAGE(G$3:G12)</f>
        <v>0.34300719108225691</v>
      </c>
      <c r="K12"/>
      <c r="L12">
        <f t="shared" si="5"/>
        <v>0.6</v>
      </c>
      <c r="M12">
        <v>0.32859074282378975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42">
        <v>11</v>
      </c>
      <c r="B13" s="101">
        <f>'1.StatFitPoissNorm'!B12</f>
        <v>46</v>
      </c>
      <c r="C13" s="140">
        <f t="shared" si="3"/>
        <v>39</v>
      </c>
      <c r="D13" s="140">
        <f t="shared" si="4"/>
        <v>7</v>
      </c>
      <c r="E13" s="1">
        <f t="shared" si="0"/>
        <v>7</v>
      </c>
      <c r="F13" s="140">
        <f t="shared" si="1"/>
        <v>49</v>
      </c>
      <c r="G13" s="140">
        <f t="shared" si="2"/>
        <v>0.15217391304347827</v>
      </c>
      <c r="H13" s="140">
        <f>AVERAGE(E$3:E13)</f>
        <v>13.090909090909092</v>
      </c>
      <c r="I13" s="140">
        <f>AVERAGE(F$3:F13)</f>
        <v>323.09090909090907</v>
      </c>
      <c r="J13" s="140">
        <f>AVERAGE(G$3:G13)</f>
        <v>0.32565871126054979</v>
      </c>
      <c r="K13"/>
      <c r="L13">
        <f t="shared" si="5"/>
        <v>0.7</v>
      </c>
      <c r="M13">
        <v>0.33788799064931302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42">
        <v>12</v>
      </c>
      <c r="B14" s="101">
        <f>'1.StatFitPoissNorm'!B13</f>
        <v>41</v>
      </c>
      <c r="C14" s="140">
        <f t="shared" si="3"/>
        <v>46</v>
      </c>
      <c r="D14" s="140">
        <f t="shared" si="4"/>
        <v>-5</v>
      </c>
      <c r="E14" s="1">
        <f t="shared" si="0"/>
        <v>5</v>
      </c>
      <c r="F14" s="140">
        <f t="shared" si="1"/>
        <v>25</v>
      </c>
      <c r="G14" s="140">
        <f t="shared" si="2"/>
        <v>0.12195121951219512</v>
      </c>
      <c r="H14" s="140">
        <f>AVERAGE(E$3:E14)</f>
        <v>12.416666666666666</v>
      </c>
      <c r="I14" s="140">
        <f>AVERAGE(F$3:F14)</f>
        <v>298.25</v>
      </c>
      <c r="J14" s="140">
        <f>AVERAGE(G$3:G14)</f>
        <v>0.30868308694818691</v>
      </c>
      <c r="K14"/>
      <c r="L14">
        <f t="shared" si="5"/>
        <v>0.79999999999999993</v>
      </c>
      <c r="M14">
        <v>0.35181545098357592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42">
        <v>13</v>
      </c>
      <c r="B15" s="101">
        <f>'1.StatFitPoissNorm'!B14</f>
        <v>69</v>
      </c>
      <c r="C15" s="140">
        <f t="shared" si="3"/>
        <v>41</v>
      </c>
      <c r="D15" s="140">
        <f t="shared" si="4"/>
        <v>28</v>
      </c>
      <c r="E15" s="1">
        <f t="shared" si="0"/>
        <v>28</v>
      </c>
      <c r="F15" s="140">
        <f t="shared" si="1"/>
        <v>784</v>
      </c>
      <c r="G15" s="140">
        <f t="shared" si="2"/>
        <v>0.40579710144927539</v>
      </c>
      <c r="H15" s="140">
        <f>AVERAGE(E$3:E15)</f>
        <v>13.615384615384615</v>
      </c>
      <c r="I15" s="140">
        <f>AVERAGE(F$3:F15)</f>
        <v>335.61538461538464</v>
      </c>
      <c r="J15" s="140">
        <f>AVERAGE(G$3:G15)</f>
        <v>0.31615339575596296</v>
      </c>
      <c r="K15"/>
      <c r="L15">
        <f t="shared" si="5"/>
        <v>0.89999999999999991</v>
      </c>
      <c r="M15">
        <v>0.36802401220342684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42">
        <v>14</v>
      </c>
      <c r="B16" s="101">
        <f>'1.StatFitPoissNorm'!B15</f>
        <v>28</v>
      </c>
      <c r="C16" s="140">
        <f t="shared" si="3"/>
        <v>69</v>
      </c>
      <c r="D16" s="140">
        <f t="shared" si="4"/>
        <v>-41</v>
      </c>
      <c r="E16" s="1">
        <f t="shared" si="0"/>
        <v>41</v>
      </c>
      <c r="F16" s="140">
        <f t="shared" si="1"/>
        <v>1681</v>
      </c>
      <c r="G16" s="140">
        <f t="shared" si="2"/>
        <v>1.4642857142857142</v>
      </c>
      <c r="H16" s="140">
        <f>AVERAGE(E$3:E16)</f>
        <v>15.571428571428571</v>
      </c>
      <c r="I16" s="140">
        <f>AVERAGE(F$3:F16)</f>
        <v>431.71428571428572</v>
      </c>
      <c r="J16" s="140">
        <f>AVERAGE(G$3:G16)</f>
        <v>0.3981628470795166</v>
      </c>
      <c r="K16" s="10"/>
      <c r="L16">
        <f t="shared" si="5"/>
        <v>0.99999999999999989</v>
      </c>
      <c r="M16" s="10">
        <v>0.38481283794075521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3"/>
      <c r="AD16" s="93"/>
      <c r="AE16" s="93"/>
      <c r="AF16" s="93"/>
      <c r="AG16" s="93"/>
      <c r="AH16" s="93"/>
      <c r="AI16" s="93"/>
      <c r="AJ16" s="93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42">
        <v>15</v>
      </c>
      <c r="B17" s="101">
        <f>'1.StatFitPoissNorm'!B16</f>
        <v>82</v>
      </c>
      <c r="C17" s="140">
        <f t="shared" si="3"/>
        <v>28</v>
      </c>
      <c r="D17" s="140">
        <f t="shared" si="4"/>
        <v>54</v>
      </c>
      <c r="E17" s="1">
        <f t="shared" si="0"/>
        <v>54</v>
      </c>
      <c r="F17" s="140">
        <f t="shared" si="1"/>
        <v>2916</v>
      </c>
      <c r="G17" s="140">
        <f t="shared" si="2"/>
        <v>0.65853658536585369</v>
      </c>
      <c r="H17" s="140">
        <f>AVERAGE(E$3:E17)</f>
        <v>18.133333333333333</v>
      </c>
      <c r="I17" s="140">
        <f>AVERAGE(F$3:F17)</f>
        <v>597.33333333333337</v>
      </c>
      <c r="J17" s="140">
        <f>AVERAGE(G$3:G17)</f>
        <v>0.41552109629860573</v>
      </c>
      <c r="K17" s="93"/>
      <c r="L17"/>
      <c r="M17" s="93">
        <f>MIN(M6:M16)</f>
        <v>0.27420531931383363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42">
        <v>16</v>
      </c>
      <c r="B18" s="101">
        <f>'1.StatFitPoissNorm'!B17</f>
        <v>65</v>
      </c>
      <c r="C18" s="140">
        <f t="shared" si="3"/>
        <v>82</v>
      </c>
      <c r="D18" s="140">
        <f t="shared" si="4"/>
        <v>-17</v>
      </c>
      <c r="E18" s="1">
        <f t="shared" si="0"/>
        <v>17</v>
      </c>
      <c r="F18" s="140">
        <f t="shared" si="1"/>
        <v>289</v>
      </c>
      <c r="G18" s="140">
        <f t="shared" si="2"/>
        <v>0.26153846153846155</v>
      </c>
      <c r="H18" s="140">
        <f>AVERAGE(E$3:E18)</f>
        <v>18.0625</v>
      </c>
      <c r="I18" s="140">
        <f>AVERAGE(F$3:F18)</f>
        <v>578.0625</v>
      </c>
      <c r="J18" s="140">
        <f>AVERAGE(G$3:G18)</f>
        <v>0.40589718162609673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42">
        <v>17</v>
      </c>
      <c r="B19" s="101">
        <f>'1.StatFitPoissNorm'!B18</f>
        <v>47</v>
      </c>
      <c r="C19" s="140">
        <f t="shared" si="3"/>
        <v>65</v>
      </c>
      <c r="D19" s="140">
        <f t="shared" si="4"/>
        <v>-18</v>
      </c>
      <c r="E19" s="1">
        <f t="shared" si="0"/>
        <v>18</v>
      </c>
      <c r="F19" s="140">
        <f t="shared" si="1"/>
        <v>324</v>
      </c>
      <c r="G19" s="140">
        <f t="shared" si="2"/>
        <v>0.38297872340425532</v>
      </c>
      <c r="H19" s="140">
        <f>AVERAGE(E$3:E19)</f>
        <v>18.058823529411764</v>
      </c>
      <c r="I19" s="140">
        <f>AVERAGE(F$3:F19)</f>
        <v>563.11764705882354</v>
      </c>
      <c r="J19" s="140">
        <f>AVERAGE(G$3:G19)</f>
        <v>0.40454903702481193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42">
        <v>18</v>
      </c>
      <c r="B20" s="101">
        <f>'1.StatFitPoissNorm'!B19</f>
        <v>53</v>
      </c>
      <c r="C20" s="140">
        <f t="shared" si="3"/>
        <v>47</v>
      </c>
      <c r="D20" s="140">
        <f t="shared" si="4"/>
        <v>6</v>
      </c>
      <c r="E20" s="1">
        <f t="shared" si="0"/>
        <v>6</v>
      </c>
      <c r="F20" s="140">
        <f t="shared" si="1"/>
        <v>36</v>
      </c>
      <c r="G20" s="140">
        <f t="shared" si="2"/>
        <v>0.11320754716981132</v>
      </c>
      <c r="H20" s="140">
        <f>AVERAGE(E$3:E20)</f>
        <v>17.388888888888889</v>
      </c>
      <c r="I20" s="140">
        <f>AVERAGE(F$3:F20)</f>
        <v>533.83333333333337</v>
      </c>
      <c r="J20" s="140">
        <f>AVERAGE(G$3:G20)</f>
        <v>0.38836339869953412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42">
        <v>19</v>
      </c>
      <c r="B21" s="101">
        <f>'1.StatFitPoissNorm'!B20</f>
        <v>90</v>
      </c>
      <c r="C21" s="140">
        <f t="shared" si="3"/>
        <v>53</v>
      </c>
      <c r="D21" s="140">
        <f t="shared" si="4"/>
        <v>37</v>
      </c>
      <c r="E21" s="1">
        <f t="shared" si="0"/>
        <v>37</v>
      </c>
      <c r="F21" s="140">
        <f t="shared" si="1"/>
        <v>1369</v>
      </c>
      <c r="G21" s="140">
        <f t="shared" si="2"/>
        <v>0.41111111111111109</v>
      </c>
      <c r="H21" s="140">
        <f>AVERAGE(E$3:E21)</f>
        <v>18.421052631578949</v>
      </c>
      <c r="I21" s="140">
        <f>AVERAGE(F$3:F21)</f>
        <v>577.78947368421052</v>
      </c>
      <c r="J21" s="140">
        <f>AVERAGE(G$3:G21)</f>
        <v>0.38956064672119611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42">
        <v>20</v>
      </c>
      <c r="B22" s="101">
        <f>'1.StatFitPoissNorm'!B21</f>
        <v>56</v>
      </c>
      <c r="C22" s="140">
        <f t="shared" si="3"/>
        <v>90</v>
      </c>
      <c r="D22" s="140">
        <f t="shared" si="4"/>
        <v>-34</v>
      </c>
      <c r="E22" s="1">
        <f t="shared" si="0"/>
        <v>34</v>
      </c>
      <c r="F22" s="140">
        <f t="shared" si="1"/>
        <v>1156</v>
      </c>
      <c r="G22" s="140">
        <f t="shared" si="2"/>
        <v>0.6071428571428571</v>
      </c>
      <c r="H22" s="140">
        <f>AVERAGE(E$3:E22)</f>
        <v>19.2</v>
      </c>
      <c r="I22" s="140">
        <f>AVERAGE(F$3:F22)</f>
        <v>606.70000000000005</v>
      </c>
      <c r="J22" s="140">
        <f>AVERAGE(G$3:G22)</f>
        <v>0.4004397572422792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42">
        <v>21</v>
      </c>
      <c r="B23" s="101">
        <f>'1.StatFitPoissNorm'!B22</f>
        <v>51</v>
      </c>
      <c r="C23" s="140">
        <f t="shared" si="3"/>
        <v>56</v>
      </c>
      <c r="D23" s="140">
        <f t="shared" si="4"/>
        <v>-5</v>
      </c>
      <c r="E23" s="1">
        <f t="shared" si="0"/>
        <v>5</v>
      </c>
      <c r="F23" s="140">
        <f t="shared" si="1"/>
        <v>25</v>
      </c>
      <c r="G23" s="140">
        <f t="shared" si="2"/>
        <v>9.8039215686274508E-2</v>
      </c>
      <c r="H23" s="140">
        <f>AVERAGE(E$3:E23)</f>
        <v>18.523809523809526</v>
      </c>
      <c r="I23" s="140">
        <f>AVERAGE(F$3:F23)</f>
        <v>579</v>
      </c>
      <c r="J23" s="140">
        <f>AVERAGE(G$3:G23)</f>
        <v>0.38603973145389797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42">
        <v>22</v>
      </c>
      <c r="B24" s="101">
        <f>'1.StatFitPoissNorm'!B23</f>
        <v>40</v>
      </c>
      <c r="C24" s="140">
        <f t="shared" si="3"/>
        <v>51</v>
      </c>
      <c r="D24" s="140">
        <f t="shared" si="4"/>
        <v>-11</v>
      </c>
      <c r="E24" s="1">
        <f t="shared" si="0"/>
        <v>11</v>
      </c>
      <c r="F24" s="140">
        <f t="shared" si="1"/>
        <v>121</v>
      </c>
      <c r="G24" s="140">
        <f t="shared" si="2"/>
        <v>0.27500000000000002</v>
      </c>
      <c r="H24" s="140">
        <f>AVERAGE(E$3:E24)</f>
        <v>18.181818181818183</v>
      </c>
      <c r="I24" s="140">
        <f>AVERAGE(F$3:F24)</f>
        <v>558.18181818181813</v>
      </c>
      <c r="J24" s="140">
        <f>AVERAGE(G$3:G24)</f>
        <v>0.38099247093326627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42">
        <v>23</v>
      </c>
      <c r="B25" s="101">
        <f>'1.StatFitPoissNorm'!B24</f>
        <v>61</v>
      </c>
      <c r="C25" s="140">
        <f t="shared" si="3"/>
        <v>40</v>
      </c>
      <c r="D25" s="140">
        <f t="shared" si="4"/>
        <v>21</v>
      </c>
      <c r="E25" s="1">
        <f t="shared" si="0"/>
        <v>21</v>
      </c>
      <c r="F25" s="140">
        <f t="shared" si="1"/>
        <v>441</v>
      </c>
      <c r="G25" s="140">
        <f t="shared" si="2"/>
        <v>0.34426229508196721</v>
      </c>
      <c r="H25" s="140">
        <f>AVERAGE(E$3:E25)</f>
        <v>18.304347826086957</v>
      </c>
      <c r="I25" s="140">
        <f>AVERAGE(F$3:F25)</f>
        <v>553.08695652173913</v>
      </c>
      <c r="J25" s="140">
        <f>AVERAGE(G$3:G25)</f>
        <v>0.37939550676581846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42">
        <v>24</v>
      </c>
      <c r="B26" s="101">
        <f>'1.StatFitPoissNorm'!B25</f>
        <v>72</v>
      </c>
      <c r="C26" s="140">
        <f t="shared" si="3"/>
        <v>61</v>
      </c>
      <c r="D26" s="140">
        <f t="shared" si="4"/>
        <v>11</v>
      </c>
      <c r="E26" s="1">
        <f t="shared" si="0"/>
        <v>11</v>
      </c>
      <c r="F26" s="140">
        <f t="shared" si="1"/>
        <v>121</v>
      </c>
      <c r="G26" s="140">
        <f t="shared" si="2"/>
        <v>0.15277777777777779</v>
      </c>
      <c r="H26" s="140">
        <f>AVERAGE(E$3:E26)</f>
        <v>18</v>
      </c>
      <c r="I26" s="140">
        <f>AVERAGE(F$3:F26)</f>
        <v>535.08333333333337</v>
      </c>
      <c r="J26" s="140">
        <f>AVERAGE(G$3:G26)</f>
        <v>0.36995310139131682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42">
        <v>25</v>
      </c>
      <c r="B27" s="101">
        <f>'1.StatFitPoissNorm'!B26</f>
        <v>39</v>
      </c>
      <c r="C27" s="140">
        <f t="shared" si="3"/>
        <v>72</v>
      </c>
      <c r="D27" s="140">
        <f t="shared" si="4"/>
        <v>-33</v>
      </c>
      <c r="E27" s="1">
        <f t="shared" si="0"/>
        <v>33</v>
      </c>
      <c r="F27" s="140">
        <f t="shared" si="1"/>
        <v>1089</v>
      </c>
      <c r="G27" s="140">
        <f t="shared" si="2"/>
        <v>0.84615384615384615</v>
      </c>
      <c r="H27" s="140">
        <f>AVERAGE(E$3:E27)</f>
        <v>18.600000000000001</v>
      </c>
      <c r="I27" s="140">
        <f>AVERAGE(F$3:F27)</f>
        <v>557.24</v>
      </c>
      <c r="J27" s="140">
        <f>AVERAGE(G$3:G27)</f>
        <v>0.38900113118181801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42">
        <v>26</v>
      </c>
      <c r="B28" s="101">
        <f>'1.StatFitPoissNorm'!B27</f>
        <v>31</v>
      </c>
      <c r="C28" s="140">
        <f t="shared" si="3"/>
        <v>39</v>
      </c>
      <c r="D28" s="140">
        <f t="shared" si="4"/>
        <v>-8</v>
      </c>
      <c r="E28" s="1">
        <f t="shared" si="0"/>
        <v>8</v>
      </c>
      <c r="F28" s="140">
        <f t="shared" si="1"/>
        <v>64</v>
      </c>
      <c r="G28" s="140">
        <f t="shared" si="2"/>
        <v>0.25806451612903225</v>
      </c>
      <c r="H28" s="140">
        <f>AVERAGE(E$3:E28)</f>
        <v>18.192307692307693</v>
      </c>
      <c r="I28" s="140">
        <f>AVERAGE(F$3:F28)</f>
        <v>538.26923076923072</v>
      </c>
      <c r="J28" s="140">
        <f>AVERAGE(G$3:G28)</f>
        <v>0.3839651075259416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42">
        <v>27</v>
      </c>
      <c r="B29" s="101">
        <f>'1.StatFitPoissNorm'!B28</f>
        <v>62</v>
      </c>
      <c r="C29" s="140">
        <f t="shared" si="3"/>
        <v>31</v>
      </c>
      <c r="D29" s="140">
        <f t="shared" si="4"/>
        <v>31</v>
      </c>
      <c r="E29" s="1">
        <f t="shared" si="0"/>
        <v>31</v>
      </c>
      <c r="F29" s="140">
        <f t="shared" si="1"/>
        <v>961</v>
      </c>
      <c r="G29" s="140">
        <f t="shared" si="2"/>
        <v>0.5</v>
      </c>
      <c r="H29" s="140">
        <f>AVERAGE(E$3:E29)</f>
        <v>18.666666666666668</v>
      </c>
      <c r="I29" s="140">
        <f>AVERAGE(F$3:F29)</f>
        <v>553.92592592592598</v>
      </c>
      <c r="J29" s="140">
        <f>AVERAGE(G$3:G29)</f>
        <v>0.38826269613609193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42">
        <v>28</v>
      </c>
      <c r="B30" s="101">
        <f>'1.StatFitPoissNorm'!B29</f>
        <v>48</v>
      </c>
      <c r="C30" s="140">
        <f t="shared" si="3"/>
        <v>62</v>
      </c>
      <c r="D30" s="140">
        <f t="shared" si="4"/>
        <v>-14</v>
      </c>
      <c r="E30" s="1">
        <f t="shared" si="0"/>
        <v>14</v>
      </c>
      <c r="F30" s="140">
        <f t="shared" si="1"/>
        <v>196</v>
      </c>
      <c r="G30" s="140">
        <f t="shared" si="2"/>
        <v>0.29166666666666669</v>
      </c>
      <c r="H30" s="140">
        <f>AVERAGE(E$3:E30)</f>
        <v>18.5</v>
      </c>
      <c r="I30" s="140">
        <f>AVERAGE(F$3:F30)</f>
        <v>541.14285714285711</v>
      </c>
      <c r="J30" s="140">
        <f>AVERAGE(G$3:G30)</f>
        <v>0.38481283794075527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41">
        <v>29</v>
      </c>
      <c r="B31"/>
      <c r="C31" s="140">
        <f t="shared" si="3"/>
        <v>48</v>
      </c>
      <c r="D31" s="147">
        <f>AVERAGE(D3:D30)</f>
        <v>-7.1428571428571425E-2</v>
      </c>
      <c r="E31" s="147"/>
      <c r="F31" s="147"/>
      <c r="G31" s="140"/>
      <c r="H3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132" t="s">
        <v>124</v>
      </c>
      <c r="E32" s="93"/>
      <c r="F32" s="13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3"/>
      <c r="E33" s="148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49"/>
      <c r="D35" s="150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49"/>
      <c r="D36" s="150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7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5" bestFit="1" customWidth="1"/>
    <col min="2" max="2" width="9.7109375" style="85" bestFit="1" customWidth="1"/>
    <col min="3" max="3" width="13" style="85" customWidth="1"/>
    <col min="4" max="4" width="8.7109375" style="85" customWidth="1"/>
    <col min="5" max="5" width="12.42578125" style="85" bestFit="1" customWidth="1"/>
    <col min="6" max="6" width="9.7109375" style="85" customWidth="1"/>
    <col min="7" max="7" width="9.140625" style="85"/>
    <col min="8" max="8" width="12.140625" style="85" bestFit="1" customWidth="1"/>
    <col min="9" max="9" width="13.85546875" style="85" bestFit="1" customWidth="1"/>
    <col min="10" max="10" width="12.42578125" style="85" bestFit="1" customWidth="1"/>
    <col min="11" max="11" width="12.140625" style="85" bestFit="1" customWidth="1"/>
    <col min="12" max="15" width="9.28515625" style="85" bestFit="1" customWidth="1"/>
    <col min="16" max="17" width="9.140625" style="85"/>
    <col min="18" max="18" width="9.28515625" style="85" bestFit="1" customWidth="1"/>
    <col min="19" max="29" width="9.140625" style="85"/>
    <col min="30" max="30" width="9.140625" style="85" customWidth="1"/>
    <col min="31" max="33" width="9.140625" style="85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85"/>
  </cols>
  <sheetData>
    <row r="1" spans="1:57" ht="15.75" thickBot="1" x14ac:dyDescent="0.3">
      <c r="G1" s="143" t="s">
        <v>64</v>
      </c>
      <c r="H1" s="144">
        <v>1</v>
      </c>
      <c r="I1" s="143" t="s">
        <v>120</v>
      </c>
      <c r="J1" s="11">
        <v>0.31904520104151834</v>
      </c>
    </row>
    <row r="2" spans="1:57" customFormat="1" ht="17.25" thickBot="1" x14ac:dyDescent="0.35">
      <c r="A2" s="89" t="s">
        <v>4</v>
      </c>
      <c r="B2" s="91" t="s">
        <v>121</v>
      </c>
      <c r="C2" s="118" t="s">
        <v>72</v>
      </c>
      <c r="D2" s="118" t="s">
        <v>19</v>
      </c>
      <c r="E2" s="1" t="s">
        <v>111</v>
      </c>
      <c r="F2" s="1" t="s">
        <v>114</v>
      </c>
      <c r="G2" s="1" t="s">
        <v>116</v>
      </c>
      <c r="H2" s="85"/>
      <c r="I2" s="85"/>
      <c r="J2" s="85"/>
    </row>
    <row r="3" spans="1:57" customFormat="1" x14ac:dyDescent="0.25">
      <c r="A3" s="85">
        <v>0</v>
      </c>
      <c r="B3" s="85">
        <f>B4</f>
        <v>50</v>
      </c>
      <c r="C3" s="145">
        <f>B4</f>
        <v>50</v>
      </c>
      <c r="D3" s="145">
        <f>(B31-B4)/(A31-1)</f>
        <v>-7.407407407407407E-2</v>
      </c>
      <c r="E3" s="118"/>
      <c r="F3" s="118"/>
      <c r="G3" s="118"/>
      <c r="H3" s="85"/>
      <c r="I3" s="1"/>
      <c r="Z3" s="85"/>
      <c r="AA3" s="85"/>
      <c r="AB3" s="85"/>
      <c r="AC3" s="85"/>
      <c r="AD3" s="85"/>
      <c r="AE3" s="85"/>
      <c r="AF3" s="85"/>
      <c r="AG3" s="85"/>
      <c r="BA3" s="85"/>
      <c r="BB3" s="85"/>
      <c r="BC3" s="85"/>
      <c r="BD3" s="85"/>
      <c r="BE3" s="85"/>
    </row>
    <row r="4" spans="1:57" customFormat="1" ht="16.5" x14ac:dyDescent="0.3">
      <c r="A4" s="142">
        <v>1</v>
      </c>
      <c r="B4" s="101">
        <f>'1.StatFitPoissNorm'!B2</f>
        <v>50</v>
      </c>
      <c r="C4" s="146">
        <f>$H$1*B4+(1-$H$1)*E4</f>
        <v>50</v>
      </c>
      <c r="D4" s="146">
        <f>(1-$J$1)*D3+$J$1*(C4-C3)</f>
        <v>-5.0441096219146789E-2</v>
      </c>
      <c r="E4" s="145">
        <f>C3+D3</f>
        <v>49.925925925925924</v>
      </c>
      <c r="F4" s="140">
        <f t="shared" ref="F4:F31" si="0">(B4-E4)^2</f>
        <v>5.4869684499317247E-3</v>
      </c>
      <c r="G4" s="140">
        <f>AVERAGE(F$4:F4)</f>
        <v>5.4869684499317247E-3</v>
      </c>
      <c r="H4" s="85"/>
      <c r="I4" s="140"/>
      <c r="J4" s="85"/>
      <c r="K4" s="85"/>
      <c r="M4">
        <v>0.9</v>
      </c>
      <c r="Z4" s="85"/>
      <c r="AA4" s="85"/>
      <c r="AB4" s="85"/>
      <c r="AC4" s="85"/>
      <c r="AD4" s="85"/>
      <c r="AE4" s="85"/>
      <c r="AF4" s="85"/>
      <c r="AG4" s="85"/>
      <c r="BA4" s="85"/>
      <c r="BB4" s="85"/>
      <c r="BC4" s="85"/>
      <c r="BD4" s="85"/>
      <c r="BE4" s="85"/>
    </row>
    <row r="5" spans="1:57" customFormat="1" ht="16.5" x14ac:dyDescent="0.3">
      <c r="A5" s="142">
        <v>2</v>
      </c>
      <c r="B5" s="101">
        <f>'1.StatFitPoissNorm'!B3</f>
        <v>25</v>
      </c>
      <c r="C5" s="146">
        <f t="shared" ref="C5:C31" si="1">$H$1*B5+(1-$H$1)*E5</f>
        <v>25</v>
      </c>
      <c r="D5" s="146">
        <f t="shared" ref="D5:D31" si="2">(1-$J$1)*D4+$J$1*(C5-C4)</f>
        <v>-8.0104781325731143</v>
      </c>
      <c r="E5" s="145">
        <f t="shared" ref="E5:E31" si="3">C4+D4</f>
        <v>49.949558903780854</v>
      </c>
      <c r="F5" s="140">
        <f t="shared" si="0"/>
        <v>622.48048949323049</v>
      </c>
      <c r="G5" s="140">
        <f>AVERAGE(F$4:F5)</f>
        <v>311.24298823084024</v>
      </c>
      <c r="H5" s="85"/>
      <c r="I5" s="140"/>
      <c r="J5" s="85"/>
      <c r="K5" s="85"/>
      <c r="M5">
        <v>0.01</v>
      </c>
      <c r="Z5" s="85"/>
      <c r="AA5" s="85"/>
      <c r="AB5" s="85"/>
      <c r="AC5" s="85"/>
      <c r="AD5" s="85"/>
      <c r="AE5" s="85"/>
      <c r="AF5" s="85"/>
      <c r="AG5" s="85"/>
      <c r="BA5" s="85"/>
      <c r="BB5" s="85"/>
      <c r="BC5" s="85"/>
      <c r="BD5" s="85"/>
      <c r="BE5" s="85"/>
    </row>
    <row r="6" spans="1:57" customFormat="1" ht="16.5" x14ac:dyDescent="0.3">
      <c r="A6" s="142">
        <v>3</v>
      </c>
      <c r="B6" s="101">
        <f>'1.StatFitPoissNorm'!B4</f>
        <v>33</v>
      </c>
      <c r="C6" s="146">
        <f t="shared" si="1"/>
        <v>33</v>
      </c>
      <c r="D6" s="146">
        <f t="shared" si="2"/>
        <v>-2.9024119179954919</v>
      </c>
      <c r="E6" s="145">
        <f t="shared" si="3"/>
        <v>16.989521867426888</v>
      </c>
      <c r="F6" s="140">
        <f t="shared" si="0"/>
        <v>256.33541003360182</v>
      </c>
      <c r="G6" s="140">
        <f>AVERAGE(F$4:F6)</f>
        <v>292.94046216509406</v>
      </c>
      <c r="H6" s="85"/>
      <c r="I6" s="140"/>
      <c r="J6" s="85"/>
      <c r="K6" s="85">
        <v>0.2</v>
      </c>
      <c r="L6">
        <v>0.02</v>
      </c>
      <c r="M6" s="139">
        <f>G31</f>
        <v>746.72247994877853</v>
      </c>
      <c r="N6">
        <f>K6</f>
        <v>0.2</v>
      </c>
      <c r="O6">
        <f>N6+$L$6</f>
        <v>0.22</v>
      </c>
      <c r="P6">
        <f t="shared" ref="P6:X6" si="4">O6+$L$6</f>
        <v>0.24</v>
      </c>
      <c r="Q6">
        <f t="shared" si="4"/>
        <v>0.26</v>
      </c>
      <c r="R6">
        <f t="shared" si="4"/>
        <v>0.28000000000000003</v>
      </c>
      <c r="S6">
        <f t="shared" si="4"/>
        <v>0.30000000000000004</v>
      </c>
      <c r="T6">
        <f t="shared" si="4"/>
        <v>0.32000000000000006</v>
      </c>
      <c r="U6">
        <f t="shared" si="4"/>
        <v>0.34000000000000008</v>
      </c>
      <c r="V6">
        <f>U6+$L$6</f>
        <v>0.3600000000000001</v>
      </c>
      <c r="W6">
        <f t="shared" si="4"/>
        <v>0.38000000000000012</v>
      </c>
      <c r="X6">
        <f t="shared" si="4"/>
        <v>0.40000000000000013</v>
      </c>
      <c r="Z6" s="85"/>
      <c r="AA6" s="85"/>
      <c r="AB6" s="85"/>
      <c r="AC6" s="85"/>
      <c r="AD6" s="85"/>
      <c r="AE6" s="85"/>
      <c r="AF6" s="85"/>
      <c r="AG6" s="85"/>
      <c r="BA6" s="85"/>
      <c r="BB6" s="85"/>
      <c r="BC6" s="85"/>
      <c r="BD6" s="85"/>
      <c r="BE6" s="85"/>
    </row>
    <row r="7" spans="1:57" customFormat="1" ht="16.5" x14ac:dyDescent="0.3">
      <c r="A7" s="142">
        <v>4</v>
      </c>
      <c r="B7" s="101">
        <f>'1.StatFitPoissNorm'!B5</f>
        <v>72</v>
      </c>
      <c r="C7" s="146">
        <f t="shared" si="1"/>
        <v>72</v>
      </c>
      <c r="D7" s="146">
        <f t="shared" si="2"/>
        <v>10.466351516505894</v>
      </c>
      <c r="E7" s="145">
        <f t="shared" si="3"/>
        <v>30.097588082004506</v>
      </c>
      <c r="F7" s="140">
        <f t="shared" si="0"/>
        <v>1755.8121245453708</v>
      </c>
      <c r="G7" s="140">
        <f>AVERAGE(F$4:F7)</f>
        <v>658.65837776016326</v>
      </c>
      <c r="H7" s="85"/>
      <c r="I7" s="140"/>
      <c r="J7" s="85"/>
      <c r="K7" s="85"/>
      <c r="M7">
        <f>M4</f>
        <v>0.9</v>
      </c>
      <c r="N7">
        <f t="dataTable" ref="N7:X17" dt2D="1" dtr="1" r1="J1" r2="H1"/>
        <v>601.46932344147592</v>
      </c>
      <c r="O7">
        <v>612.81120773605221</v>
      </c>
      <c r="P7">
        <v>624.39180726145321</v>
      </c>
      <c r="Q7">
        <v>636.21498901797099</v>
      </c>
      <c r="R7">
        <v>648.28439805712719</v>
      </c>
      <c r="S7">
        <v>660.60350694159297</v>
      </c>
      <c r="T7">
        <v>673.17563566938122</v>
      </c>
      <c r="U7">
        <v>686.00395325603756</v>
      </c>
      <c r="V7">
        <v>699.09146951616083</v>
      </c>
      <c r="W7">
        <v>712.44102299288591</v>
      </c>
      <c r="X7">
        <v>726.05526885065842</v>
      </c>
      <c r="Z7" s="85"/>
      <c r="AA7" s="85"/>
      <c r="AB7" s="85"/>
      <c r="AC7" s="85"/>
      <c r="AD7" s="85"/>
      <c r="AE7" s="85"/>
      <c r="AF7" s="85"/>
      <c r="AG7" s="85"/>
      <c r="BA7" s="85"/>
      <c r="BB7" s="85"/>
      <c r="BC7" s="85"/>
      <c r="BD7" s="85"/>
      <c r="BE7" s="85"/>
    </row>
    <row r="8" spans="1:57" customFormat="1" ht="16.5" x14ac:dyDescent="0.3">
      <c r="A8" s="142">
        <v>5</v>
      </c>
      <c r="B8" s="101">
        <f>'1.StatFitPoissNorm'!B6</f>
        <v>67</v>
      </c>
      <c r="C8" s="146">
        <f t="shared" si="1"/>
        <v>67</v>
      </c>
      <c r="D8" s="146">
        <f t="shared" si="2"/>
        <v>5.531886287543478</v>
      </c>
      <c r="E8" s="145">
        <f t="shared" si="3"/>
        <v>82.466351516505895</v>
      </c>
      <c r="F8" s="140">
        <f t="shared" si="0"/>
        <v>239.2080292321242</v>
      </c>
      <c r="G8" s="140">
        <f>AVERAGE(F$4:F8)</f>
        <v>574.76830805455552</v>
      </c>
      <c r="H8" s="85"/>
      <c r="I8" s="140"/>
      <c r="J8" s="85"/>
      <c r="K8" s="85"/>
      <c r="M8">
        <f>M7+$M$5</f>
        <v>0.91</v>
      </c>
      <c r="N8">
        <v>607.12736073479084</v>
      </c>
      <c r="O8">
        <v>618.67131882295496</v>
      </c>
      <c r="P8">
        <v>630.45921322917536</v>
      </c>
      <c r="Q8">
        <v>642.49494515485333</v>
      </c>
      <c r="R8">
        <v>654.78219318202821</v>
      </c>
      <c r="S8">
        <v>667.32446241696675</v>
      </c>
      <c r="T8">
        <v>680.12510504443185</v>
      </c>
      <c r="U8">
        <v>693.18732326543534</v>
      </c>
      <c r="V8">
        <v>706.51416294418561</v>
      </c>
      <c r="W8">
        <v>720.10850373864105</v>
      </c>
      <c r="X8">
        <v>733.97304940764786</v>
      </c>
      <c r="Z8" s="85"/>
      <c r="AA8" s="85"/>
      <c r="AB8" s="85"/>
      <c r="AC8" s="85"/>
      <c r="AD8" s="85"/>
      <c r="AE8" s="85"/>
      <c r="AF8" s="85"/>
      <c r="AG8" s="85"/>
      <c r="BA8" s="85"/>
      <c r="BB8" s="85"/>
      <c r="BC8" s="85"/>
      <c r="BD8" s="85"/>
      <c r="BE8" s="85"/>
    </row>
    <row r="9" spans="1:57" customFormat="1" ht="16.5" x14ac:dyDescent="0.3">
      <c r="A9" s="142">
        <v>6</v>
      </c>
      <c r="B9" s="101">
        <f>'1.StatFitPoissNorm'!B7</f>
        <v>35</v>
      </c>
      <c r="C9" s="146">
        <f t="shared" si="1"/>
        <v>35</v>
      </c>
      <c r="D9" s="146">
        <f t="shared" si="2"/>
        <v>-6.442481918533236</v>
      </c>
      <c r="E9" s="145">
        <f t="shared" si="3"/>
        <v>72.531886287543472</v>
      </c>
      <c r="F9" s="140">
        <f t="shared" si="0"/>
        <v>1408.6424883010936</v>
      </c>
      <c r="G9" s="140">
        <f>AVERAGE(F$4:F9)</f>
        <v>713.7473380956452</v>
      </c>
      <c r="H9" s="85"/>
      <c r="I9" s="140"/>
      <c r="J9" s="85"/>
      <c r="K9" s="85"/>
      <c r="M9">
        <f t="shared" ref="M9:M17" si="5">M8+$M$5</f>
        <v>0.92</v>
      </c>
      <c r="N9">
        <v>612.85178821280465</v>
      </c>
      <c r="O9">
        <v>624.60111045555402</v>
      </c>
      <c r="P9">
        <v>636.59976219009513</v>
      </c>
      <c r="Q9">
        <v>648.85169198547715</v>
      </c>
      <c r="R9">
        <v>661.36062664184499</v>
      </c>
      <c r="S9">
        <v>674.13012036323175</v>
      </c>
      <c r="T9">
        <v>687.16357624293084</v>
      </c>
      <c r="U9">
        <v>700.46425082308087</v>
      </c>
      <c r="V9">
        <v>714.03524985161494</v>
      </c>
      <c r="W9">
        <v>727.87952084999688</v>
      </c>
      <c r="X9">
        <v>741.99984607398414</v>
      </c>
      <c r="Z9" s="85"/>
      <c r="AA9" s="85"/>
      <c r="AB9" s="85"/>
      <c r="AC9" s="85"/>
      <c r="AD9" s="85"/>
      <c r="AE9" s="85"/>
      <c r="AF9" s="85"/>
      <c r="AG9" s="85"/>
      <c r="BA9" s="85"/>
      <c r="BB9" s="85"/>
      <c r="BC9" s="85"/>
      <c r="BD9" s="85"/>
      <c r="BE9" s="85"/>
    </row>
    <row r="10" spans="1:57" customFormat="1" ht="16.5" x14ac:dyDescent="0.3">
      <c r="A10" s="142">
        <v>7</v>
      </c>
      <c r="B10" s="101">
        <f>'1.StatFitPoissNorm'!B8</f>
        <v>42</v>
      </c>
      <c r="C10" s="146">
        <f t="shared" si="1"/>
        <v>42</v>
      </c>
      <c r="D10" s="146">
        <f t="shared" si="2"/>
        <v>-2.1537225723378244</v>
      </c>
      <c r="E10" s="145">
        <f t="shared" si="3"/>
        <v>28.557518081466764</v>
      </c>
      <c r="F10" s="140">
        <f t="shared" si="0"/>
        <v>180.70032013009299</v>
      </c>
      <c r="G10" s="140">
        <f>AVERAGE(F$4:F10)</f>
        <v>637.59776410056634</v>
      </c>
      <c r="H10" s="85"/>
      <c r="I10" s="140"/>
      <c r="J10" s="85"/>
      <c r="K10" s="85"/>
      <c r="M10">
        <f t="shared" si="5"/>
        <v>0.93</v>
      </c>
      <c r="N10">
        <v>618.64609741228901</v>
      </c>
      <c r="O10">
        <v>630.60435440314518</v>
      </c>
      <c r="P10">
        <v>642.81753098927118</v>
      </c>
      <c r="Q10">
        <v>655.28963871160545</v>
      </c>
      <c r="R10">
        <v>668.02446996229207</v>
      </c>
      <c r="S10">
        <v>681.02564753941374</v>
      </c>
      <c r="T10">
        <v>694.29664737627627</v>
      </c>
      <c r="U10">
        <v>707.84080500585389</v>
      </c>
      <c r="V10">
        <v>721.6613136940897</v>
      </c>
      <c r="W10">
        <v>735.7612197074435</v>
      </c>
      <c r="X10">
        <v>750.1434181976</v>
      </c>
      <c r="Z10" s="85"/>
      <c r="AA10" s="85"/>
      <c r="AB10" s="85"/>
      <c r="AC10" s="85"/>
      <c r="AD10" s="85"/>
      <c r="AE10" s="85"/>
      <c r="AF10" s="85"/>
      <c r="AG10" s="85"/>
      <c r="BA10" s="85"/>
      <c r="BB10" s="85"/>
      <c r="BC10" s="85"/>
      <c r="BD10" s="85"/>
      <c r="BE10" s="85"/>
    </row>
    <row r="11" spans="1:57" customFormat="1" ht="16.5" x14ac:dyDescent="0.3">
      <c r="A11" s="142">
        <v>8</v>
      </c>
      <c r="B11" s="101">
        <f>'1.StatFitPoissNorm'!B9</f>
        <v>44</v>
      </c>
      <c r="C11" s="146">
        <f t="shared" si="1"/>
        <v>44</v>
      </c>
      <c r="D11" s="146">
        <f t="shared" si="2"/>
        <v>-0.82849731917561042</v>
      </c>
      <c r="E11" s="145">
        <f t="shared" si="3"/>
        <v>39.846277427662173</v>
      </c>
      <c r="F11" s="140">
        <f t="shared" si="0"/>
        <v>17.253411207948776</v>
      </c>
      <c r="G11" s="140">
        <f>AVERAGE(F$4:F11)</f>
        <v>560.05471998898906</v>
      </c>
      <c r="H11" s="85"/>
      <c r="I11" s="140"/>
      <c r="J11" s="85"/>
      <c r="K11" s="85"/>
      <c r="M11">
        <f t="shared" si="5"/>
        <v>0.94000000000000006</v>
      </c>
      <c r="N11">
        <v>624.51404414100205</v>
      </c>
      <c r="O11">
        <v>636.68511203295213</v>
      </c>
      <c r="P11">
        <v>649.11691386078667</v>
      </c>
      <c r="Q11">
        <v>661.81354241692134</v>
      </c>
      <c r="R11">
        <v>674.77887600499798</v>
      </c>
      <c r="S11">
        <v>688.01662874007991</v>
      </c>
      <c r="T11">
        <v>701.53037485028165</v>
      </c>
      <c r="U11">
        <v>715.32355735006217</v>
      </c>
      <c r="V11">
        <v>729.39948884246462</v>
      </c>
      <c r="W11">
        <v>743.76134978054529</v>
      </c>
      <c r="X11">
        <v>758.41218758281957</v>
      </c>
      <c r="Z11" s="85"/>
      <c r="AA11" s="85"/>
      <c r="AB11" s="85"/>
      <c r="AC11" s="85"/>
      <c r="AD11" s="85"/>
      <c r="AE11" s="85"/>
      <c r="AF11" s="85"/>
      <c r="AG11" s="85"/>
      <c r="BA11" s="85"/>
      <c r="BB11" s="85"/>
      <c r="BC11" s="85"/>
      <c r="BD11" s="85"/>
      <c r="BE11" s="85"/>
    </row>
    <row r="12" spans="1:57" customFormat="1" ht="16.5" x14ac:dyDescent="0.3">
      <c r="A12" s="142">
        <v>9</v>
      </c>
      <c r="B12" s="101">
        <f>'1.StatFitPoissNorm'!B10</f>
        <v>51</v>
      </c>
      <c r="C12" s="146">
        <f t="shared" si="1"/>
        <v>51</v>
      </c>
      <c r="D12" s="146">
        <f t="shared" si="2"/>
        <v>1.6691471818737593</v>
      </c>
      <c r="E12" s="145">
        <f t="shared" si="3"/>
        <v>43.171502680824389</v>
      </c>
      <c r="F12" s="140">
        <f t="shared" si="0"/>
        <v>61.285370276339727</v>
      </c>
      <c r="G12" s="140">
        <f>AVERAGE(F$4:F12)</f>
        <v>504.63590335425022</v>
      </c>
      <c r="H12" s="85"/>
      <c r="I12" s="140"/>
      <c r="J12" s="85"/>
      <c r="K12" s="85"/>
      <c r="M12">
        <f t="shared" si="5"/>
        <v>0.95000000000000007</v>
      </c>
      <c r="N12">
        <v>630.45966331484999</v>
      </c>
      <c r="O12">
        <v>642.84775089270386</v>
      </c>
      <c r="P12">
        <v>655.50264095990644</v>
      </c>
      <c r="Q12">
        <v>668.42852877827067</v>
      </c>
      <c r="R12">
        <v>681.62940211637567</v>
      </c>
      <c r="S12">
        <v>695.10909267352758</v>
      </c>
      <c r="T12">
        <v>708.87130230220635</v>
      </c>
      <c r="U12">
        <v>722.91961421986741</v>
      </c>
      <c r="V12">
        <v>737.25749680417459</v>
      </c>
      <c r="W12">
        <v>751.88830517951169</v>
      </c>
      <c r="X12">
        <v>766.81528391281336</v>
      </c>
      <c r="Z12" s="85"/>
      <c r="AA12" s="85"/>
      <c r="AB12" s="85"/>
      <c r="AC12" s="85"/>
      <c r="AD12" s="85"/>
      <c r="AE12" s="85"/>
      <c r="AF12" s="85"/>
      <c r="AG12" s="85"/>
      <c r="BA12" s="85"/>
      <c r="BB12" s="85"/>
      <c r="BC12" s="85"/>
      <c r="BD12" s="85"/>
      <c r="BE12" s="85"/>
    </row>
    <row r="13" spans="1:57" customFormat="1" ht="16.5" x14ac:dyDescent="0.3">
      <c r="A13" s="142">
        <v>10</v>
      </c>
      <c r="B13" s="101">
        <f>'1.StatFitPoissNorm'!B11</f>
        <v>39</v>
      </c>
      <c r="C13" s="146">
        <f t="shared" si="1"/>
        <v>39</v>
      </c>
      <c r="D13" s="146">
        <f t="shared" si="2"/>
        <v>-2.6919286288332582</v>
      </c>
      <c r="E13" s="145">
        <f t="shared" si="3"/>
        <v>52.669147181873761</v>
      </c>
      <c r="F13" s="140">
        <f t="shared" si="0"/>
        <v>186.84558467972738</v>
      </c>
      <c r="G13" s="140">
        <f>AVERAGE(F$4:F13)</f>
        <v>472.8568714867979</v>
      </c>
      <c r="H13" s="85"/>
      <c r="I13" s="140"/>
      <c r="J13" s="85"/>
      <c r="K13" s="85"/>
      <c r="M13">
        <f t="shared" si="5"/>
        <v>0.96000000000000008</v>
      </c>
      <c r="N13">
        <v>636.48728498322635</v>
      </c>
      <c r="O13">
        <v>649.09696264934507</v>
      </c>
      <c r="P13">
        <v>661.97979844415477</v>
      </c>
      <c r="Q13">
        <v>675.14011454720674</v>
      </c>
      <c r="R13">
        <v>688.5820353010738</v>
      </c>
      <c r="S13">
        <v>702.30954015670318</v>
      </c>
      <c r="T13">
        <v>716.32649219016059</v>
      </c>
      <c r="U13">
        <v>730.63665221378926</v>
      </c>
      <c r="V13">
        <v>745.24368592593771</v>
      </c>
      <c r="W13">
        <v>760.15116919759578</v>
      </c>
      <c r="X13">
        <v>775.36259474857457</v>
      </c>
      <c r="Z13" s="85"/>
      <c r="AA13" s="85"/>
      <c r="AB13" s="85"/>
      <c r="AC13" s="85"/>
      <c r="AD13" s="85"/>
      <c r="AE13" s="85"/>
      <c r="AF13" s="85"/>
      <c r="AG13" s="85"/>
      <c r="BA13" s="85"/>
      <c r="BB13" s="85"/>
      <c r="BC13" s="85"/>
      <c r="BD13" s="85"/>
      <c r="BE13" s="85"/>
    </row>
    <row r="14" spans="1:57" customFormat="1" ht="16.5" x14ac:dyDescent="0.3">
      <c r="A14" s="142">
        <v>11</v>
      </c>
      <c r="B14" s="101">
        <f>'1.StatFitPoissNorm'!B12</f>
        <v>46</v>
      </c>
      <c r="C14" s="146">
        <f t="shared" si="1"/>
        <v>46</v>
      </c>
      <c r="D14" s="146">
        <f t="shared" si="2"/>
        <v>0.40023468903289561</v>
      </c>
      <c r="E14" s="145">
        <f t="shared" si="3"/>
        <v>36.30807137116674</v>
      </c>
      <c r="F14" s="140">
        <f t="shared" si="0"/>
        <v>93.93348054639776</v>
      </c>
      <c r="G14" s="140">
        <f>AVERAGE(F$4:F14)</f>
        <v>438.40929049221609</v>
      </c>
      <c r="H14" s="85"/>
      <c r="I14" s="140"/>
      <c r="J14" s="85"/>
      <c r="K14" s="85"/>
      <c r="M14">
        <f t="shared" si="5"/>
        <v>0.97000000000000008</v>
      </c>
      <c r="N14">
        <v>642.60155167237974</v>
      </c>
      <c r="O14">
        <v>655.43778253485948</v>
      </c>
      <c r="P14">
        <v>668.55385027885484</v>
      </c>
      <c r="Q14">
        <v>681.95423200595064</v>
      </c>
      <c r="R14">
        <v>695.64321965737497</v>
      </c>
      <c r="S14">
        <v>709.62497490286876</v>
      </c>
      <c r="T14">
        <v>723.90356035597108</v>
      </c>
      <c r="U14">
        <v>738.48295698287643</v>
      </c>
      <c r="V14">
        <v>753.36707501264993</v>
      </c>
      <c r="W14">
        <v>768.55976335069579</v>
      </c>
      <c r="X14">
        <v>784.0648206943988</v>
      </c>
      <c r="Z14" s="85"/>
      <c r="AA14" s="85"/>
      <c r="AB14" s="85"/>
      <c r="AC14" s="85"/>
      <c r="AD14" s="85"/>
      <c r="AE14" s="85"/>
      <c r="AF14" s="85"/>
      <c r="AG14" s="85"/>
      <c r="BA14" s="85"/>
      <c r="BB14" s="85"/>
      <c r="BC14" s="85"/>
      <c r="BD14" s="85"/>
      <c r="BE14" s="85"/>
    </row>
    <row r="15" spans="1:57" customFormat="1" ht="16.5" x14ac:dyDescent="0.3">
      <c r="A15" s="142">
        <v>12</v>
      </c>
      <c r="B15" s="101">
        <f>'1.StatFitPoissNorm'!B13</f>
        <v>41</v>
      </c>
      <c r="C15" s="146">
        <f t="shared" si="1"/>
        <v>41</v>
      </c>
      <c r="D15" s="146">
        <f t="shared" si="2"/>
        <v>-1.322684273000986</v>
      </c>
      <c r="E15" s="145">
        <f t="shared" si="3"/>
        <v>46.400234689032892</v>
      </c>
      <c r="F15" s="140">
        <f t="shared" si="0"/>
        <v>29.162534696634179</v>
      </c>
      <c r="G15" s="140">
        <f>AVERAGE(F$4:F15)</f>
        <v>404.30539417591757</v>
      </c>
      <c r="H15" s="85"/>
      <c r="I15" s="140"/>
      <c r="J15" s="85"/>
      <c r="K15" s="85"/>
      <c r="M15">
        <f t="shared" si="5"/>
        <v>0.98000000000000009</v>
      </c>
      <c r="N15">
        <v>648.80743719097313</v>
      </c>
      <c r="O15">
        <v>661.87561046714393</v>
      </c>
      <c r="P15">
        <v>675.23066196277898</v>
      </c>
      <c r="Q15">
        <v>688.87725562570938</v>
      </c>
      <c r="R15">
        <v>702.81988634014203</v>
      </c>
      <c r="S15">
        <v>717.06293721162376</v>
      </c>
      <c r="T15">
        <v>731.61071392248789</v>
      </c>
      <c r="U15">
        <v>746.46746588162046</v>
      </c>
      <c r="V15">
        <v>761.63740135386809</v>
      </c>
      <c r="W15">
        <v>777.12470148796933</v>
      </c>
      <c r="X15">
        <v>792.93353640036355</v>
      </c>
      <c r="Z15" s="85"/>
      <c r="AA15" s="85"/>
      <c r="AB15" s="85"/>
      <c r="AC15" s="85"/>
      <c r="AD15" s="85"/>
      <c r="AE15" s="85"/>
      <c r="AF15" s="85"/>
      <c r="AG15" s="85"/>
      <c r="BA15" s="85"/>
      <c r="BB15" s="85"/>
      <c r="BC15" s="85"/>
      <c r="BD15" s="85"/>
      <c r="BE15" s="85"/>
    </row>
    <row r="16" spans="1:57" customFormat="1" ht="16.5" x14ac:dyDescent="0.3">
      <c r="A16" s="142">
        <v>13</v>
      </c>
      <c r="B16" s="101">
        <f>'1.StatFitPoissNorm'!B14</f>
        <v>69</v>
      </c>
      <c r="C16" s="146">
        <f t="shared" si="1"/>
        <v>69</v>
      </c>
      <c r="D16" s="146">
        <f t="shared" si="2"/>
        <v>8.03257742595558</v>
      </c>
      <c r="E16" s="145">
        <f t="shared" si="3"/>
        <v>39.677315726999012</v>
      </c>
      <c r="F16" s="140">
        <f t="shared" si="0"/>
        <v>859.81981297409948</v>
      </c>
      <c r="G16" s="140">
        <f>AVERAGE(F$4:F16)</f>
        <v>439.3449648527008</v>
      </c>
      <c r="H16" s="85"/>
      <c r="I16" s="140"/>
      <c r="J16" s="85"/>
      <c r="K16" s="85"/>
      <c r="M16">
        <f t="shared" si="5"/>
        <v>0.9900000000000001</v>
      </c>
      <c r="N16">
        <v>655.11026705800191</v>
      </c>
      <c r="O16">
        <v>668.41623403284416</v>
      </c>
      <c r="P16">
        <v>682.01652639207248</v>
      </c>
      <c r="Q16">
        <v>695.91603118206126</v>
      </c>
      <c r="R16">
        <v>710.1194863487882</v>
      </c>
      <c r="S16">
        <v>724.63154090879686</v>
      </c>
      <c r="T16">
        <v>739.45679293150295</v>
      </c>
      <c r="U16">
        <v>754.59981492656766</v>
      </c>
      <c r="V16">
        <v>770.06517371362202</v>
      </c>
      <c r="W16">
        <v>785.85744962415731</v>
      </c>
      <c r="X16">
        <v>801.98125816427398</v>
      </c>
      <c r="Z16" s="85"/>
      <c r="AA16" s="85"/>
      <c r="AB16" s="85"/>
      <c r="AC16" s="85"/>
      <c r="AD16" s="85"/>
      <c r="AE16" s="85"/>
      <c r="AF16" s="85"/>
      <c r="AG16" s="85"/>
      <c r="BA16" s="85"/>
      <c r="BB16" s="85"/>
      <c r="BC16" s="85"/>
      <c r="BD16" s="85"/>
      <c r="BE16" s="85"/>
    </row>
    <row r="17" spans="1:57" customFormat="1" ht="16.5" x14ac:dyDescent="0.3">
      <c r="A17" s="142">
        <v>14</v>
      </c>
      <c r="B17" s="101">
        <f>'1.StatFitPoissNorm'!B15</f>
        <v>28</v>
      </c>
      <c r="C17" s="146">
        <f t="shared" si="1"/>
        <v>28</v>
      </c>
      <c r="D17" s="146">
        <f t="shared" si="2"/>
        <v>-7.6110310964922325</v>
      </c>
      <c r="E17" s="145">
        <f t="shared" si="3"/>
        <v>77.03257742595558</v>
      </c>
      <c r="F17" s="140">
        <f t="shared" si="0"/>
        <v>2404.1936490323287</v>
      </c>
      <c r="G17" s="140">
        <f>AVERAGE(F$4:F17)</f>
        <v>579.69129943695987</v>
      </c>
      <c r="H17" s="85"/>
      <c r="I17" s="140"/>
      <c r="J17" s="85"/>
      <c r="K17" s="85"/>
      <c r="L17" s="10"/>
      <c r="M17">
        <f t="shared" si="5"/>
        <v>1</v>
      </c>
      <c r="N17">
        <v>661.51574073102267</v>
      </c>
      <c r="O17" s="10">
        <v>675.06585354024526</v>
      </c>
      <c r="P17" s="10">
        <v>688.91819210584833</v>
      </c>
      <c r="Q17" s="10">
        <v>703.07790761218064</v>
      </c>
      <c r="R17" s="10">
        <v>717.5500264735681</v>
      </c>
      <c r="S17" s="10">
        <v>732.33951392648976</v>
      </c>
      <c r="T17" s="10">
        <v>747.451316179522</v>
      </c>
      <c r="U17" s="10">
        <v>762.89039059865456</v>
      </c>
      <c r="V17" s="10">
        <v>778.66173091234009</v>
      </c>
      <c r="W17" s="10">
        <v>794.77039223178497</v>
      </c>
      <c r="X17" s="10">
        <v>811.22151900036977</v>
      </c>
      <c r="Y17" s="10"/>
      <c r="Z17" s="93"/>
      <c r="AA17" s="93"/>
      <c r="AB17" s="93"/>
      <c r="AC17" s="93"/>
      <c r="AD17" s="93"/>
      <c r="AE17" s="93"/>
      <c r="AF17" s="93"/>
      <c r="AG17" s="93"/>
      <c r="AH17" s="10"/>
      <c r="AI17" s="10"/>
      <c r="AJ17" s="10"/>
      <c r="AK17" s="10"/>
      <c r="AL17" s="10"/>
      <c r="AM17" s="10"/>
      <c r="AN17" s="10"/>
      <c r="BA17" s="85"/>
      <c r="BB17" s="85"/>
      <c r="BC17" s="85"/>
      <c r="BD17" s="85"/>
      <c r="BE17" s="85"/>
    </row>
    <row r="18" spans="1:57" ht="16.5" x14ac:dyDescent="0.3">
      <c r="A18" s="142">
        <v>15</v>
      </c>
      <c r="B18" s="101">
        <f>'1.StatFitPoissNorm'!B16</f>
        <v>82</v>
      </c>
      <c r="C18" s="146">
        <f t="shared" si="1"/>
        <v>82</v>
      </c>
      <c r="D18" s="146">
        <f t="shared" si="2"/>
        <v>12.045672706063371</v>
      </c>
      <c r="E18" s="145">
        <f t="shared" si="3"/>
        <v>20.388968903507767</v>
      </c>
      <c r="F18" s="140">
        <f t="shared" si="0"/>
        <v>3795.9191527729331</v>
      </c>
      <c r="G18" s="140">
        <f>AVERAGE(F$4:F18)</f>
        <v>794.10648965935809</v>
      </c>
      <c r="I18" s="140"/>
      <c r="L18" s="93"/>
      <c r="M18"/>
      <c r="N18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>
        <f>MIN(N7:X17)</f>
        <v>601.46932344147592</v>
      </c>
      <c r="Z18" s="93"/>
      <c r="AA18" s="93"/>
      <c r="AB18" s="93"/>
      <c r="AC18" s="93"/>
      <c r="AD18" s="93"/>
      <c r="AE18" s="93"/>
      <c r="AF18" s="93"/>
      <c r="AG18" s="93"/>
      <c r="AH18" s="10"/>
      <c r="AI18" s="10"/>
      <c r="AJ18" s="10"/>
      <c r="AK18" s="10"/>
      <c r="AL18" s="10"/>
      <c r="AM18" s="10"/>
      <c r="AN18" s="10"/>
    </row>
    <row r="19" spans="1:57" ht="16.5" x14ac:dyDescent="0.3">
      <c r="A19" s="142">
        <v>16</v>
      </c>
      <c r="B19" s="101">
        <f>'1.StatFitPoissNorm'!B17</f>
        <v>65</v>
      </c>
      <c r="C19" s="146">
        <f t="shared" si="1"/>
        <v>65</v>
      </c>
      <c r="D19" s="146">
        <f t="shared" si="2"/>
        <v>2.7787902181712401</v>
      </c>
      <c r="E19" s="145">
        <f t="shared" si="3"/>
        <v>94.045672706063371</v>
      </c>
      <c r="F19" s="140">
        <f t="shared" si="0"/>
        <v>843.65110294775468</v>
      </c>
      <c r="G19" s="140">
        <f>AVERAGE(F$4:F19)</f>
        <v>797.20302798988291</v>
      </c>
      <c r="I19" s="140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10"/>
      <c r="AI19" s="10"/>
      <c r="AJ19" s="10"/>
      <c r="AK19" s="10"/>
      <c r="AL19" s="10"/>
      <c r="AM19" s="10"/>
      <c r="AN19" s="10"/>
    </row>
    <row r="20" spans="1:57" ht="16.5" x14ac:dyDescent="0.3">
      <c r="A20" s="142">
        <v>17</v>
      </c>
      <c r="B20" s="101">
        <f>'1.StatFitPoissNorm'!B18</f>
        <v>47</v>
      </c>
      <c r="C20" s="146">
        <f t="shared" si="1"/>
        <v>47</v>
      </c>
      <c r="D20" s="146">
        <f t="shared" si="2"/>
        <v>-3.8505830843847386</v>
      </c>
      <c r="E20" s="145">
        <f t="shared" si="3"/>
        <v>67.778790218171238</v>
      </c>
      <c r="F20" s="140">
        <f t="shared" si="0"/>
        <v>431.75812293076876</v>
      </c>
      <c r="G20" s="140">
        <f>AVERAGE(F$4:F20)</f>
        <v>775.70626886875857</v>
      </c>
      <c r="I20" s="140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10"/>
      <c r="AI20" s="10"/>
      <c r="AJ20" s="10"/>
      <c r="AK20" s="10"/>
      <c r="AL20" s="10"/>
      <c r="AM20" s="10"/>
      <c r="AN20" s="10"/>
    </row>
    <row r="21" spans="1:57" ht="16.5" x14ac:dyDescent="0.3">
      <c r="A21" s="142">
        <v>18</v>
      </c>
      <c r="B21" s="101">
        <f>'1.StatFitPoissNorm'!B19</f>
        <v>53</v>
      </c>
      <c r="C21" s="146">
        <f t="shared" si="1"/>
        <v>53</v>
      </c>
      <c r="D21" s="146">
        <f t="shared" si="2"/>
        <v>-0.70780182385102997</v>
      </c>
      <c r="E21" s="145">
        <f t="shared" si="3"/>
        <v>43.149416915615262</v>
      </c>
      <c r="F21" s="140">
        <f t="shared" si="0"/>
        <v>97.033987102366737</v>
      </c>
      <c r="G21" s="140">
        <f>AVERAGE(F$4:F21)</f>
        <v>738.00225321507014</v>
      </c>
      <c r="I21" s="140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10"/>
      <c r="AI21" s="10"/>
      <c r="AJ21" s="10"/>
      <c r="AK21" s="10"/>
      <c r="AL21" s="10"/>
      <c r="AM21" s="10"/>
      <c r="AN21" s="10"/>
    </row>
    <row r="22" spans="1:57" ht="16.5" x14ac:dyDescent="0.3">
      <c r="A22" s="142">
        <v>19</v>
      </c>
      <c r="B22" s="101">
        <f>'1.StatFitPoissNorm'!B20</f>
        <v>90</v>
      </c>
      <c r="C22" s="146">
        <f t="shared" si="1"/>
        <v>90</v>
      </c>
      <c r="D22" s="146">
        <f t="shared" si="2"/>
        <v>11.322691389873253</v>
      </c>
      <c r="E22" s="145">
        <f t="shared" si="3"/>
        <v>52.292198176148972</v>
      </c>
      <c r="F22" s="140">
        <f t="shared" si="0"/>
        <v>1421.8783183868229</v>
      </c>
      <c r="G22" s="140">
        <f>AVERAGE(F$4:F22)</f>
        <v>773.99573032937292</v>
      </c>
      <c r="I22" s="140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10"/>
      <c r="AI22" s="10"/>
      <c r="AJ22" s="10"/>
      <c r="AK22" s="10"/>
      <c r="AL22" s="10"/>
      <c r="AM22" s="10"/>
      <c r="AN22" s="10"/>
    </row>
    <row r="23" spans="1:57" ht="16.5" x14ac:dyDescent="0.3">
      <c r="A23" s="142">
        <v>20</v>
      </c>
      <c r="B23" s="101">
        <f>'1.StatFitPoissNorm'!B21</f>
        <v>56</v>
      </c>
      <c r="C23" s="146">
        <f t="shared" si="1"/>
        <v>56</v>
      </c>
      <c r="D23" s="146">
        <f t="shared" si="2"/>
        <v>-3.1372957963515518</v>
      </c>
      <c r="E23" s="145">
        <f t="shared" si="3"/>
        <v>101.32269138987326</v>
      </c>
      <c r="F23" s="140">
        <f t="shared" si="0"/>
        <v>2054.1463548216916</v>
      </c>
      <c r="G23" s="140">
        <f>AVERAGE(F$4:F23)</f>
        <v>838.00326155398886</v>
      </c>
      <c r="I23" s="140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10"/>
      <c r="AI23" s="10"/>
      <c r="AJ23" s="10"/>
      <c r="AK23" s="10"/>
      <c r="AL23" s="10"/>
      <c r="AM23" s="10"/>
      <c r="AN23" s="10"/>
    </row>
    <row r="24" spans="1:57" ht="16.5" x14ac:dyDescent="0.3">
      <c r="A24" s="142">
        <v>21</v>
      </c>
      <c r="B24" s="101">
        <f>'1.StatFitPoissNorm'!B22</f>
        <v>51</v>
      </c>
      <c r="C24" s="146">
        <f t="shared" si="1"/>
        <v>51</v>
      </c>
      <c r="D24" s="146">
        <f t="shared" si="2"/>
        <v>-3.731582633485452</v>
      </c>
      <c r="E24" s="145">
        <f t="shared" si="3"/>
        <v>52.862704203648448</v>
      </c>
      <c r="F24" s="140">
        <f t="shared" si="0"/>
        <v>3.4696669502895996</v>
      </c>
      <c r="G24" s="140">
        <f>AVERAGE(F$4:F24)</f>
        <v>798.26356657286033</v>
      </c>
      <c r="I24" s="140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10"/>
      <c r="AI24" s="10"/>
      <c r="AJ24" s="10"/>
      <c r="AK24" s="10"/>
      <c r="AL24" s="10"/>
      <c r="AM24" s="10"/>
      <c r="AN24" s="10"/>
    </row>
    <row r="25" spans="1:57" ht="16.5" x14ac:dyDescent="0.3">
      <c r="A25" s="142">
        <v>22</v>
      </c>
      <c r="B25" s="101">
        <f>'1.StatFitPoissNorm'!B23</f>
        <v>40</v>
      </c>
      <c r="C25" s="146">
        <f t="shared" si="1"/>
        <v>40</v>
      </c>
      <c r="D25" s="146">
        <f t="shared" si="2"/>
        <v>-6.0505363134387498</v>
      </c>
      <c r="E25" s="145">
        <f t="shared" si="3"/>
        <v>47.268417366514548</v>
      </c>
      <c r="F25" s="140">
        <f t="shared" si="0"/>
        <v>52.829891013850279</v>
      </c>
      <c r="G25" s="140">
        <f>AVERAGE(F$4:F25)</f>
        <v>764.38021768381441</v>
      </c>
      <c r="I25" s="140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10"/>
      <c r="AI25" s="10"/>
      <c r="AJ25" s="10"/>
      <c r="AK25" s="10"/>
      <c r="AL25" s="10"/>
      <c r="AM25" s="10"/>
      <c r="AN25" s="10"/>
    </row>
    <row r="26" spans="1:57" ht="16.5" x14ac:dyDescent="0.3">
      <c r="A26" s="142">
        <v>23</v>
      </c>
      <c r="B26" s="101">
        <f>'1.StatFitPoissNorm'!B24</f>
        <v>61</v>
      </c>
      <c r="C26" s="146">
        <f t="shared" si="1"/>
        <v>61</v>
      </c>
      <c r="D26" s="146">
        <f t="shared" si="2"/>
        <v>2.5798074829632087</v>
      </c>
      <c r="E26" s="145">
        <f t="shared" si="3"/>
        <v>33.949463686561252</v>
      </c>
      <c r="F26" s="140">
        <f t="shared" si="0"/>
        <v>731.73151484466837</v>
      </c>
      <c r="G26" s="140">
        <f>AVERAGE(F$4:F26)</f>
        <v>762.96070886472114</v>
      </c>
      <c r="I26" s="140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10"/>
      <c r="AI26" s="10"/>
      <c r="AJ26" s="10"/>
      <c r="AK26" s="10"/>
      <c r="AL26" s="10"/>
      <c r="AM26" s="10"/>
      <c r="AN26" s="10"/>
    </row>
    <row r="27" spans="1:57" ht="16.5" x14ac:dyDescent="0.3">
      <c r="A27" s="142">
        <v>24</v>
      </c>
      <c r="B27" s="101">
        <f>'1.StatFitPoissNorm'!B25</f>
        <v>72</v>
      </c>
      <c r="C27" s="146">
        <f t="shared" si="1"/>
        <v>72</v>
      </c>
      <c r="D27" s="146">
        <f t="shared" si="2"/>
        <v>5.2662294973694994</v>
      </c>
      <c r="E27" s="145">
        <f t="shared" si="3"/>
        <v>63.579807482963211</v>
      </c>
      <c r="F27" s="140">
        <f t="shared" si="0"/>
        <v>70.899642023962329</v>
      </c>
      <c r="G27" s="140">
        <f>AVERAGE(F$4:F27)</f>
        <v>734.12483107968956</v>
      </c>
      <c r="I27" s="140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10"/>
      <c r="AI27" s="10"/>
      <c r="AJ27" s="10"/>
      <c r="AK27" s="10"/>
      <c r="AL27" s="10"/>
      <c r="AM27" s="10"/>
      <c r="AN27" s="10"/>
    </row>
    <row r="28" spans="1:57" ht="16.5" x14ac:dyDescent="0.3">
      <c r="A28" s="142">
        <v>25</v>
      </c>
      <c r="B28" s="101">
        <f>'1.StatFitPoissNorm'!B26</f>
        <v>39</v>
      </c>
      <c r="C28" s="146">
        <f t="shared" si="1"/>
        <v>39</v>
      </c>
      <c r="D28" s="146">
        <f t="shared" si="2"/>
        <v>-6.9424273857196326</v>
      </c>
      <c r="E28" s="145">
        <f t="shared" si="3"/>
        <v>77.266229497369494</v>
      </c>
      <c r="F28" s="140">
        <f t="shared" si="0"/>
        <v>1464.3043199453512</v>
      </c>
      <c r="G28" s="140">
        <f>AVERAGE(F$4:F28)</f>
        <v>763.33201063431591</v>
      </c>
      <c r="I28" s="140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10"/>
      <c r="AI28" s="10"/>
      <c r="AJ28" s="10"/>
      <c r="AK28" s="10"/>
      <c r="AL28" s="10"/>
      <c r="AM28" s="10"/>
      <c r="AN28" s="10"/>
    </row>
    <row r="29" spans="1:57" ht="16.5" x14ac:dyDescent="0.3">
      <c r="A29" s="142">
        <v>26</v>
      </c>
      <c r="B29" s="101">
        <f>'1.StatFitPoissNorm'!B27</f>
        <v>31</v>
      </c>
      <c r="C29" s="146">
        <f t="shared" si="1"/>
        <v>31</v>
      </c>
      <c r="D29" s="146">
        <f t="shared" si="2"/>
        <v>-7.2798408530587162</v>
      </c>
      <c r="E29" s="145">
        <f t="shared" si="3"/>
        <v>32.057572614280367</v>
      </c>
      <c r="F29" s="140">
        <f t="shared" si="0"/>
        <v>1.1184598344758108</v>
      </c>
      <c r="G29" s="140">
        <f>AVERAGE(F$4:F29)</f>
        <v>734.01610483432216</v>
      </c>
      <c r="I29" s="140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10"/>
      <c r="AI29" s="10"/>
      <c r="AJ29" s="10"/>
      <c r="AK29" s="10"/>
      <c r="AL29" s="10"/>
      <c r="AM29" s="10"/>
      <c r="AN29" s="10"/>
    </row>
    <row r="30" spans="1:57" ht="16.5" x14ac:dyDescent="0.3">
      <c r="A30" s="142">
        <v>27</v>
      </c>
      <c r="B30" s="101">
        <f>'1.StatFitPoissNorm'!B28</f>
        <v>62</v>
      </c>
      <c r="C30" s="146">
        <f t="shared" si="1"/>
        <v>62</v>
      </c>
      <c r="D30" s="146">
        <f t="shared" si="2"/>
        <v>4.9331586677427284</v>
      </c>
      <c r="E30" s="145">
        <f t="shared" si="3"/>
        <v>23.720159146941285</v>
      </c>
      <c r="F30" s="140">
        <f t="shared" si="0"/>
        <v>1465.3462157355029</v>
      </c>
      <c r="G30" s="140">
        <f>AVERAGE(F$4:F30)</f>
        <v>761.10240523806954</v>
      </c>
      <c r="I30" s="140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0"/>
      <c r="AI30" s="10"/>
      <c r="AJ30" s="10"/>
      <c r="AK30" s="10"/>
      <c r="AL30" s="10"/>
      <c r="AM30" s="10"/>
      <c r="AN30" s="10"/>
    </row>
    <row r="31" spans="1:57" ht="16.5" x14ac:dyDescent="0.3">
      <c r="A31" s="142">
        <v>28</v>
      </c>
      <c r="B31" s="101">
        <f>'1.StatFitPoissNorm'!B29</f>
        <v>48</v>
      </c>
      <c r="C31" s="146">
        <f t="shared" si="1"/>
        <v>48</v>
      </c>
      <c r="D31" s="146">
        <f t="shared" si="2"/>
        <v>-1.1073747457582157</v>
      </c>
      <c r="E31" s="145">
        <f t="shared" si="3"/>
        <v>66.933158667742731</v>
      </c>
      <c r="F31" s="140">
        <f t="shared" si="0"/>
        <v>358.46449713792168</v>
      </c>
      <c r="G31" s="140">
        <f>AVERAGE(F$4:F31)</f>
        <v>746.72247994877853</v>
      </c>
      <c r="I31" s="140" t="s">
        <v>123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0"/>
      <c r="AI31" s="10"/>
      <c r="AJ31" s="10"/>
      <c r="AK31" s="10"/>
      <c r="AL31" s="10"/>
      <c r="AM31" s="10"/>
      <c r="AN31" s="10"/>
    </row>
    <row r="32" spans="1:57" ht="16.5" x14ac:dyDescent="0.3">
      <c r="A32" s="141">
        <v>29</v>
      </c>
      <c r="B32"/>
      <c r="E32" s="1">
        <f t="shared" ref="E32" si="6">C31+D31</f>
        <v>46.892625254241786</v>
      </c>
      <c r="F32" s="132"/>
      <c r="G32"/>
      <c r="H32" s="93"/>
      <c r="I32" s="93" t="s">
        <v>122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10"/>
      <c r="AI32" s="10"/>
      <c r="AJ32" s="10"/>
      <c r="AK32" s="10"/>
      <c r="AL32" s="10"/>
      <c r="AM32" s="10"/>
      <c r="AN32" s="10"/>
      <c r="BA32"/>
      <c r="BB32"/>
      <c r="BC32"/>
      <c r="BD32"/>
      <c r="BE32"/>
    </row>
    <row r="33" spans="1:57" x14ac:dyDescent="0.25">
      <c r="A33"/>
      <c r="B33"/>
      <c r="C33" s="10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10"/>
      <c r="AI33" s="10"/>
      <c r="AJ33" s="10"/>
      <c r="AK33" s="10"/>
      <c r="AL33" s="10"/>
      <c r="AM33" s="10"/>
      <c r="AN33" s="10"/>
      <c r="BA33"/>
      <c r="BB33"/>
      <c r="BC33"/>
      <c r="BD33"/>
      <c r="BE33"/>
    </row>
    <row r="34" spans="1:57" x14ac:dyDescent="0.25">
      <c r="A34"/>
      <c r="B34"/>
      <c r="C34" s="10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10"/>
      <c r="AI34" s="10"/>
      <c r="AJ34" s="10"/>
      <c r="AK34" s="10"/>
      <c r="AL34" s="10"/>
      <c r="AM34" s="10"/>
      <c r="AN34" s="10"/>
      <c r="BA34"/>
      <c r="BB34"/>
      <c r="BC34"/>
      <c r="BD34"/>
      <c r="BE34"/>
    </row>
    <row r="35" spans="1:57" x14ac:dyDescent="0.25">
      <c r="A35"/>
      <c r="B35"/>
      <c r="C35" s="10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10"/>
      <c r="AI35" s="10"/>
      <c r="AJ35" s="10"/>
      <c r="AK35" s="10"/>
      <c r="AL35" s="10"/>
      <c r="AM35" s="10"/>
      <c r="AN35" s="10"/>
      <c r="BA35"/>
      <c r="BB35"/>
      <c r="BC35"/>
      <c r="BD35"/>
      <c r="BE35"/>
    </row>
    <row r="36" spans="1:57" x14ac:dyDescent="0.25">
      <c r="A36"/>
      <c r="B36"/>
      <c r="C36" s="10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10"/>
      <c r="AI36" s="10"/>
      <c r="AJ36" s="10"/>
      <c r="AK36" s="10"/>
      <c r="AL36" s="10"/>
      <c r="AM36" s="10"/>
      <c r="AN36" s="10"/>
      <c r="BA36"/>
      <c r="BB36"/>
      <c r="BC36"/>
      <c r="BD36"/>
      <c r="BE36"/>
    </row>
    <row r="37" spans="1:57" x14ac:dyDescent="0.25">
      <c r="A37"/>
      <c r="B37"/>
      <c r="C37" s="10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10"/>
      <c r="AI37" s="10"/>
      <c r="AJ37" s="10"/>
      <c r="AK37" s="10"/>
      <c r="AL37" s="10"/>
      <c r="AM37" s="10"/>
      <c r="AN37" s="10"/>
      <c r="BA37"/>
      <c r="BB37"/>
      <c r="BC37"/>
      <c r="BD37"/>
      <c r="BE37"/>
    </row>
    <row r="38" spans="1:57" x14ac:dyDescent="0.25">
      <c r="A38"/>
      <c r="B38"/>
      <c r="C38" s="10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10"/>
      <c r="AI38" s="10"/>
      <c r="AJ38" s="10"/>
      <c r="AK38" s="10"/>
      <c r="AL38" s="10"/>
      <c r="AM38" s="10"/>
      <c r="AN38" s="10"/>
      <c r="BA38"/>
      <c r="BB38"/>
      <c r="BC38"/>
      <c r="BD38"/>
      <c r="BE38"/>
    </row>
    <row r="39" spans="1:57" x14ac:dyDescent="0.25">
      <c r="A39"/>
      <c r="B39"/>
      <c r="C39" s="10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10"/>
      <c r="AI39" s="10"/>
      <c r="AJ39" s="10"/>
      <c r="AK39" s="10"/>
      <c r="AL39" s="10"/>
      <c r="AM39" s="10"/>
      <c r="AN39" s="10"/>
      <c r="BA39"/>
      <c r="BB39"/>
      <c r="BC39"/>
      <c r="BD39"/>
      <c r="BE39"/>
    </row>
    <row r="40" spans="1:57" x14ac:dyDescent="0.25">
      <c r="A40"/>
      <c r="B40"/>
      <c r="C40" s="10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10"/>
      <c r="AI40" s="10"/>
      <c r="AJ40" s="10"/>
      <c r="AK40" s="10"/>
      <c r="AL40" s="10"/>
      <c r="AM40" s="10"/>
      <c r="AN40" s="10"/>
      <c r="BA40"/>
      <c r="BB40"/>
      <c r="BC40"/>
      <c r="BD40"/>
      <c r="BE40"/>
    </row>
    <row r="41" spans="1:57" x14ac:dyDescent="0.25">
      <c r="A41"/>
      <c r="B41"/>
      <c r="C41" s="10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10"/>
      <c r="AI41" s="10"/>
      <c r="AJ41" s="10"/>
      <c r="AK41" s="10"/>
      <c r="AL41" s="10"/>
      <c r="AM41" s="10"/>
      <c r="AN41" s="10"/>
      <c r="BA41"/>
      <c r="BB41"/>
      <c r="BC41"/>
      <c r="BD41"/>
      <c r="BE41"/>
    </row>
    <row r="42" spans="1:57" x14ac:dyDescent="0.25">
      <c r="A42"/>
      <c r="B42"/>
      <c r="C42" s="10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10"/>
      <c r="AI42" s="10"/>
      <c r="AJ42" s="10"/>
      <c r="AK42" s="10"/>
      <c r="AL42" s="10"/>
      <c r="AM42" s="10"/>
      <c r="AN42" s="10"/>
      <c r="BA42"/>
      <c r="BB42"/>
      <c r="BC42"/>
      <c r="BD42"/>
      <c r="BE42"/>
    </row>
    <row r="43" spans="1:57" x14ac:dyDescent="0.25">
      <c r="A43"/>
      <c r="B43"/>
      <c r="C43" s="10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10"/>
      <c r="AI43" s="10"/>
      <c r="AJ43" s="10"/>
      <c r="AK43" s="10"/>
      <c r="AL43" s="10"/>
      <c r="AM43" s="10"/>
      <c r="AN43" s="10"/>
      <c r="BA43"/>
      <c r="BB43"/>
      <c r="BC43"/>
      <c r="BD43"/>
      <c r="BE43"/>
    </row>
    <row r="44" spans="1:57" x14ac:dyDescent="0.25">
      <c r="A44"/>
      <c r="B44"/>
      <c r="C44" s="10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10"/>
      <c r="AI44" s="10"/>
      <c r="AJ44" s="10"/>
      <c r="AK44" s="10"/>
      <c r="AL44" s="10"/>
      <c r="AM44" s="10"/>
      <c r="AN44" s="10"/>
      <c r="BA44"/>
      <c r="BB44"/>
      <c r="BC44"/>
      <c r="BD44"/>
      <c r="BE44"/>
    </row>
    <row r="45" spans="1:57" x14ac:dyDescent="0.25">
      <c r="A45"/>
      <c r="B45"/>
      <c r="C45" s="10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10"/>
      <c r="AI45" s="10"/>
      <c r="AJ45" s="10"/>
      <c r="AK45" s="10"/>
      <c r="AL45" s="10"/>
      <c r="AM45" s="10"/>
      <c r="AN45" s="10"/>
      <c r="BA45"/>
      <c r="BB45"/>
      <c r="BC45"/>
      <c r="BD45"/>
      <c r="BE45"/>
    </row>
    <row r="46" spans="1:57" x14ac:dyDescent="0.25">
      <c r="A46"/>
      <c r="B46"/>
      <c r="C46" s="10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10"/>
      <c r="AI46" s="10"/>
      <c r="AJ46" s="10"/>
      <c r="AK46" s="10"/>
      <c r="AL46" s="10"/>
      <c r="AM46" s="10"/>
      <c r="AN46" s="10"/>
      <c r="BA46"/>
      <c r="BB46"/>
      <c r="BC46"/>
      <c r="BD46"/>
      <c r="BE46"/>
    </row>
    <row r="47" spans="1:57" x14ac:dyDescent="0.25">
      <c r="A47"/>
      <c r="B47"/>
      <c r="C47" s="10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10"/>
      <c r="AI47" s="10"/>
      <c r="AJ47" s="10"/>
      <c r="AK47" s="10"/>
      <c r="AL47" s="10"/>
      <c r="AM47" s="10"/>
      <c r="AN47" s="10"/>
      <c r="BA47"/>
      <c r="BB47"/>
      <c r="BC47"/>
      <c r="BD47"/>
      <c r="BE47"/>
    </row>
    <row r="48" spans="1:57" x14ac:dyDescent="0.25">
      <c r="A48"/>
      <c r="B48"/>
      <c r="C48" s="10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10"/>
      <c r="AI48" s="10"/>
      <c r="AJ48" s="10"/>
      <c r="AK48" s="10"/>
      <c r="AL48" s="10"/>
      <c r="AM48" s="10"/>
      <c r="AN48" s="10"/>
      <c r="BA48"/>
      <c r="BB48"/>
      <c r="BC48"/>
      <c r="BD48"/>
      <c r="BE48"/>
    </row>
    <row r="49" spans="1:57" x14ac:dyDescent="0.25">
      <c r="A49"/>
      <c r="B49"/>
      <c r="C49" s="10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10"/>
      <c r="AI49" s="10"/>
      <c r="AJ49" s="10"/>
      <c r="AK49" s="10"/>
      <c r="AL49" s="10"/>
      <c r="AM49" s="10"/>
      <c r="AN49" s="10"/>
      <c r="BA49"/>
      <c r="BB49"/>
      <c r="BC49"/>
      <c r="BD49"/>
      <c r="BE49"/>
    </row>
    <row r="50" spans="1:57" x14ac:dyDescent="0.25">
      <c r="A50"/>
      <c r="B50"/>
      <c r="C50" s="10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10"/>
      <c r="AI50" s="10"/>
      <c r="AJ50" s="10"/>
      <c r="AK50" s="10"/>
      <c r="AL50" s="10"/>
      <c r="AM50" s="10"/>
      <c r="AN50" s="10"/>
      <c r="BA50"/>
      <c r="BB50"/>
      <c r="BC50"/>
      <c r="BD50"/>
      <c r="BE50"/>
    </row>
    <row r="51" spans="1:57" x14ac:dyDescent="0.25">
      <c r="A51"/>
      <c r="B51"/>
      <c r="C51" s="10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10"/>
      <c r="AI51" s="10"/>
      <c r="AJ51" s="10"/>
      <c r="AK51" s="10"/>
      <c r="AL51" s="10"/>
      <c r="AM51" s="10"/>
      <c r="AN51" s="10"/>
      <c r="BA51"/>
      <c r="BB51"/>
      <c r="BC51"/>
      <c r="BD51"/>
      <c r="BE51"/>
    </row>
    <row r="52" spans="1:57" x14ac:dyDescent="0.25">
      <c r="A52"/>
      <c r="B52"/>
      <c r="C52" s="10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10"/>
      <c r="AI52" s="10"/>
      <c r="AJ52" s="10"/>
      <c r="AK52" s="10"/>
      <c r="AL52" s="10"/>
      <c r="AM52" s="10"/>
      <c r="AN52" s="10"/>
      <c r="BA52"/>
      <c r="BB52"/>
      <c r="BC52"/>
      <c r="BD52"/>
      <c r="BE52"/>
    </row>
    <row r="53" spans="1:57" x14ac:dyDescent="0.25">
      <c r="A53"/>
      <c r="B53"/>
      <c r="C53" s="10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10"/>
      <c r="AI53" s="10"/>
      <c r="AJ53" s="10"/>
      <c r="AK53" s="10"/>
      <c r="AL53" s="10"/>
      <c r="AM53" s="10"/>
      <c r="AN53" s="10"/>
      <c r="BA53"/>
      <c r="BB53"/>
      <c r="BC53"/>
      <c r="BD53"/>
      <c r="BE53"/>
    </row>
    <row r="54" spans="1:57" x14ac:dyDescent="0.25">
      <c r="A54"/>
      <c r="B54"/>
      <c r="C54" s="1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10"/>
      <c r="AI54" s="10"/>
      <c r="AJ54" s="10"/>
      <c r="AK54" s="10"/>
      <c r="AL54" s="10"/>
      <c r="AM54" s="10"/>
      <c r="AN54" s="10"/>
      <c r="BA54"/>
      <c r="BB54"/>
      <c r="BC54"/>
      <c r="BD54"/>
      <c r="BE54"/>
    </row>
    <row r="55" spans="1:57" x14ac:dyDescent="0.25">
      <c r="A55"/>
      <c r="B55"/>
      <c r="C55" s="10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10"/>
      <c r="AI55" s="10"/>
      <c r="AJ55" s="10"/>
      <c r="AK55" s="10"/>
      <c r="AL55" s="10"/>
      <c r="AM55" s="10"/>
      <c r="AN55" s="10"/>
      <c r="BA55"/>
      <c r="BB55"/>
      <c r="BC55"/>
      <c r="BD55"/>
      <c r="BE55"/>
    </row>
    <row r="56" spans="1:57" x14ac:dyDescent="0.25">
      <c r="A56"/>
      <c r="B56"/>
      <c r="C56" s="10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10"/>
      <c r="AI56" s="10"/>
      <c r="AJ56" s="10"/>
      <c r="AK56" s="10"/>
      <c r="AL56" s="10"/>
      <c r="AM56" s="10"/>
      <c r="AN56" s="10"/>
      <c r="BA56"/>
      <c r="BB56"/>
      <c r="BC56"/>
      <c r="BD56"/>
      <c r="BE56"/>
    </row>
    <row r="57" spans="1:57" x14ac:dyDescent="0.25">
      <c r="A57"/>
      <c r="B57"/>
      <c r="C57" s="10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10"/>
      <c r="AI57" s="10"/>
      <c r="AJ57" s="10"/>
      <c r="AK57" s="10"/>
      <c r="AL57" s="10"/>
      <c r="AM57" s="10"/>
      <c r="AN57" s="10"/>
      <c r="BA57"/>
      <c r="BB57"/>
      <c r="BC57"/>
      <c r="BD57"/>
      <c r="BE57"/>
    </row>
    <row r="58" spans="1:57" x14ac:dyDescent="0.25">
      <c r="A58"/>
      <c r="B58"/>
      <c r="C58" s="10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10"/>
      <c r="AI58" s="10"/>
      <c r="AJ58" s="10"/>
      <c r="AK58" s="10"/>
      <c r="AL58" s="10"/>
      <c r="AM58" s="10"/>
      <c r="AN58" s="10"/>
      <c r="BA58"/>
      <c r="BB58"/>
      <c r="BC58"/>
      <c r="BD58"/>
      <c r="BE58"/>
    </row>
    <row r="59" spans="1:57" x14ac:dyDescent="0.25">
      <c r="A59"/>
      <c r="B59"/>
      <c r="C59" s="1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10"/>
      <c r="AI59" s="10"/>
      <c r="AJ59" s="10"/>
      <c r="AK59" s="10"/>
      <c r="AL59" s="10"/>
      <c r="AM59" s="10"/>
      <c r="AN59" s="10"/>
      <c r="BA59"/>
      <c r="BB59"/>
      <c r="BC59"/>
      <c r="BD59"/>
      <c r="BE59"/>
    </row>
    <row r="60" spans="1:57" x14ac:dyDescent="0.25">
      <c r="A60"/>
      <c r="B60"/>
      <c r="C60" s="10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10"/>
      <c r="AI60" s="10"/>
      <c r="AJ60" s="10"/>
      <c r="AK60" s="10"/>
      <c r="AL60" s="10"/>
      <c r="AM60" s="10"/>
      <c r="AN60" s="10"/>
      <c r="BA60"/>
      <c r="BB60"/>
      <c r="BC60"/>
      <c r="BD60"/>
      <c r="BE60"/>
    </row>
    <row r="61" spans="1:57" x14ac:dyDescent="0.25">
      <c r="A61"/>
      <c r="B61"/>
      <c r="C61" s="10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10"/>
      <c r="AI61" s="10"/>
      <c r="AJ61" s="10"/>
      <c r="AK61" s="10"/>
      <c r="AL61" s="10"/>
      <c r="AM61" s="10"/>
      <c r="AN61" s="10"/>
      <c r="BA61"/>
      <c r="BB61"/>
      <c r="BC61"/>
      <c r="BD61"/>
      <c r="BE61"/>
    </row>
    <row r="62" spans="1:57" x14ac:dyDescent="0.25">
      <c r="A62"/>
      <c r="B62"/>
      <c r="C62" s="1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10"/>
      <c r="AI62" s="10"/>
      <c r="AJ62" s="10"/>
      <c r="AK62" s="10"/>
      <c r="AL62" s="10"/>
      <c r="AM62" s="10"/>
      <c r="AN62" s="10"/>
      <c r="BA62"/>
      <c r="BB62"/>
      <c r="BC62"/>
      <c r="BD62"/>
      <c r="BE62"/>
    </row>
    <row r="63" spans="1:57" x14ac:dyDescent="0.25">
      <c r="A63"/>
      <c r="B63"/>
      <c r="C63" s="10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10"/>
      <c r="AI63" s="10"/>
      <c r="AJ63" s="10"/>
      <c r="AK63" s="10"/>
      <c r="AL63" s="10"/>
      <c r="AM63" s="10"/>
      <c r="AN63" s="10"/>
      <c r="BA63"/>
      <c r="BB63"/>
      <c r="BC63"/>
      <c r="BD63"/>
      <c r="BE63"/>
    </row>
    <row r="64" spans="1:57" x14ac:dyDescent="0.25">
      <c r="A64"/>
      <c r="B64"/>
      <c r="C64" s="1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10"/>
      <c r="AI64" s="10"/>
      <c r="AJ64" s="10"/>
      <c r="AK64" s="10"/>
      <c r="AL64" s="10"/>
      <c r="AM64" s="10"/>
      <c r="AN64" s="10"/>
      <c r="BA64"/>
      <c r="BB64"/>
      <c r="BC64"/>
      <c r="BD64"/>
      <c r="BE64"/>
    </row>
    <row r="65" spans="1:57" x14ac:dyDescent="0.25">
      <c r="A65"/>
      <c r="B65"/>
      <c r="C65" s="1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10"/>
      <c r="AI65" s="10"/>
      <c r="AJ65" s="10"/>
      <c r="AK65" s="10"/>
      <c r="AL65" s="10"/>
      <c r="AM65" s="10"/>
      <c r="AN65" s="10"/>
      <c r="BA65"/>
      <c r="BB65"/>
      <c r="BC65"/>
      <c r="BD65"/>
      <c r="BE65"/>
    </row>
    <row r="66" spans="1:57" x14ac:dyDescent="0.25">
      <c r="A66"/>
      <c r="B66"/>
      <c r="C66" s="10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10"/>
      <c r="AI66" s="10"/>
      <c r="AJ66" s="10"/>
      <c r="AK66" s="10"/>
      <c r="AL66" s="10"/>
      <c r="AM66" s="10"/>
      <c r="AN66" s="10"/>
      <c r="BA66"/>
      <c r="BB66"/>
      <c r="BC66"/>
      <c r="BD66"/>
      <c r="BE66"/>
    </row>
    <row r="67" spans="1:57" x14ac:dyDescent="0.25">
      <c r="A67"/>
      <c r="B67"/>
      <c r="C67" s="10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10"/>
      <c r="AI67" s="10"/>
      <c r="AJ67" s="10"/>
      <c r="AK67" s="10"/>
      <c r="AL67" s="10"/>
      <c r="AM67" s="10"/>
      <c r="AN67" s="10"/>
      <c r="BA67"/>
      <c r="BB67"/>
      <c r="BC67"/>
      <c r="BD67"/>
      <c r="BE67"/>
    </row>
    <row r="68" spans="1:57" x14ac:dyDescent="0.25">
      <c r="A68"/>
      <c r="B68"/>
      <c r="C68" s="1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10"/>
      <c r="AI68" s="10"/>
      <c r="AJ68" s="10"/>
      <c r="AK68" s="10"/>
      <c r="AL68" s="10"/>
      <c r="AM68" s="10"/>
      <c r="AN68" s="10"/>
      <c r="BA68"/>
      <c r="BB68"/>
      <c r="BC68"/>
      <c r="BD68"/>
      <c r="BE68"/>
    </row>
    <row r="69" spans="1:57" x14ac:dyDescent="0.25">
      <c r="A69"/>
      <c r="B69"/>
      <c r="C69" s="1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10"/>
      <c r="AI69" s="10"/>
      <c r="AJ69" s="10"/>
      <c r="AK69" s="10"/>
      <c r="AL69" s="10"/>
      <c r="AM69" s="10"/>
      <c r="AN69" s="10"/>
      <c r="BA69"/>
      <c r="BB69"/>
      <c r="BC69"/>
      <c r="BD69"/>
      <c r="BE69"/>
    </row>
    <row r="70" spans="1:57" x14ac:dyDescent="0.25">
      <c r="A70"/>
      <c r="B70"/>
      <c r="C70" s="1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10"/>
      <c r="AI70" s="10"/>
      <c r="AJ70" s="10"/>
      <c r="AK70" s="10"/>
      <c r="AL70" s="10"/>
      <c r="AM70" s="10"/>
      <c r="AN70" s="10"/>
      <c r="BA70"/>
      <c r="BB70"/>
      <c r="BC70"/>
      <c r="BD70"/>
      <c r="BE70"/>
    </row>
    <row r="71" spans="1:57" x14ac:dyDescent="0.25">
      <c r="A71"/>
      <c r="B71"/>
      <c r="C71" s="10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10"/>
      <c r="AI71" s="10"/>
      <c r="AJ71" s="10"/>
      <c r="AK71" s="10"/>
      <c r="AL71" s="10"/>
      <c r="AM71" s="10"/>
      <c r="AN71" s="10"/>
      <c r="BA71"/>
      <c r="BB71"/>
      <c r="BC71"/>
      <c r="BD71"/>
      <c r="BE71"/>
    </row>
    <row r="72" spans="1:57" x14ac:dyDescent="0.25">
      <c r="A72"/>
      <c r="B72"/>
      <c r="C72" s="10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10"/>
      <c r="AI72" s="10"/>
      <c r="AJ72" s="10"/>
      <c r="AK72" s="10"/>
      <c r="AL72" s="10"/>
      <c r="AM72" s="10"/>
      <c r="AN72" s="10"/>
      <c r="BA72"/>
      <c r="BB72"/>
      <c r="BC72"/>
      <c r="BD72"/>
      <c r="BE72"/>
    </row>
    <row r="73" spans="1:57" x14ac:dyDescent="0.25">
      <c r="A73"/>
      <c r="B73"/>
      <c r="C73" s="1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10"/>
      <c r="AI73" s="10"/>
      <c r="AJ73" s="10"/>
      <c r="AK73" s="10"/>
      <c r="AL73" s="10"/>
      <c r="AM73" s="10"/>
      <c r="AN73" s="10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BA79"/>
      <c r="BB79"/>
      <c r="BC79"/>
      <c r="BD79"/>
      <c r="BE79"/>
    </row>
    <row r="80" spans="1:57" ht="16.5" x14ac:dyDescent="0.3">
      <c r="A80"/>
      <c r="B80"/>
      <c r="C80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BA80"/>
      <c r="BB80"/>
      <c r="BC80"/>
      <c r="BD80"/>
      <c r="BE80"/>
    </row>
    <row r="81" spans="1:57" ht="16.5" x14ac:dyDescent="0.3">
      <c r="A81"/>
      <c r="B81"/>
      <c r="C8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BA81"/>
      <c r="BB81"/>
      <c r="BC81"/>
      <c r="BD81"/>
      <c r="BE81"/>
    </row>
    <row r="82" spans="1:57" ht="16.5" x14ac:dyDescent="0.3">
      <c r="A82"/>
      <c r="B82"/>
      <c r="C82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BA82"/>
      <c r="BB82"/>
      <c r="BC82"/>
      <c r="BD82"/>
      <c r="BE82"/>
    </row>
    <row r="83" spans="1:57" ht="16.5" x14ac:dyDescent="0.3">
      <c r="A83"/>
      <c r="B83"/>
      <c r="C83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BA83"/>
      <c r="BB83"/>
      <c r="BC83"/>
      <c r="BD83"/>
      <c r="BE83"/>
    </row>
    <row r="84" spans="1:57" ht="16.5" x14ac:dyDescent="0.3">
      <c r="A84"/>
      <c r="B84"/>
      <c r="C84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BA84"/>
      <c r="BB84"/>
      <c r="BC84"/>
      <c r="BD84"/>
      <c r="BE84"/>
    </row>
    <row r="85" spans="1:57" ht="16.5" x14ac:dyDescent="0.3">
      <c r="A85"/>
      <c r="B85"/>
      <c r="C85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BA85"/>
      <c r="BB85"/>
      <c r="BC85"/>
      <c r="BD85"/>
      <c r="BE85"/>
    </row>
    <row r="86" spans="1:57" ht="16.5" x14ac:dyDescent="0.3">
      <c r="A86"/>
      <c r="B86"/>
      <c r="C86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BA86"/>
      <c r="BB86"/>
      <c r="BC86"/>
      <c r="BD86"/>
      <c r="BE86"/>
    </row>
    <row r="87" spans="1:57" ht="16.5" x14ac:dyDescent="0.3">
      <c r="A87"/>
      <c r="B87"/>
      <c r="C87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BA87"/>
      <c r="BB87"/>
      <c r="BC87"/>
      <c r="BD87"/>
      <c r="BE87"/>
    </row>
    <row r="88" spans="1:57" ht="16.5" x14ac:dyDescent="0.3">
      <c r="A88"/>
      <c r="B88"/>
      <c r="C8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57" ht="16.5" x14ac:dyDescent="0.3">
      <c r="A89"/>
      <c r="B89"/>
      <c r="C8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57" ht="16.5" x14ac:dyDescent="0.3">
      <c r="A90"/>
      <c r="B90"/>
      <c r="C90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6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5" bestFit="1" customWidth="1"/>
    <col min="2" max="2" width="9.7109375" style="85" bestFit="1" customWidth="1"/>
    <col min="3" max="5" width="9.7109375" style="85" customWidth="1"/>
    <col min="6" max="6" width="12.42578125" style="85" bestFit="1" customWidth="1"/>
    <col min="7" max="8" width="9.7109375" style="85" customWidth="1"/>
    <col min="9" max="9" width="9.140625" style="85"/>
    <col min="10" max="10" width="12.140625" style="85" bestFit="1" customWidth="1"/>
    <col min="11" max="11" width="13.85546875" style="85" bestFit="1" customWidth="1"/>
    <col min="12" max="12" width="12.42578125" style="85" bestFit="1" customWidth="1"/>
    <col min="13" max="13" width="12.42578125" style="85" customWidth="1"/>
    <col min="14" max="14" width="12.140625" style="85" bestFit="1" customWidth="1"/>
    <col min="15" max="18" width="9.28515625" style="85" bestFit="1" customWidth="1"/>
    <col min="19" max="20" width="9.140625" style="85"/>
    <col min="21" max="21" width="9.28515625" style="85" bestFit="1" customWidth="1"/>
    <col min="22" max="32" width="9.140625" style="85"/>
    <col min="33" max="33" width="9.140625" style="85" customWidth="1"/>
    <col min="34" max="36" width="9.140625" style="85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5"/>
  </cols>
  <sheetData>
    <row r="1" spans="1:60" ht="15.75" thickBot="1" x14ac:dyDescent="0.3">
      <c r="F1" s="85" t="s">
        <v>98</v>
      </c>
      <c r="G1" s="85">
        <v>4</v>
      </c>
      <c r="I1" s="143" t="s">
        <v>64</v>
      </c>
      <c r="J1" s="144">
        <v>0</v>
      </c>
      <c r="K1" s="143" t="s">
        <v>120</v>
      </c>
      <c r="L1" s="11">
        <v>8.5066726681469529E-2</v>
      </c>
      <c r="M1" s="11" t="s">
        <v>126</v>
      </c>
      <c r="N1">
        <v>3.3675857954643403E-2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52" t="s">
        <v>4</v>
      </c>
      <c r="B2" s="153" t="s">
        <v>121</v>
      </c>
      <c r="C2" s="132" t="s">
        <v>72</v>
      </c>
      <c r="D2" s="132" t="s">
        <v>19</v>
      </c>
      <c r="E2" s="132" t="s">
        <v>125</v>
      </c>
      <c r="F2" s="1" t="s">
        <v>111</v>
      </c>
      <c r="G2" s="1" t="s">
        <v>3</v>
      </c>
      <c r="H2" s="1" t="s">
        <v>114</v>
      </c>
      <c r="I2" s="1" t="s">
        <v>116</v>
      </c>
      <c r="J2" s="85"/>
      <c r="K2" s="85"/>
      <c r="L2" s="85"/>
      <c r="M2" s="85"/>
    </row>
    <row r="3" spans="1:60" customFormat="1" ht="16.5" x14ac:dyDescent="0.3">
      <c r="A3" s="93">
        <v>0</v>
      </c>
      <c r="B3" s="93"/>
      <c r="C3" s="154"/>
      <c r="D3" s="154"/>
      <c r="E3" s="154"/>
      <c r="F3" s="118"/>
      <c r="G3" s="118"/>
      <c r="H3" s="118"/>
      <c r="I3" s="118"/>
      <c r="AH3" s="85"/>
      <c r="AI3" s="85"/>
      <c r="AJ3" s="85"/>
      <c r="BD3" s="85"/>
      <c r="BE3" s="85"/>
      <c r="BF3" s="85"/>
      <c r="BG3" s="85"/>
      <c r="BH3" s="85"/>
    </row>
    <row r="4" spans="1:60" customFormat="1" ht="16.5" x14ac:dyDescent="0.3">
      <c r="A4" s="103">
        <v>1</v>
      </c>
      <c r="B4" s="103">
        <f>'1.StatFitPoissNorm'!B2</f>
        <v>50</v>
      </c>
      <c r="C4" s="155"/>
      <c r="D4" s="155"/>
      <c r="E4" s="156">
        <f>B4/AVERAGE($B$4:$B$7)</f>
        <v>1.1111111111111112</v>
      </c>
      <c r="F4" s="145"/>
      <c r="G4" s="140"/>
      <c r="H4" s="140"/>
      <c r="I4" s="140"/>
      <c r="AH4" s="85"/>
      <c r="AI4" s="85"/>
      <c r="AJ4" s="85"/>
      <c r="BD4" s="85"/>
      <c r="BE4" s="85"/>
      <c r="BF4" s="85"/>
      <c r="BG4" s="85"/>
      <c r="BH4" s="85"/>
    </row>
    <row r="5" spans="1:60" customFormat="1" ht="16.5" x14ac:dyDescent="0.3">
      <c r="A5" s="103">
        <v>2</v>
      </c>
      <c r="B5" s="103">
        <f>'1.StatFitPoissNorm'!B3</f>
        <v>25</v>
      </c>
      <c r="C5" s="155"/>
      <c r="D5" s="155"/>
      <c r="E5" s="156">
        <f t="shared" ref="E5:E7" si="0">B5/AVERAGE($B$4:$B$7)</f>
        <v>0.55555555555555558</v>
      </c>
      <c r="F5" s="145"/>
      <c r="G5" s="140"/>
      <c r="H5" s="140"/>
      <c r="I5" s="140"/>
      <c r="AH5" s="85"/>
      <c r="AI5" s="85"/>
      <c r="AJ5" s="85"/>
      <c r="BD5" s="85"/>
      <c r="BE5" s="85"/>
      <c r="BF5" s="85"/>
      <c r="BG5" s="85"/>
      <c r="BH5" s="85"/>
    </row>
    <row r="6" spans="1:60" customFormat="1" ht="16.5" x14ac:dyDescent="0.3">
      <c r="A6" s="103">
        <v>3</v>
      </c>
      <c r="B6" s="103">
        <f>'1.StatFitPoissNorm'!B4</f>
        <v>33</v>
      </c>
      <c r="C6" s="155"/>
      <c r="D6" s="155"/>
      <c r="E6" s="156">
        <f t="shared" si="0"/>
        <v>0.73333333333333328</v>
      </c>
      <c r="F6" s="145"/>
      <c r="G6" s="140"/>
      <c r="H6" s="140"/>
      <c r="I6" s="140"/>
      <c r="AH6" s="85"/>
      <c r="AI6" s="85"/>
      <c r="AJ6" s="85"/>
      <c r="BD6" s="85"/>
      <c r="BE6" s="85"/>
      <c r="BF6" s="85"/>
      <c r="BG6" s="85"/>
      <c r="BH6" s="85"/>
    </row>
    <row r="7" spans="1:60" customFormat="1" ht="16.5" x14ac:dyDescent="0.3">
      <c r="A7" s="103">
        <v>4</v>
      </c>
      <c r="B7" s="103">
        <f>'1.StatFitPoissNorm'!B5</f>
        <v>72</v>
      </c>
      <c r="C7" s="155">
        <f>AVERAGE(B4:B7)</f>
        <v>45</v>
      </c>
      <c r="D7" s="155">
        <f>(AVERAGE(B12:B15)-AVERAGE(B4:B7))/(A15-G1)</f>
        <v>-9.375E-2</v>
      </c>
      <c r="E7" s="156">
        <f t="shared" si="0"/>
        <v>1.6</v>
      </c>
      <c r="F7" s="145"/>
      <c r="G7" s="140"/>
      <c r="H7" s="140"/>
      <c r="I7" s="140"/>
      <c r="AH7" s="85"/>
      <c r="AI7" s="85"/>
      <c r="AJ7" s="85"/>
      <c r="BD7" s="85"/>
      <c r="BE7" s="85"/>
      <c r="BF7" s="85"/>
      <c r="BG7" s="85"/>
      <c r="BH7" s="85"/>
    </row>
    <row r="8" spans="1:60" customFormat="1" ht="16.5" x14ac:dyDescent="0.3">
      <c r="A8" s="103">
        <v>5</v>
      </c>
      <c r="B8" s="103">
        <f>'1.StatFitPoissNorm'!B6</f>
        <v>67</v>
      </c>
      <c r="C8" s="155">
        <f>(1-$J$1)*(C7+D7)+$J$1*B8/E4</f>
        <v>44.90625</v>
      </c>
      <c r="D8" s="155">
        <f>(1-$L$1)*D7+$L$1*(C8-C7)</f>
        <v>-9.375E-2</v>
      </c>
      <c r="E8" s="155">
        <f>(1-$N$1)*E4+$N$1*B8/C8</f>
        <v>1.1239377774904951</v>
      </c>
      <c r="F8" s="140">
        <f>(C7+D7)*E4</f>
        <v>49.895833333333336</v>
      </c>
      <c r="G8" s="140">
        <f>B8-F8</f>
        <v>17.104166666666664</v>
      </c>
      <c r="H8" s="140">
        <f>G8^2</f>
        <v>292.55251736111103</v>
      </c>
      <c r="I8" s="140">
        <f>AVERAGE(H$8:H8)</f>
        <v>292.55251736111103</v>
      </c>
      <c r="AH8" s="85"/>
      <c r="AI8" s="85"/>
      <c r="AJ8" s="85"/>
      <c r="BD8" s="85"/>
      <c r="BE8" s="85"/>
      <c r="BF8" s="85"/>
      <c r="BG8" s="85"/>
      <c r="BH8" s="85"/>
    </row>
    <row r="9" spans="1:60" customFormat="1" ht="16.5" x14ac:dyDescent="0.3">
      <c r="A9" s="103">
        <v>6</v>
      </c>
      <c r="B9" s="103">
        <f>'1.StatFitPoissNorm'!B7</f>
        <v>35</v>
      </c>
      <c r="C9" s="155">
        <f t="shared" ref="C9:C15" si="1">(1-$J$1)*(C8+D8)+$J$1*B9/E5</f>
        <v>44.8125</v>
      </c>
      <c r="D9" s="155">
        <f t="shared" ref="D9:D15" si="2">(1-$L$1)*D8+$L$1*(C9-C8)</f>
        <v>-9.375E-2</v>
      </c>
      <c r="E9" s="155">
        <f t="shared" ref="E9:E15" si="3">(1-$N$1)*E5+$N$1*B9/C9</f>
        <v>0.5631486709009772</v>
      </c>
      <c r="F9" s="140">
        <f t="shared" ref="F9:F15" si="4">(C8+D8)*E5</f>
        <v>24.895833333333336</v>
      </c>
      <c r="G9" s="140">
        <f t="shared" ref="G9:G15" si="5">B9-F9</f>
        <v>10.104166666666664</v>
      </c>
      <c r="H9" s="140">
        <f t="shared" ref="H9:H31" si="6">G9^2</f>
        <v>102.09418402777773</v>
      </c>
      <c r="I9" s="140">
        <f>AVERAGE(H$8:H9)</f>
        <v>197.32335069444437</v>
      </c>
      <c r="AH9" s="85"/>
      <c r="AI9" s="85"/>
      <c r="AJ9" s="85"/>
      <c r="BD9" s="85"/>
      <c r="BE9" s="85"/>
      <c r="BF9" s="85"/>
      <c r="BG9" s="85"/>
      <c r="BH9" s="85"/>
    </row>
    <row r="10" spans="1:60" customFormat="1" ht="16.5" x14ac:dyDescent="0.3">
      <c r="A10" s="103">
        <v>7</v>
      </c>
      <c r="B10" s="103">
        <f>'1.StatFitPoissNorm'!B8</f>
        <v>42</v>
      </c>
      <c r="C10" s="155">
        <f t="shared" si="1"/>
        <v>44.71875</v>
      </c>
      <c r="D10" s="155">
        <f t="shared" si="2"/>
        <v>-9.375E-2</v>
      </c>
      <c r="E10" s="155">
        <f t="shared" si="3"/>
        <v>0.74026618291644852</v>
      </c>
      <c r="F10" s="140">
        <f t="shared" si="4"/>
        <v>32.793749999999996</v>
      </c>
      <c r="G10" s="140">
        <f t="shared" si="5"/>
        <v>9.2062500000000043</v>
      </c>
      <c r="H10" s="140">
        <f t="shared" si="6"/>
        <v>84.755039062500074</v>
      </c>
      <c r="I10" s="140">
        <f>AVERAGE(H$8:H10)</f>
        <v>159.80058015046293</v>
      </c>
      <c r="AH10" s="85"/>
      <c r="AI10" s="85"/>
      <c r="AJ10" s="85"/>
      <c r="BD10" s="85"/>
      <c r="BE10" s="85"/>
      <c r="BF10" s="85"/>
      <c r="BG10" s="85"/>
      <c r="BH10" s="85"/>
    </row>
    <row r="11" spans="1:60" customFormat="1" ht="16.5" x14ac:dyDescent="0.3">
      <c r="A11" s="103">
        <v>8</v>
      </c>
      <c r="B11" s="103">
        <f>'1.StatFitPoissNorm'!B9</f>
        <v>44</v>
      </c>
      <c r="C11" s="155">
        <f t="shared" si="1"/>
        <v>44.625</v>
      </c>
      <c r="D11" s="155">
        <f t="shared" si="2"/>
        <v>-9.375E-2</v>
      </c>
      <c r="E11" s="155">
        <f t="shared" si="3"/>
        <v>1.5793228345555803</v>
      </c>
      <c r="F11" s="140">
        <f t="shared" si="4"/>
        <v>71.400000000000006</v>
      </c>
      <c r="G11" s="140">
        <f t="shared" si="5"/>
        <v>-27.400000000000006</v>
      </c>
      <c r="H11" s="140">
        <f t="shared" si="6"/>
        <v>750.76000000000033</v>
      </c>
      <c r="I11" s="140">
        <f>AVERAGE(H$8:H11)</f>
        <v>307.54043511284726</v>
      </c>
      <c r="AH11" s="85"/>
      <c r="AI11" s="85"/>
      <c r="AJ11" s="85"/>
      <c r="BD11" s="85"/>
      <c r="BE11" s="85"/>
      <c r="BF11" s="85"/>
      <c r="BG11" s="85"/>
      <c r="BH11" s="85"/>
    </row>
    <row r="12" spans="1:60" customFormat="1" ht="16.5" x14ac:dyDescent="0.3">
      <c r="A12" s="103">
        <v>9</v>
      </c>
      <c r="B12" s="103">
        <f>'1.StatFitPoissNorm'!B10</f>
        <v>51</v>
      </c>
      <c r="C12" s="155">
        <f t="shared" si="1"/>
        <v>44.53125</v>
      </c>
      <c r="D12" s="155">
        <f t="shared" si="2"/>
        <v>-9.375E-2</v>
      </c>
      <c r="E12" s="155">
        <f t="shared" si="3"/>
        <v>1.1246559279718169</v>
      </c>
      <c r="F12" s="140">
        <f t="shared" si="4"/>
        <v>50.050354153873606</v>
      </c>
      <c r="G12" s="140">
        <f t="shared" si="5"/>
        <v>0.94964584612639413</v>
      </c>
      <c r="H12" s="140">
        <f t="shared" si="6"/>
        <v>0.90182723306511503</v>
      </c>
      <c r="I12" s="140">
        <f>AVERAGE(H$8:H12)</f>
        <v>246.21271353689085</v>
      </c>
      <c r="AH12" s="85"/>
      <c r="AI12" s="85"/>
      <c r="AJ12" s="85"/>
      <c r="BD12" s="85"/>
      <c r="BE12" s="85"/>
      <c r="BF12" s="85"/>
      <c r="BG12" s="85"/>
      <c r="BH12" s="85"/>
    </row>
    <row r="13" spans="1:60" customFormat="1" ht="16.5" x14ac:dyDescent="0.3">
      <c r="A13" s="103">
        <v>10</v>
      </c>
      <c r="B13" s="103">
        <f>'1.StatFitPoissNorm'!B11</f>
        <v>39</v>
      </c>
      <c r="C13" s="155">
        <f t="shared" si="1"/>
        <v>44.4375</v>
      </c>
      <c r="D13" s="155">
        <f t="shared" si="2"/>
        <v>-9.375E-2</v>
      </c>
      <c r="E13" s="155">
        <f t="shared" si="3"/>
        <v>0.57373933960496803</v>
      </c>
      <c r="F13" s="140">
        <f t="shared" si="4"/>
        <v>25.024919063162173</v>
      </c>
      <c r="G13" s="140">
        <f t="shared" si="5"/>
        <v>13.975080936837827</v>
      </c>
      <c r="H13" s="140">
        <f t="shared" si="6"/>
        <v>195.30288719116803</v>
      </c>
      <c r="I13" s="140">
        <f>AVERAGE(H$8:H13)</f>
        <v>237.7277424792704</v>
      </c>
      <c r="AH13" s="85"/>
      <c r="AI13" s="85"/>
      <c r="AJ13" s="85"/>
      <c r="BD13" s="85"/>
      <c r="BE13" s="85"/>
      <c r="BF13" s="85"/>
      <c r="BG13" s="85"/>
      <c r="BH13" s="85"/>
    </row>
    <row r="14" spans="1:60" customFormat="1" ht="16.5" x14ac:dyDescent="0.3">
      <c r="A14" s="103">
        <v>11</v>
      </c>
      <c r="B14" s="103">
        <f>'1.StatFitPoissNorm'!B12</f>
        <v>46</v>
      </c>
      <c r="C14" s="155">
        <f t="shared" si="1"/>
        <v>44.34375</v>
      </c>
      <c r="D14" s="155">
        <f t="shared" si="2"/>
        <v>-9.375E-2</v>
      </c>
      <c r="E14" s="155">
        <f t="shared" si="3"/>
        <v>0.75027074364741442</v>
      </c>
      <c r="F14" s="140">
        <f t="shared" si="4"/>
        <v>32.826178548701265</v>
      </c>
      <c r="G14" s="140">
        <f t="shared" si="5"/>
        <v>13.173821451298735</v>
      </c>
      <c r="H14" s="140">
        <f t="shared" si="6"/>
        <v>173.54957163069872</v>
      </c>
      <c r="I14" s="140">
        <f>AVERAGE(H$8:H14)</f>
        <v>228.55943235804585</v>
      </c>
      <c r="AH14" s="85"/>
      <c r="AI14" s="85"/>
      <c r="AJ14" s="85"/>
      <c r="BD14" s="85"/>
      <c r="BE14" s="85"/>
      <c r="BF14" s="85"/>
      <c r="BG14" s="85"/>
      <c r="BH14" s="85"/>
    </row>
    <row r="15" spans="1:60" customFormat="1" ht="16.5" x14ac:dyDescent="0.3">
      <c r="A15" s="103">
        <v>12</v>
      </c>
      <c r="B15" s="103">
        <f>'1.StatFitPoissNorm'!B13</f>
        <v>41</v>
      </c>
      <c r="C15" s="155">
        <f t="shared" si="1"/>
        <v>44.25</v>
      </c>
      <c r="D15" s="155">
        <f t="shared" si="2"/>
        <v>-9.375E-2</v>
      </c>
      <c r="E15" s="155">
        <f t="shared" si="3"/>
        <v>1.5573402729708414</v>
      </c>
      <c r="F15" s="140">
        <f t="shared" si="4"/>
        <v>69.885035429084425</v>
      </c>
      <c r="G15" s="140">
        <f t="shared" si="5"/>
        <v>-28.885035429084425</v>
      </c>
      <c r="H15" s="140">
        <f t="shared" si="6"/>
        <v>834.34527173946242</v>
      </c>
      <c r="I15" s="140">
        <f>AVERAGE(H$8:H15)</f>
        <v>304.28266228072295</v>
      </c>
      <c r="AH15" s="85"/>
      <c r="AI15" s="85"/>
      <c r="AJ15" s="85"/>
      <c r="BD15" s="85"/>
      <c r="BE15" s="85"/>
      <c r="BF15" s="85"/>
      <c r="BG15" s="85"/>
      <c r="BH15" s="85"/>
    </row>
    <row r="16" spans="1:60" customFormat="1" ht="16.5" x14ac:dyDescent="0.3">
      <c r="A16" s="103">
        <v>13</v>
      </c>
      <c r="B16" s="103">
        <f>'1.StatFitPoissNorm'!B14</f>
        <v>69</v>
      </c>
      <c r="C16" s="155">
        <f t="shared" ref="C16:C31" si="7">(1-$J$1)*(C15+D15)+$J$1*B16/E12</f>
        <v>44.15625</v>
      </c>
      <c r="D16" s="155">
        <f t="shared" ref="D16:D31" si="8">(1-$L$1)*D15+$L$1*(C16-C15)</f>
        <v>-9.375E-2</v>
      </c>
      <c r="E16" s="155">
        <f t="shared" ref="E16:E31" si="9">(1-$N$1)*E12+$N$1*B16/C16</f>
        <v>1.1394051714125233</v>
      </c>
      <c r="F16" s="140">
        <f t="shared" ref="F16:F32" si="10">(C15+D15)*E12</f>
        <v>49.660588319505543</v>
      </c>
      <c r="G16" s="140">
        <f t="shared" ref="G16:G31" si="11">B16-F16</f>
        <v>19.339411680494457</v>
      </c>
      <c r="H16" s="140">
        <f t="shared" si="6"/>
        <v>374.01284414764547</v>
      </c>
      <c r="I16" s="140">
        <f>AVERAGE(H$8:H16)</f>
        <v>312.03046026593654</v>
      </c>
      <c r="AH16" s="85"/>
      <c r="AI16" s="85"/>
      <c r="AJ16" s="85"/>
      <c r="BD16" s="85"/>
      <c r="BE16" s="85"/>
      <c r="BF16" s="85"/>
      <c r="BG16" s="85"/>
      <c r="BH16" s="85"/>
    </row>
    <row r="17" spans="1:60" customFormat="1" ht="16.5" x14ac:dyDescent="0.3">
      <c r="A17" s="103">
        <v>14</v>
      </c>
      <c r="B17" s="103">
        <f>'1.StatFitPoissNorm'!B15</f>
        <v>28</v>
      </c>
      <c r="C17" s="155">
        <f t="shared" si="7"/>
        <v>44.0625</v>
      </c>
      <c r="D17" s="155">
        <f t="shared" si="8"/>
        <v>-9.375E-2</v>
      </c>
      <c r="E17" s="155">
        <f t="shared" si="9"/>
        <v>0.57581786923431999</v>
      </c>
      <c r="F17" s="140">
        <f t="shared" si="10"/>
        <v>25.280389651343903</v>
      </c>
      <c r="G17" s="140">
        <f t="shared" si="11"/>
        <v>2.7196103486560972</v>
      </c>
      <c r="H17" s="140">
        <f t="shared" si="6"/>
        <v>7.3962804485173388</v>
      </c>
      <c r="I17" s="140">
        <f>AVERAGE(H$8:H17)</f>
        <v>281.5670422841946</v>
      </c>
      <c r="AH17" s="93"/>
      <c r="AI17" s="93"/>
      <c r="AJ17" s="93"/>
      <c r="AK17" s="10"/>
      <c r="AL17" s="10"/>
      <c r="AM17" s="10"/>
      <c r="AN17" s="10"/>
      <c r="AO17" s="10"/>
      <c r="AP17" s="10"/>
      <c r="AQ17" s="10"/>
      <c r="BD17" s="85"/>
      <c r="BE17" s="85"/>
      <c r="BF17" s="85"/>
      <c r="BG17" s="85"/>
      <c r="BH17" s="85"/>
    </row>
    <row r="18" spans="1:60" ht="16.5" x14ac:dyDescent="0.3">
      <c r="A18" s="103">
        <v>15</v>
      </c>
      <c r="B18" s="103">
        <f>'1.StatFitPoissNorm'!B16</f>
        <v>82</v>
      </c>
      <c r="C18" s="155">
        <f t="shared" si="7"/>
        <v>43.96875</v>
      </c>
      <c r="D18" s="155">
        <f t="shared" si="8"/>
        <v>-9.375E-2</v>
      </c>
      <c r="E18" s="155">
        <f t="shared" si="9"/>
        <v>0.78780889134408616</v>
      </c>
      <c r="F18" s="140">
        <f t="shared" si="10"/>
        <v>32.988466759747254</v>
      </c>
      <c r="G18" s="140">
        <f t="shared" si="11"/>
        <v>49.011533240252746</v>
      </c>
      <c r="H18" s="140">
        <f t="shared" si="6"/>
        <v>2402.1303905604</v>
      </c>
      <c r="I18" s="140">
        <f>AVERAGE(H$8:H18)</f>
        <v>474.34552849112237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93"/>
      <c r="AI18" s="93"/>
      <c r="AJ18" s="93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03">
        <v>16</v>
      </c>
      <c r="B19" s="103">
        <f>'1.StatFitPoissNorm'!B17</f>
        <v>65</v>
      </c>
      <c r="C19" s="155">
        <f t="shared" si="7"/>
        <v>43.875</v>
      </c>
      <c r="D19" s="155">
        <f t="shared" si="8"/>
        <v>-9.375E-2</v>
      </c>
      <c r="E19" s="155">
        <f t="shared" si="9"/>
        <v>1.5547856630840347</v>
      </c>
      <c r="F19" s="140">
        <f t="shared" si="10"/>
        <v>68.328304476595662</v>
      </c>
      <c r="G19" s="140">
        <f t="shared" si="11"/>
        <v>-3.3283044765956618</v>
      </c>
      <c r="H19" s="140">
        <f t="shared" si="6"/>
        <v>11.077610688926722</v>
      </c>
      <c r="I19" s="140">
        <f>AVERAGE(H$8:H19)</f>
        <v>435.73986867427271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93"/>
      <c r="AI19" s="93"/>
      <c r="AJ19" s="93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03">
        <v>17</v>
      </c>
      <c r="B20" s="103">
        <f>'1.StatFitPoissNorm'!B18</f>
        <v>47</v>
      </c>
      <c r="C20" s="155">
        <f t="shared" si="7"/>
        <v>43.78125</v>
      </c>
      <c r="D20" s="155">
        <f t="shared" si="8"/>
        <v>-9.375E-2</v>
      </c>
      <c r="E20" s="155">
        <f t="shared" si="9"/>
        <v>1.137186395202455</v>
      </c>
      <c r="F20" s="140">
        <f t="shared" si="10"/>
        <v>49.884582660904535</v>
      </c>
      <c r="G20" s="140">
        <f t="shared" si="11"/>
        <v>-2.8845826609045346</v>
      </c>
      <c r="H20" s="140">
        <f t="shared" si="6"/>
        <v>8.320817127591086</v>
      </c>
      <c r="I20" s="140">
        <f>AVERAGE(H$8:H20)</f>
        <v>402.86148009375876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93"/>
      <c r="AI20" s="93"/>
      <c r="AJ20" s="93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03">
        <v>18</v>
      </c>
      <c r="B21" s="103">
        <f>'1.StatFitPoissNorm'!B19</f>
        <v>53</v>
      </c>
      <c r="C21" s="155">
        <f t="shared" si="7"/>
        <v>43.6875</v>
      </c>
      <c r="D21" s="155">
        <f t="shared" si="8"/>
        <v>-9.375E-2</v>
      </c>
      <c r="E21" s="155">
        <f t="shared" si="9"/>
        <v>0.59728096818403875</v>
      </c>
      <c r="F21" s="140">
        <f t="shared" si="10"/>
        <v>25.156043162174356</v>
      </c>
      <c r="G21" s="140">
        <f t="shared" si="11"/>
        <v>27.843956837825644</v>
      </c>
      <c r="H21" s="140">
        <f t="shared" si="6"/>
        <v>775.28593238669748</v>
      </c>
      <c r="I21" s="140">
        <f>AVERAGE(H$8:H21)</f>
        <v>429.46322668611157</v>
      </c>
      <c r="J21"/>
      <c r="K21"/>
      <c r="L21"/>
      <c r="M21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03">
        <v>19</v>
      </c>
      <c r="B22" s="103">
        <f>'1.StatFitPoissNorm'!B20</f>
        <v>90</v>
      </c>
      <c r="C22" s="155">
        <f t="shared" si="7"/>
        <v>43.59375</v>
      </c>
      <c r="D22" s="155">
        <f t="shared" si="8"/>
        <v>-9.375E-2</v>
      </c>
      <c r="E22" s="155">
        <f t="shared" si="9"/>
        <v>0.83080310293013815</v>
      </c>
      <c r="F22" s="140">
        <f t="shared" si="10"/>
        <v>34.343543857031257</v>
      </c>
      <c r="G22" s="140">
        <f t="shared" si="11"/>
        <v>55.656456142968743</v>
      </c>
      <c r="H22" s="140">
        <f t="shared" si="6"/>
        <v>3097.6411103942032</v>
      </c>
      <c r="I22" s="140">
        <f>AVERAGE(H$8:H22)</f>
        <v>607.34175226665104</v>
      </c>
      <c r="J22"/>
      <c r="K22"/>
      <c r="L22"/>
      <c r="M22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03">
        <v>20</v>
      </c>
      <c r="B23" s="103">
        <f>'1.StatFitPoissNorm'!B21</f>
        <v>56</v>
      </c>
      <c r="C23" s="155">
        <f t="shared" si="7"/>
        <v>43.5</v>
      </c>
      <c r="D23" s="155">
        <f t="shared" si="8"/>
        <v>-9.375E-2</v>
      </c>
      <c r="E23" s="155">
        <f t="shared" si="9"/>
        <v>1.5457797505753657</v>
      </c>
      <c r="F23" s="140">
        <f t="shared" si="10"/>
        <v>67.633176344155501</v>
      </c>
      <c r="G23" s="140">
        <f t="shared" si="11"/>
        <v>-11.633176344155501</v>
      </c>
      <c r="H23" s="140">
        <f t="shared" si="6"/>
        <v>135.33079185421914</v>
      </c>
      <c r="I23" s="140">
        <f>AVERAGE(H$8:H23)</f>
        <v>577.84106724087405</v>
      </c>
      <c r="J23"/>
      <c r="K23"/>
      <c r="L23"/>
      <c r="M2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03">
        <v>21</v>
      </c>
      <c r="B24" s="103">
        <f>'1.StatFitPoissNorm'!B22</f>
        <v>51</v>
      </c>
      <c r="C24" s="155">
        <f t="shared" si="7"/>
        <v>43.40625</v>
      </c>
      <c r="D24" s="155">
        <f t="shared" si="8"/>
        <v>-9.375E-2</v>
      </c>
      <c r="E24" s="155">
        <f t="shared" si="9"/>
        <v>1.1384579824355088</v>
      </c>
      <c r="F24" s="140">
        <f t="shared" si="10"/>
        <v>49.360996966756566</v>
      </c>
      <c r="G24" s="140">
        <f t="shared" si="11"/>
        <v>1.6390030332434335</v>
      </c>
      <c r="H24" s="140">
        <f t="shared" si="6"/>
        <v>2.6863309429811757</v>
      </c>
      <c r="I24" s="140">
        <f>AVERAGE(H$8:H24)</f>
        <v>544.00843569393919</v>
      </c>
      <c r="J24"/>
      <c r="K24"/>
      <c r="L24"/>
      <c r="M24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03">
        <v>22</v>
      </c>
      <c r="B25" s="103">
        <f>'1.StatFitPoissNorm'!B23</f>
        <v>40</v>
      </c>
      <c r="C25" s="155">
        <f t="shared" si="7"/>
        <v>43.3125</v>
      </c>
      <c r="D25" s="155">
        <f t="shared" si="8"/>
        <v>-9.375E-2</v>
      </c>
      <c r="E25" s="155">
        <f t="shared" si="9"/>
        <v>0.60826737857909297</v>
      </c>
      <c r="F25" s="140">
        <f t="shared" si="10"/>
        <v>25.869731934471179</v>
      </c>
      <c r="G25" s="140">
        <f t="shared" si="11"/>
        <v>14.130268065528821</v>
      </c>
      <c r="H25" s="140">
        <f t="shared" si="6"/>
        <v>199.66447560370361</v>
      </c>
      <c r="I25" s="140">
        <f>AVERAGE(H$8:H25)</f>
        <v>524.87821568892605</v>
      </c>
      <c r="J25"/>
      <c r="K25"/>
      <c r="L25"/>
      <c r="M25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03">
        <v>23</v>
      </c>
      <c r="B26" s="103">
        <f>'1.StatFitPoissNorm'!B24</f>
        <v>61</v>
      </c>
      <c r="C26" s="155">
        <f t="shared" si="7"/>
        <v>43.21875</v>
      </c>
      <c r="D26" s="155">
        <f t="shared" si="8"/>
        <v>-9.375E-2</v>
      </c>
      <c r="E26" s="155">
        <f t="shared" si="9"/>
        <v>0.85035602459007598</v>
      </c>
      <c r="F26" s="140">
        <f t="shared" si="10"/>
        <v>35.906271604761905</v>
      </c>
      <c r="G26" s="140">
        <f t="shared" si="11"/>
        <v>25.093728395238095</v>
      </c>
      <c r="H26" s="140">
        <f t="shared" si="6"/>
        <v>629.69520477397862</v>
      </c>
      <c r="I26" s="140">
        <f>AVERAGE(H$8:H26)</f>
        <v>530.39489932498145</v>
      </c>
      <c r="J26"/>
      <c r="K26"/>
      <c r="L26"/>
      <c r="M26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03">
        <v>24</v>
      </c>
      <c r="B27" s="103">
        <f>'1.StatFitPoissNorm'!B25</f>
        <v>72</v>
      </c>
      <c r="C27" s="155">
        <f t="shared" si="7"/>
        <v>43.125</v>
      </c>
      <c r="D27" s="155">
        <f t="shared" si="8"/>
        <v>-9.375E-2</v>
      </c>
      <c r="E27" s="155">
        <f t="shared" si="9"/>
        <v>1.5499483323727083</v>
      </c>
      <c r="F27" s="140">
        <f t="shared" si="10"/>
        <v>66.661751743562647</v>
      </c>
      <c r="G27" s="140">
        <f t="shared" si="11"/>
        <v>5.3382482564373532</v>
      </c>
      <c r="H27" s="140">
        <f t="shared" si="6"/>
        <v>28.496894447356443</v>
      </c>
      <c r="I27" s="140">
        <f>AVERAGE(H$8:H27)</f>
        <v>505.29999908110022</v>
      </c>
      <c r="J27"/>
      <c r="K27"/>
      <c r="L27"/>
      <c r="M27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03">
        <v>25</v>
      </c>
      <c r="B28" s="103">
        <f>'1.StatFitPoissNorm'!B26</f>
        <v>39</v>
      </c>
      <c r="C28" s="155">
        <f t="shared" si="7"/>
        <v>43.03125</v>
      </c>
      <c r="D28" s="155">
        <f t="shared" si="8"/>
        <v>-9.375E-2</v>
      </c>
      <c r="E28" s="155">
        <f t="shared" si="9"/>
        <v>1.1306404721493966</v>
      </c>
      <c r="F28" s="140">
        <f t="shared" si="10"/>
        <v>48.989270056677988</v>
      </c>
      <c r="G28" s="140">
        <f t="shared" si="11"/>
        <v>-9.989270056677988</v>
      </c>
      <c r="H28" s="140">
        <f t="shared" si="6"/>
        <v>99.785516265243459</v>
      </c>
      <c r="I28" s="140">
        <f>AVERAGE(H$8:H28)</f>
        <v>485.98978561367846</v>
      </c>
      <c r="J28"/>
      <c r="K28"/>
      <c r="L28"/>
      <c r="M28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03">
        <v>26</v>
      </c>
      <c r="B29" s="103">
        <f>'1.StatFitPoissNorm'!B27</f>
        <v>31</v>
      </c>
      <c r="C29" s="155">
        <f t="shared" si="7"/>
        <v>42.9375</v>
      </c>
      <c r="D29" s="155">
        <f t="shared" si="8"/>
        <v>-9.375E-2</v>
      </c>
      <c r="E29" s="155">
        <f t="shared" si="9"/>
        <v>0.61209673592084735</v>
      </c>
      <c r="F29" s="140">
        <f t="shared" si="10"/>
        <v>26.117480567739804</v>
      </c>
      <c r="G29" s="140">
        <f t="shared" si="11"/>
        <v>4.8825194322601959</v>
      </c>
      <c r="H29" s="140">
        <f t="shared" si="6"/>
        <v>23.838996006398425</v>
      </c>
      <c r="I29" s="140">
        <f>AVERAGE(H$8:H29)</f>
        <v>464.98293154062026</v>
      </c>
      <c r="J29"/>
      <c r="K29"/>
      <c r="L29"/>
      <c r="M29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03">
        <v>27</v>
      </c>
      <c r="B30" s="103">
        <f>'1.StatFitPoissNorm'!B28</f>
        <v>62</v>
      </c>
      <c r="C30" s="155">
        <f t="shared" si="7"/>
        <v>42.84375</v>
      </c>
      <c r="D30" s="155">
        <f t="shared" si="8"/>
        <v>-9.375E-2</v>
      </c>
      <c r="E30" s="155">
        <f t="shared" si="9"/>
        <v>0.87045252612268553</v>
      </c>
      <c r="F30" s="140">
        <f t="shared" si="10"/>
        <v>36.432440928531065</v>
      </c>
      <c r="G30" s="140">
        <f t="shared" si="11"/>
        <v>25.567559071468935</v>
      </c>
      <c r="H30" s="140">
        <f t="shared" si="6"/>
        <v>653.70007687305338</v>
      </c>
      <c r="I30" s="140">
        <f>AVERAGE(H$8:H30)</f>
        <v>473.18802481594344</v>
      </c>
      <c r="J30"/>
      <c r="K30"/>
      <c r="L30"/>
      <c r="M30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03">
        <v>28</v>
      </c>
      <c r="B31" s="103">
        <f>'1.StatFitPoissNorm'!B29</f>
        <v>48</v>
      </c>
      <c r="C31" s="155">
        <f t="shared" si="7"/>
        <v>42.75</v>
      </c>
      <c r="D31" s="155">
        <f t="shared" si="8"/>
        <v>-9.375E-2</v>
      </c>
      <c r="E31" s="155">
        <f t="shared" si="9"/>
        <v>1.5355639821279723</v>
      </c>
      <c r="F31" s="140">
        <f t="shared" si="10"/>
        <v>66.260291208933282</v>
      </c>
      <c r="G31" s="140">
        <f t="shared" si="11"/>
        <v>-18.260291208933282</v>
      </c>
      <c r="H31" s="140">
        <f t="shared" si="6"/>
        <v>333.43823503504609</v>
      </c>
      <c r="I31" s="140">
        <f>AVERAGE(H$8:H31)</f>
        <v>467.36511690840604</v>
      </c>
      <c r="J31"/>
      <c r="K31"/>
      <c r="L31"/>
      <c r="M31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10"/>
      <c r="AL31" s="10"/>
      <c r="AM31" s="10"/>
      <c r="AN31" s="10"/>
      <c r="AO31" s="10"/>
      <c r="AP31" s="10"/>
      <c r="AQ31" s="10"/>
    </row>
    <row r="32" spans="1:60" ht="16.5" x14ac:dyDescent="0.3">
      <c r="A32" s="141">
        <v>29</v>
      </c>
      <c r="B32"/>
      <c r="C32"/>
      <c r="D32"/>
      <c r="E32"/>
      <c r="F32" s="140">
        <f t="shared" si="10"/>
        <v>48.228882640122698</v>
      </c>
      <c r="G32" s="132"/>
      <c r="H32" s="132"/>
      <c r="I32"/>
      <c r="J32"/>
      <c r="K32"/>
      <c r="L32"/>
      <c r="M32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/>
      <c r="D33"/>
      <c r="E3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 s="85" t="s">
        <v>130</v>
      </c>
      <c r="C34"/>
      <c r="D34"/>
      <c r="E34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 s="85" t="s">
        <v>129</v>
      </c>
      <c r="C35" s="139"/>
      <c r="D35"/>
      <c r="E35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 s="85" t="s">
        <v>131</v>
      </c>
      <c r="C36"/>
      <c r="D36"/>
      <c r="E36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 s="151" t="s">
        <v>127</v>
      </c>
      <c r="C37"/>
      <c r="D37"/>
      <c r="E37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 t="s">
        <v>132</v>
      </c>
      <c r="C38"/>
      <c r="D38"/>
      <c r="E38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 t="s">
        <v>133</v>
      </c>
      <c r="C39"/>
      <c r="D39"/>
      <c r="E39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 t="s">
        <v>134</v>
      </c>
      <c r="C40"/>
      <c r="D40"/>
      <c r="E40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 t="s">
        <v>128</v>
      </c>
      <c r="C41"/>
      <c r="D41"/>
      <c r="E41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 t="s">
        <v>135</v>
      </c>
      <c r="C42"/>
      <c r="D42"/>
      <c r="E42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/>
      <c r="D43"/>
      <c r="E4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/>
      <c r="D44"/>
      <c r="E44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/>
      <c r="D45"/>
      <c r="E45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/>
      <c r="D46"/>
      <c r="E46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/>
      <c r="D47"/>
      <c r="E47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/>
      <c r="D48"/>
      <c r="E48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/>
      <c r="D49"/>
      <c r="E49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/>
      <c r="D50"/>
      <c r="E50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/>
      <c r="D51"/>
      <c r="E51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/>
      <c r="D52"/>
      <c r="E5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/>
      <c r="D53"/>
      <c r="E5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/>
      <c r="D54"/>
      <c r="E54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/>
      <c r="D55"/>
      <c r="E55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/>
      <c r="D56"/>
      <c r="E5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/>
      <c r="D57"/>
      <c r="E57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10"/>
      <c r="AL73" s="10"/>
      <c r="AM73" s="10"/>
      <c r="AN73" s="10"/>
      <c r="AO73" s="10"/>
      <c r="AP73" s="10"/>
      <c r="AQ73" s="10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D89"/>
      <c r="E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ht="16.5" x14ac:dyDescent="0.3">
      <c r="A90"/>
      <c r="B90"/>
      <c r="C90"/>
      <c r="D90"/>
      <c r="E90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I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5" bestFit="1" customWidth="1"/>
    <col min="2" max="2" width="9.7109375" style="85" bestFit="1" customWidth="1"/>
    <col min="3" max="5" width="9.7109375" style="85" customWidth="1"/>
    <col min="6" max="6" width="12.42578125" style="85" bestFit="1" customWidth="1"/>
    <col min="7" max="9" width="9.7109375" style="85" customWidth="1"/>
    <col min="10" max="10" width="9.140625" style="85"/>
    <col min="11" max="11" width="12.140625" style="85" bestFit="1" customWidth="1"/>
    <col min="12" max="12" width="13.85546875" style="85" bestFit="1" customWidth="1"/>
    <col min="13" max="13" width="12.42578125" style="85" bestFit="1" customWidth="1"/>
    <col min="14" max="14" width="12.42578125" style="85" customWidth="1"/>
    <col min="15" max="15" width="12.140625" style="85" bestFit="1" customWidth="1"/>
    <col min="16" max="19" width="9.28515625" style="85" bestFit="1" customWidth="1"/>
    <col min="20" max="21" width="9.140625" style="85"/>
    <col min="22" max="22" width="9.28515625" style="85" bestFit="1" customWidth="1"/>
    <col min="23" max="33" width="9.140625" style="85"/>
    <col min="34" max="34" width="9.140625" style="85" customWidth="1"/>
    <col min="35" max="37" width="9.140625" style="8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85"/>
  </cols>
  <sheetData>
    <row r="1" spans="1:61" ht="15.75" thickBot="1" x14ac:dyDescent="0.3">
      <c r="J1" s="143"/>
      <c r="K1" s="144"/>
      <c r="L1" s="143"/>
      <c r="M1" s="11"/>
      <c r="N1" s="1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61" customFormat="1" ht="17.25" thickBot="1" x14ac:dyDescent="0.35">
      <c r="A2" s="152" t="s">
        <v>4</v>
      </c>
      <c r="B2" s="153" t="s">
        <v>142</v>
      </c>
      <c r="C2" s="132"/>
      <c r="D2" s="132"/>
      <c r="E2" s="132"/>
      <c r="F2" s="1"/>
      <c r="G2" s="1"/>
      <c r="H2" s="1"/>
      <c r="I2" s="1"/>
      <c r="J2" s="1"/>
      <c r="K2" s="85"/>
      <c r="L2" s="85"/>
      <c r="M2" s="85"/>
      <c r="N2" s="85"/>
    </row>
    <row r="3" spans="1:61" customFormat="1" ht="16.5" x14ac:dyDescent="0.3">
      <c r="A3" s="93">
        <v>0</v>
      </c>
      <c r="B3" s="93"/>
      <c r="C3" s="154"/>
      <c r="D3" s="154"/>
      <c r="E3" s="154"/>
      <c r="F3" s="118"/>
      <c r="G3" s="118"/>
      <c r="H3" s="118"/>
      <c r="I3" t="s">
        <v>28</v>
      </c>
      <c r="AI3" s="85"/>
      <c r="AJ3" s="85"/>
      <c r="AK3" s="85"/>
      <c r="BE3" s="85"/>
      <c r="BF3" s="85"/>
      <c r="BG3" s="85"/>
      <c r="BH3" s="85"/>
      <c r="BI3" s="85"/>
    </row>
    <row r="4" spans="1:61" customFormat="1" ht="17.25" thickBot="1" x14ac:dyDescent="0.35">
      <c r="A4" s="103">
        <v>1</v>
      </c>
      <c r="B4" s="155">
        <f>'1.StatFitPoissNorm'!B2</f>
        <v>50</v>
      </c>
      <c r="C4" s="155">
        <v>0</v>
      </c>
      <c r="D4" s="156">
        <v>0</v>
      </c>
      <c r="E4" s="145">
        <v>0</v>
      </c>
      <c r="F4" s="103" t="e">
        <f>'1.StatFitPoissNorm'!#REF!</f>
        <v>#REF!</v>
      </c>
      <c r="G4" s="85">
        <f>$J$19+$J$20*A4+$J$22*C4+$J$23*D4+$J$24*E4</f>
        <v>26.526785714285719</v>
      </c>
      <c r="H4" s="85"/>
      <c r="AI4" s="85"/>
      <c r="AJ4" s="85"/>
      <c r="AK4" s="85"/>
      <c r="BE4" s="85"/>
      <c r="BF4" s="85"/>
      <c r="BG4" s="85"/>
      <c r="BH4" s="85"/>
      <c r="BI4" s="85"/>
    </row>
    <row r="5" spans="1:61" customFormat="1" ht="16.5" x14ac:dyDescent="0.3">
      <c r="A5" s="103">
        <v>2</v>
      </c>
      <c r="B5" s="155">
        <f>'1.StatFitPoissNorm'!B3</f>
        <v>25</v>
      </c>
      <c r="C5" s="155">
        <v>1</v>
      </c>
      <c r="D5" s="156">
        <v>0</v>
      </c>
      <c r="E5" s="145">
        <v>0</v>
      </c>
      <c r="F5" s="103" t="e">
        <f>'1.StatFitPoissNorm'!#REF!</f>
        <v>#REF!</v>
      </c>
      <c r="G5" s="85">
        <f t="shared" ref="G5:G31" si="0">$J$19+$J$20*A5+$J$22*C5+$J$23*D5+$J$24*E5</f>
        <v>38.241071428571431</v>
      </c>
      <c r="H5" s="85"/>
      <c r="I5" s="12" t="s">
        <v>29</v>
      </c>
      <c r="J5" s="12"/>
      <c r="AI5" s="85"/>
      <c r="AJ5" s="85"/>
      <c r="AK5" s="85"/>
      <c r="BE5" s="85"/>
      <c r="BF5" s="85"/>
      <c r="BG5" s="85"/>
      <c r="BH5" s="85"/>
      <c r="BI5" s="85"/>
    </row>
    <row r="6" spans="1:61" customFormat="1" ht="16.5" x14ac:dyDescent="0.3">
      <c r="A6" s="103">
        <v>3</v>
      </c>
      <c r="B6" s="155">
        <f>'1.StatFitPoissNorm'!B4</f>
        <v>33</v>
      </c>
      <c r="C6" s="155">
        <v>0</v>
      </c>
      <c r="D6" s="156">
        <v>1</v>
      </c>
      <c r="E6" s="145">
        <v>0</v>
      </c>
      <c r="F6" s="103" t="e">
        <f>'1.StatFitPoissNorm'!#REF!</f>
        <v>#REF!</v>
      </c>
      <c r="G6" s="85">
        <f t="shared" si="0"/>
        <v>54.383928571428569</v>
      </c>
      <c r="H6" s="85"/>
      <c r="I6" s="17" t="s">
        <v>31</v>
      </c>
      <c r="J6" s="17">
        <v>0.90441186797355999</v>
      </c>
      <c r="AI6" s="85"/>
      <c r="AJ6" s="85"/>
      <c r="AK6" s="85"/>
      <c r="BE6" s="85"/>
      <c r="BF6" s="85"/>
      <c r="BG6" s="85"/>
      <c r="BH6" s="85"/>
      <c r="BI6" s="85"/>
    </row>
    <row r="7" spans="1:61" customFormat="1" ht="16.5" x14ac:dyDescent="0.3">
      <c r="A7" s="103">
        <v>4</v>
      </c>
      <c r="B7" s="155">
        <f>'1.StatFitPoissNorm'!B5</f>
        <v>72</v>
      </c>
      <c r="C7" s="155">
        <v>0</v>
      </c>
      <c r="D7" s="156">
        <v>0</v>
      </c>
      <c r="E7" s="145">
        <v>1</v>
      </c>
      <c r="F7" s="103" t="e">
        <f>'1.StatFitPoissNorm'!#REF!</f>
        <v>#REF!</v>
      </c>
      <c r="G7" s="85">
        <f t="shared" si="0"/>
        <v>29.098214285714292</v>
      </c>
      <c r="H7" s="85"/>
      <c r="I7" s="17" t="s">
        <v>33</v>
      </c>
      <c r="J7" s="17">
        <v>0.81796082693142413</v>
      </c>
      <c r="AI7" s="85"/>
      <c r="AJ7" s="85"/>
      <c r="AK7" s="85"/>
      <c r="BE7" s="85"/>
      <c r="BF7" s="85"/>
      <c r="BG7" s="85"/>
      <c r="BH7" s="85"/>
      <c r="BI7" s="85"/>
    </row>
    <row r="8" spans="1:61" customFormat="1" ht="16.5" x14ac:dyDescent="0.3">
      <c r="A8" s="103">
        <v>5</v>
      </c>
      <c r="B8" s="155">
        <f>'1.StatFitPoissNorm'!B6</f>
        <v>67</v>
      </c>
      <c r="C8" s="155">
        <f t="shared" ref="C8:E8" si="1">C4</f>
        <v>0</v>
      </c>
      <c r="D8" s="155">
        <f t="shared" si="1"/>
        <v>0</v>
      </c>
      <c r="E8" s="155">
        <f t="shared" si="1"/>
        <v>0</v>
      </c>
      <c r="F8" s="103" t="e">
        <f>'1.StatFitPoissNorm'!#REF!</f>
        <v>#REF!</v>
      </c>
      <c r="G8" s="85">
        <f t="shared" si="0"/>
        <v>31.303571428571434</v>
      </c>
      <c r="H8" s="85"/>
      <c r="I8" s="17" t="s">
        <v>34</v>
      </c>
      <c r="J8" s="17">
        <v>0.77658828759765686</v>
      </c>
      <c r="AI8" s="85"/>
      <c r="AJ8" s="85"/>
      <c r="AK8" s="85"/>
      <c r="BE8" s="85"/>
      <c r="BF8" s="85"/>
      <c r="BG8" s="85"/>
      <c r="BH8" s="85"/>
      <c r="BI8" s="85"/>
    </row>
    <row r="9" spans="1:61" customFormat="1" ht="16.5" x14ac:dyDescent="0.3">
      <c r="A9" s="103">
        <v>6</v>
      </c>
      <c r="B9" s="155">
        <f>'1.StatFitPoissNorm'!B7</f>
        <v>35</v>
      </c>
      <c r="C9" s="155">
        <f t="shared" ref="C9:E9" si="2">C5</f>
        <v>1</v>
      </c>
      <c r="D9" s="155">
        <f t="shared" si="2"/>
        <v>0</v>
      </c>
      <c r="E9" s="155">
        <f t="shared" si="2"/>
        <v>0</v>
      </c>
      <c r="F9" s="103" t="e">
        <f>'1.StatFitPoissNorm'!#REF!</f>
        <v>#REF!</v>
      </c>
      <c r="G9" s="85">
        <f t="shared" si="0"/>
        <v>43.017857142857139</v>
      </c>
      <c r="H9" s="85"/>
      <c r="I9" s="17" t="s">
        <v>35</v>
      </c>
      <c r="J9" s="17">
        <v>7.751034895886737</v>
      </c>
      <c r="AI9" s="85"/>
      <c r="AJ9" s="85"/>
      <c r="AK9" s="85"/>
      <c r="BE9" s="85"/>
      <c r="BF9" s="85"/>
      <c r="BG9" s="85"/>
      <c r="BH9" s="85"/>
      <c r="BI9" s="85"/>
    </row>
    <row r="10" spans="1:61" customFormat="1" ht="17.25" thickBot="1" x14ac:dyDescent="0.35">
      <c r="A10" s="103">
        <v>7</v>
      </c>
      <c r="B10" s="155">
        <f>'1.StatFitPoissNorm'!B8</f>
        <v>42</v>
      </c>
      <c r="C10" s="155">
        <f t="shared" ref="C10:E10" si="3">C6</f>
        <v>0</v>
      </c>
      <c r="D10" s="155">
        <f t="shared" si="3"/>
        <v>1</v>
      </c>
      <c r="E10" s="155">
        <f t="shared" si="3"/>
        <v>0</v>
      </c>
      <c r="F10" s="103" t="e">
        <f>'1.StatFitPoissNorm'!#REF!</f>
        <v>#REF!</v>
      </c>
      <c r="G10" s="85">
        <f t="shared" si="0"/>
        <v>59.160714285714285</v>
      </c>
      <c r="H10" s="85"/>
      <c r="I10" s="21" t="s">
        <v>36</v>
      </c>
      <c r="J10" s="21">
        <v>28</v>
      </c>
      <c r="AI10" s="85"/>
      <c r="AJ10" s="85"/>
      <c r="AK10" s="85"/>
      <c r="BE10" s="85"/>
      <c r="BF10" s="85"/>
      <c r="BG10" s="85"/>
      <c r="BH10" s="85"/>
      <c r="BI10" s="85"/>
    </row>
    <row r="11" spans="1:61" customFormat="1" ht="16.5" x14ac:dyDescent="0.3">
      <c r="A11" s="103">
        <v>8</v>
      </c>
      <c r="B11" s="155">
        <f>'1.StatFitPoissNorm'!B9</f>
        <v>44</v>
      </c>
      <c r="C11" s="155">
        <f t="shared" ref="C11:E11" si="4">C7</f>
        <v>0</v>
      </c>
      <c r="D11" s="155">
        <f t="shared" si="4"/>
        <v>0</v>
      </c>
      <c r="E11" s="155">
        <f t="shared" si="4"/>
        <v>1</v>
      </c>
      <c r="F11" s="103" t="e">
        <f>'1.StatFitPoissNorm'!#REF!</f>
        <v>#REF!</v>
      </c>
      <c r="G11" s="85">
        <f t="shared" si="0"/>
        <v>33.875000000000007</v>
      </c>
      <c r="H11" s="85"/>
      <c r="AI11" s="85"/>
      <c r="AJ11" s="85"/>
      <c r="AK11" s="85"/>
      <c r="BE11" s="85"/>
      <c r="BF11" s="85"/>
      <c r="BG11" s="85"/>
      <c r="BH11" s="85"/>
      <c r="BI11" s="85"/>
    </row>
    <row r="12" spans="1:61" customFormat="1" ht="17.25" thickBot="1" x14ac:dyDescent="0.35">
      <c r="A12" s="103">
        <v>9</v>
      </c>
      <c r="B12" s="155">
        <f>'1.StatFitPoissNorm'!B10</f>
        <v>51</v>
      </c>
      <c r="C12" s="155">
        <f t="shared" ref="C12:E12" si="5">C8</f>
        <v>0</v>
      </c>
      <c r="D12" s="155">
        <f t="shared" si="5"/>
        <v>0</v>
      </c>
      <c r="E12" s="155">
        <f t="shared" si="5"/>
        <v>0</v>
      </c>
      <c r="F12" s="103" t="e">
        <f>'1.StatFitPoissNorm'!#REF!</f>
        <v>#REF!</v>
      </c>
      <c r="G12" s="85">
        <f t="shared" si="0"/>
        <v>36.080357142857146</v>
      </c>
      <c r="H12" s="85"/>
      <c r="I12" t="s">
        <v>37</v>
      </c>
      <c r="AI12" s="85"/>
      <c r="AJ12" s="85"/>
      <c r="AK12" s="85"/>
      <c r="BE12" s="85"/>
      <c r="BF12" s="85"/>
      <c r="BG12" s="85"/>
      <c r="BH12" s="85"/>
      <c r="BI12" s="85"/>
    </row>
    <row r="13" spans="1:61" customFormat="1" ht="16.5" x14ac:dyDescent="0.3">
      <c r="A13" s="103">
        <v>10</v>
      </c>
      <c r="B13" s="155">
        <f>'1.StatFitPoissNorm'!B11</f>
        <v>39</v>
      </c>
      <c r="C13" s="155">
        <f t="shared" ref="C13:E13" si="6">C9</f>
        <v>1</v>
      </c>
      <c r="D13" s="155">
        <f t="shared" si="6"/>
        <v>0</v>
      </c>
      <c r="E13" s="155">
        <f t="shared" si="6"/>
        <v>0</v>
      </c>
      <c r="F13" s="103" t="e">
        <f>'1.StatFitPoissNorm'!#REF!</f>
        <v>#REF!</v>
      </c>
      <c r="G13" s="85">
        <f t="shared" si="0"/>
        <v>47.794642857142861</v>
      </c>
      <c r="H13" s="85"/>
      <c r="I13" s="20"/>
      <c r="J13" s="20" t="s">
        <v>38</v>
      </c>
      <c r="K13" s="20" t="s">
        <v>39</v>
      </c>
      <c r="L13" s="20" t="s">
        <v>40</v>
      </c>
      <c r="M13" s="20" t="s">
        <v>41</v>
      </c>
      <c r="N13" s="20" t="s">
        <v>42</v>
      </c>
      <c r="AI13" s="85"/>
      <c r="AJ13" s="85"/>
      <c r="AK13" s="85"/>
      <c r="BE13" s="85"/>
      <c r="BF13" s="85"/>
      <c r="BG13" s="85"/>
      <c r="BH13" s="85"/>
      <c r="BI13" s="85"/>
    </row>
    <row r="14" spans="1:61" customFormat="1" ht="16.5" x14ac:dyDescent="0.3">
      <c r="A14" s="103">
        <v>11</v>
      </c>
      <c r="B14" s="155">
        <f>'1.StatFitPoissNorm'!B12</f>
        <v>46</v>
      </c>
      <c r="C14" s="155">
        <f t="shared" ref="C14:E14" si="7">C10</f>
        <v>0</v>
      </c>
      <c r="D14" s="155">
        <f t="shared" si="7"/>
        <v>1</v>
      </c>
      <c r="E14" s="155">
        <f t="shared" si="7"/>
        <v>0</v>
      </c>
      <c r="F14" s="103" t="e">
        <f>'1.StatFitPoissNorm'!#REF!</f>
        <v>#REF!</v>
      </c>
      <c r="G14" s="85">
        <f t="shared" si="0"/>
        <v>63.937499999999993</v>
      </c>
      <c r="H14" s="85"/>
      <c r="I14" s="17" t="s">
        <v>43</v>
      </c>
      <c r="J14" s="17">
        <v>5</v>
      </c>
      <c r="K14" s="17">
        <v>5938.9506483689865</v>
      </c>
      <c r="L14" s="17">
        <v>1187.7901296737973</v>
      </c>
      <c r="M14" s="17">
        <v>19.770621772394442</v>
      </c>
      <c r="N14" s="17">
        <v>1.7834891881261903E-7</v>
      </c>
      <c r="AI14" s="85"/>
      <c r="AJ14" s="85"/>
      <c r="AK14" s="85"/>
      <c r="BE14" s="85"/>
      <c r="BF14" s="85"/>
      <c r="BG14" s="85"/>
      <c r="BH14" s="85"/>
      <c r="BI14" s="85"/>
    </row>
    <row r="15" spans="1:61" customFormat="1" ht="16.5" x14ac:dyDescent="0.3">
      <c r="A15" s="103">
        <v>12</v>
      </c>
      <c r="B15" s="155">
        <f>'1.StatFitPoissNorm'!B13</f>
        <v>41</v>
      </c>
      <c r="C15" s="155">
        <f t="shared" ref="C15:E15" si="8">C11</f>
        <v>0</v>
      </c>
      <c r="D15" s="155">
        <f t="shared" si="8"/>
        <v>0</v>
      </c>
      <c r="E15" s="155">
        <f t="shared" si="8"/>
        <v>1</v>
      </c>
      <c r="F15" s="103" t="e">
        <f>'1.StatFitPoissNorm'!#REF!</f>
        <v>#REF!</v>
      </c>
      <c r="G15" s="85">
        <f t="shared" si="0"/>
        <v>38.651785714285715</v>
      </c>
      <c r="H15" s="85"/>
      <c r="I15" s="17" t="s">
        <v>44</v>
      </c>
      <c r="J15" s="17">
        <v>22</v>
      </c>
      <c r="K15" s="17">
        <v>1321.7279230595861</v>
      </c>
      <c r="L15" s="17">
        <v>60.078541957253918</v>
      </c>
      <c r="M15" s="17"/>
      <c r="N15" s="17"/>
      <c r="AI15" s="85"/>
      <c r="AJ15" s="85"/>
      <c r="AK15" s="85"/>
      <c r="BE15" s="85"/>
      <c r="BF15" s="85"/>
      <c r="BG15" s="85"/>
      <c r="BH15" s="85"/>
      <c r="BI15" s="85"/>
    </row>
    <row r="16" spans="1:61" customFormat="1" ht="17.25" thickBot="1" x14ac:dyDescent="0.35">
      <c r="A16" s="103">
        <v>13</v>
      </c>
      <c r="B16" s="155">
        <f>'1.StatFitPoissNorm'!B14</f>
        <v>69</v>
      </c>
      <c r="C16" s="155">
        <f t="shared" ref="C16:E16" si="9">C12</f>
        <v>0</v>
      </c>
      <c r="D16" s="155">
        <f t="shared" si="9"/>
        <v>0</v>
      </c>
      <c r="E16" s="155">
        <f t="shared" si="9"/>
        <v>0</v>
      </c>
      <c r="F16" s="103" t="e">
        <f>'1.StatFitPoissNorm'!#REF!</f>
        <v>#REF!</v>
      </c>
      <c r="G16" s="85">
        <f t="shared" si="0"/>
        <v>40.857142857142861</v>
      </c>
      <c r="H16" s="85"/>
      <c r="I16" s="21" t="s">
        <v>45</v>
      </c>
      <c r="J16" s="21">
        <v>27</v>
      </c>
      <c r="K16" s="21">
        <v>7260.6785714285725</v>
      </c>
      <c r="L16" s="21"/>
      <c r="M16" s="21"/>
      <c r="N16" s="21"/>
      <c r="AI16" s="85"/>
      <c r="AJ16" s="85"/>
      <c r="AK16" s="85"/>
      <c r="BE16" s="85"/>
      <c r="BF16" s="85"/>
      <c r="BG16" s="85"/>
      <c r="BH16" s="85"/>
      <c r="BI16" s="85"/>
    </row>
    <row r="17" spans="1:61" customFormat="1" ht="17.25" thickBot="1" x14ac:dyDescent="0.35">
      <c r="A17" s="103">
        <v>14</v>
      </c>
      <c r="B17" s="155">
        <f>'1.StatFitPoissNorm'!B15</f>
        <v>28</v>
      </c>
      <c r="C17" s="155">
        <f t="shared" ref="C17:E17" si="10">C13</f>
        <v>1</v>
      </c>
      <c r="D17" s="155">
        <f t="shared" si="10"/>
        <v>0</v>
      </c>
      <c r="E17" s="155">
        <f t="shared" si="10"/>
        <v>0</v>
      </c>
      <c r="F17" s="103" t="e">
        <f>'1.StatFitPoissNorm'!#REF!</f>
        <v>#REF!</v>
      </c>
      <c r="G17" s="85">
        <f t="shared" si="0"/>
        <v>52.571428571428569</v>
      </c>
      <c r="H17" s="85"/>
      <c r="AI17" s="93"/>
      <c r="AJ17" s="93"/>
      <c r="AK17" s="93"/>
      <c r="AL17" s="10"/>
      <c r="AM17" s="10"/>
      <c r="AN17" s="10"/>
      <c r="AO17" s="10"/>
      <c r="AP17" s="10"/>
      <c r="AQ17" s="10"/>
      <c r="AR17" s="10"/>
      <c r="BE17" s="85"/>
      <c r="BF17" s="85"/>
      <c r="BG17" s="85"/>
      <c r="BH17" s="85"/>
      <c r="BI17" s="85"/>
    </row>
    <row r="18" spans="1:61" ht="16.5" x14ac:dyDescent="0.3">
      <c r="A18" s="103">
        <v>15</v>
      </c>
      <c r="B18" s="155">
        <f>'1.StatFitPoissNorm'!B16</f>
        <v>82</v>
      </c>
      <c r="C18" s="155">
        <f t="shared" ref="C18:E18" si="11">C14</f>
        <v>0</v>
      </c>
      <c r="D18" s="155">
        <f t="shared" si="11"/>
        <v>1</v>
      </c>
      <c r="E18" s="155">
        <f t="shared" si="11"/>
        <v>0</v>
      </c>
      <c r="F18" s="103" t="e">
        <f>'1.StatFitPoissNorm'!#REF!</f>
        <v>#REF!</v>
      </c>
      <c r="G18" s="85">
        <f t="shared" si="0"/>
        <v>68.714285714285722</v>
      </c>
      <c r="I18" s="20"/>
      <c r="J18" s="20" t="s">
        <v>46</v>
      </c>
      <c r="K18" s="20" t="s">
        <v>35</v>
      </c>
      <c r="L18" s="20" t="s">
        <v>47</v>
      </c>
      <c r="M18" s="20" t="s">
        <v>48</v>
      </c>
      <c r="N18" s="20" t="s">
        <v>49</v>
      </c>
      <c r="O18" s="20" t="s">
        <v>50</v>
      </c>
      <c r="P18" s="20" t="s">
        <v>136</v>
      </c>
      <c r="Q18" s="20" t="s">
        <v>137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93"/>
      <c r="AJ18" s="93"/>
      <c r="AK18" s="93"/>
      <c r="AL18" s="10"/>
      <c r="AM18" s="10"/>
      <c r="AN18" s="10"/>
      <c r="AO18" s="10"/>
      <c r="AP18" s="10"/>
      <c r="AQ18" s="10"/>
      <c r="AR18" s="10"/>
    </row>
    <row r="19" spans="1:61" ht="16.5" x14ac:dyDescent="0.3">
      <c r="A19" s="103">
        <v>16</v>
      </c>
      <c r="B19" s="155">
        <f>'1.StatFitPoissNorm'!B17</f>
        <v>65</v>
      </c>
      <c r="C19" s="155">
        <f t="shared" ref="C19:E19" si="12">C15</f>
        <v>0</v>
      </c>
      <c r="D19" s="155">
        <f t="shared" si="12"/>
        <v>0</v>
      </c>
      <c r="E19" s="155">
        <f t="shared" si="12"/>
        <v>1</v>
      </c>
      <c r="F19" s="103" t="e">
        <f>'1.StatFitPoissNorm'!#REF!</f>
        <v>#REF!</v>
      </c>
      <c r="G19" s="85">
        <f t="shared" si="0"/>
        <v>43.428571428571431</v>
      </c>
      <c r="I19" s="17" t="s">
        <v>52</v>
      </c>
      <c r="J19" s="17">
        <v>25.332589285714292</v>
      </c>
      <c r="K19" s="17">
        <v>3.7747235834698136</v>
      </c>
      <c r="L19" s="17">
        <v>6.7111110854978122</v>
      </c>
      <c r="M19" s="17">
        <v>9.5664007600167605E-7</v>
      </c>
      <c r="N19" s="17">
        <v>17.504291707174072</v>
      </c>
      <c r="O19" s="17">
        <v>33.160886864254515</v>
      </c>
      <c r="P19" s="17">
        <v>17.504291707174072</v>
      </c>
      <c r="Q19" s="17">
        <v>33.160886864254515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93"/>
      <c r="AJ19" s="93"/>
      <c r="AK19" s="93"/>
      <c r="AL19" s="10"/>
      <c r="AM19" s="10"/>
      <c r="AN19" s="10"/>
      <c r="AO19" s="10"/>
      <c r="AP19" s="10"/>
      <c r="AQ19" s="10"/>
      <c r="AR19" s="10"/>
    </row>
    <row r="20" spans="1:61" ht="16.5" x14ac:dyDescent="0.3">
      <c r="A20" s="103">
        <v>17</v>
      </c>
      <c r="B20" s="155">
        <f>'1.StatFitPoissNorm'!B18</f>
        <v>47</v>
      </c>
      <c r="C20" s="155">
        <f t="shared" ref="C20:E20" si="13">C16</f>
        <v>0</v>
      </c>
      <c r="D20" s="155">
        <f t="shared" si="13"/>
        <v>0</v>
      </c>
      <c r="E20" s="155">
        <f t="shared" si="13"/>
        <v>0</v>
      </c>
      <c r="F20" s="103" t="e">
        <f>'1.StatFitPoissNorm'!#REF!</f>
        <v>#REF!</v>
      </c>
      <c r="G20" s="85">
        <f t="shared" si="0"/>
        <v>45.633928571428569</v>
      </c>
      <c r="I20" s="17" t="s">
        <v>54</v>
      </c>
      <c r="J20" s="17">
        <v>1.1941964285714284</v>
      </c>
      <c r="K20" s="17">
        <v>0.18310098873124758</v>
      </c>
      <c r="L20" s="17">
        <v>6.5220643364424919</v>
      </c>
      <c r="M20" s="17">
        <v>1.4659083306327073E-6</v>
      </c>
      <c r="N20" s="17">
        <v>0.8144682193350955</v>
      </c>
      <c r="O20" s="17">
        <v>1.5739246378077612</v>
      </c>
      <c r="P20" s="17">
        <v>0.8144682193350955</v>
      </c>
      <c r="Q20" s="17">
        <v>1.5739246378077612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93"/>
      <c r="AJ20" s="93"/>
      <c r="AK20" s="93"/>
      <c r="AL20" s="10"/>
      <c r="AM20" s="10"/>
      <c r="AN20" s="10"/>
      <c r="AO20" s="10"/>
      <c r="AP20" s="10"/>
      <c r="AQ20" s="10"/>
      <c r="AR20" s="10"/>
    </row>
    <row r="21" spans="1:61" ht="16.5" x14ac:dyDescent="0.3">
      <c r="A21" s="103">
        <v>18</v>
      </c>
      <c r="B21" s="155">
        <f>'1.StatFitPoissNorm'!B19</f>
        <v>53</v>
      </c>
      <c r="C21" s="155">
        <f t="shared" ref="C21:E21" si="14">C17</f>
        <v>1</v>
      </c>
      <c r="D21" s="155">
        <f t="shared" si="14"/>
        <v>0</v>
      </c>
      <c r="E21" s="155">
        <f t="shared" si="14"/>
        <v>0</v>
      </c>
      <c r="F21" s="103" t="e">
        <f>'1.StatFitPoissNorm'!#REF!</f>
        <v>#REF!</v>
      </c>
      <c r="G21" s="85">
        <f t="shared" si="0"/>
        <v>57.348214285714278</v>
      </c>
      <c r="I21" s="17" t="s">
        <v>138</v>
      </c>
      <c r="J21" s="17">
        <v>0</v>
      </c>
      <c r="K21" s="17">
        <v>0</v>
      </c>
      <c r="L21" s="17">
        <v>65535</v>
      </c>
      <c r="M21" s="17" t="e">
        <v>#NUM!</v>
      </c>
      <c r="N21" s="17">
        <v>0</v>
      </c>
      <c r="O21" s="17">
        <v>0</v>
      </c>
      <c r="P21" s="17">
        <v>0</v>
      </c>
      <c r="Q21" s="17">
        <v>0</v>
      </c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10"/>
      <c r="AM21" s="10"/>
      <c r="AN21" s="10"/>
      <c r="AO21" s="10"/>
      <c r="AP21" s="10"/>
      <c r="AQ21" s="10"/>
      <c r="AR21" s="10"/>
    </row>
    <row r="22" spans="1:61" ht="16.5" x14ac:dyDescent="0.3">
      <c r="A22" s="103">
        <v>19</v>
      </c>
      <c r="B22" s="155">
        <f>'1.StatFitPoissNorm'!B20</f>
        <v>90</v>
      </c>
      <c r="C22" s="155">
        <f t="shared" ref="C22:E22" si="15">C18</f>
        <v>0</v>
      </c>
      <c r="D22" s="155">
        <f t="shared" si="15"/>
        <v>1</v>
      </c>
      <c r="E22" s="155">
        <f t="shared" si="15"/>
        <v>0</v>
      </c>
      <c r="F22" s="103" t="e">
        <f>'1.StatFitPoissNorm'!#REF!</f>
        <v>#REF!</v>
      </c>
      <c r="G22" s="85">
        <f t="shared" si="0"/>
        <v>73.491071428571416</v>
      </c>
      <c r="I22" s="17" t="s">
        <v>139</v>
      </c>
      <c r="J22" s="17">
        <v>10.520089285714281</v>
      </c>
      <c r="K22" s="17">
        <v>4.1471464495658825</v>
      </c>
      <c r="L22" s="17">
        <v>2.5367055187586898</v>
      </c>
      <c r="M22" s="17" t="e">
        <v>#NUM!</v>
      </c>
      <c r="N22" s="17">
        <v>1.9194339553057969</v>
      </c>
      <c r="O22" s="17">
        <v>19.120744616122764</v>
      </c>
      <c r="P22" s="17">
        <v>1.9194339553057969</v>
      </c>
      <c r="Q22" s="17">
        <v>19.120744616122764</v>
      </c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10"/>
      <c r="AM22" s="10"/>
      <c r="AN22" s="10"/>
      <c r="AO22" s="10"/>
      <c r="AP22" s="10"/>
      <c r="AQ22" s="10"/>
      <c r="AR22" s="10"/>
    </row>
    <row r="23" spans="1:61" ht="16.5" x14ac:dyDescent="0.3">
      <c r="A23" s="103">
        <v>20</v>
      </c>
      <c r="B23" s="155">
        <f>'1.StatFitPoissNorm'!B21</f>
        <v>56</v>
      </c>
      <c r="C23" s="155">
        <f t="shared" ref="C23:E23" si="16">C19</f>
        <v>0</v>
      </c>
      <c r="D23" s="155">
        <f t="shared" si="16"/>
        <v>0</v>
      </c>
      <c r="E23" s="155">
        <f t="shared" si="16"/>
        <v>1</v>
      </c>
      <c r="F23" s="103" t="e">
        <f>'1.StatFitPoissNorm'!#REF!</f>
        <v>#REF!</v>
      </c>
      <c r="G23" s="85">
        <f t="shared" si="0"/>
        <v>48.205357142857146</v>
      </c>
      <c r="I23" s="17" t="s">
        <v>140</v>
      </c>
      <c r="J23" s="17">
        <v>25.468749999999993</v>
      </c>
      <c r="K23" s="17">
        <v>4.1592549321206533</v>
      </c>
      <c r="L23" s="17">
        <v>6.1233923901400296</v>
      </c>
      <c r="M23" s="17">
        <v>3.6580962005851138E-6</v>
      </c>
      <c r="N23" s="17">
        <v>16.842983213727983</v>
      </c>
      <c r="O23" s="17">
        <v>34.094516786272003</v>
      </c>
      <c r="P23" s="17">
        <v>16.842983213727983</v>
      </c>
      <c r="Q23" s="17">
        <v>34.094516786272003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10"/>
      <c r="AM23" s="10"/>
      <c r="AN23" s="10"/>
      <c r="AO23" s="10"/>
      <c r="AP23" s="10"/>
      <c r="AQ23" s="10"/>
      <c r="AR23" s="10"/>
    </row>
    <row r="24" spans="1:61" ht="17.25" thickBot="1" x14ac:dyDescent="0.35">
      <c r="A24" s="103">
        <v>21</v>
      </c>
      <c r="B24" s="155">
        <f>'1.StatFitPoissNorm'!B22</f>
        <v>51</v>
      </c>
      <c r="C24" s="155">
        <f t="shared" ref="C24:E24" si="17">C20</f>
        <v>0</v>
      </c>
      <c r="D24" s="155">
        <f t="shared" si="17"/>
        <v>0</v>
      </c>
      <c r="E24" s="155">
        <f t="shared" si="17"/>
        <v>0</v>
      </c>
      <c r="F24" s="103" t="e">
        <f>'1.StatFitPoissNorm'!#REF!</f>
        <v>#REF!</v>
      </c>
      <c r="G24" s="85">
        <f t="shared" si="0"/>
        <v>50.410714285714292</v>
      </c>
      <c r="I24" s="21" t="s">
        <v>141</v>
      </c>
      <c r="J24" s="21">
        <v>-1.0111607142857162</v>
      </c>
      <c r="K24" s="21">
        <v>4.1793577797003438</v>
      </c>
      <c r="L24" s="21">
        <v>-0.24194164931201834</v>
      </c>
      <c r="M24" s="21">
        <v>0.81106639693501859</v>
      </c>
      <c r="N24" s="21">
        <v>-9.6786182547414263</v>
      </c>
      <c r="O24" s="21">
        <v>7.6562968261699931</v>
      </c>
      <c r="P24" s="21">
        <v>-9.6786182547414263</v>
      </c>
      <c r="Q24" s="21">
        <v>7.6562968261699931</v>
      </c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10"/>
      <c r="AM24" s="10"/>
      <c r="AN24" s="10"/>
      <c r="AO24" s="10"/>
      <c r="AP24" s="10"/>
      <c r="AQ24" s="10"/>
      <c r="AR24" s="10"/>
    </row>
    <row r="25" spans="1:61" ht="16.5" x14ac:dyDescent="0.3">
      <c r="A25" s="103">
        <v>22</v>
      </c>
      <c r="B25" s="155">
        <f>'1.StatFitPoissNorm'!B23</f>
        <v>40</v>
      </c>
      <c r="C25" s="155">
        <f t="shared" ref="C25:E25" si="18">C21</f>
        <v>1</v>
      </c>
      <c r="D25" s="155">
        <f t="shared" si="18"/>
        <v>0</v>
      </c>
      <c r="E25" s="155">
        <f t="shared" si="18"/>
        <v>0</v>
      </c>
      <c r="F25" s="103" t="e">
        <f>'1.StatFitPoissNorm'!#REF!</f>
        <v>#REF!</v>
      </c>
      <c r="G25" s="85">
        <f t="shared" si="0"/>
        <v>62.125</v>
      </c>
      <c r="I25"/>
      <c r="J25"/>
      <c r="K25"/>
      <c r="L25"/>
      <c r="M25"/>
      <c r="N25"/>
      <c r="O25"/>
      <c r="P25"/>
      <c r="Q25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10"/>
      <c r="AM25" s="10"/>
      <c r="AN25" s="10"/>
      <c r="AO25" s="10"/>
      <c r="AP25" s="10"/>
      <c r="AQ25" s="10"/>
      <c r="AR25" s="10"/>
    </row>
    <row r="26" spans="1:61" ht="16.5" x14ac:dyDescent="0.3">
      <c r="A26" s="103">
        <v>23</v>
      </c>
      <c r="B26" s="155">
        <f>'1.StatFitPoissNorm'!B24</f>
        <v>61</v>
      </c>
      <c r="C26" s="155">
        <f t="shared" ref="C26:E26" si="19">C22</f>
        <v>0</v>
      </c>
      <c r="D26" s="155">
        <f t="shared" si="19"/>
        <v>1</v>
      </c>
      <c r="E26" s="155">
        <f t="shared" si="19"/>
        <v>0</v>
      </c>
      <c r="F26" s="103" t="e">
        <f>'1.StatFitPoissNorm'!#REF!</f>
        <v>#REF!</v>
      </c>
      <c r="G26" s="85">
        <f t="shared" si="0"/>
        <v>78.267857142857139</v>
      </c>
      <c r="I26"/>
      <c r="J26"/>
      <c r="K26"/>
      <c r="L26"/>
      <c r="M26"/>
      <c r="N26"/>
      <c r="O26"/>
      <c r="P26"/>
      <c r="Q26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10"/>
      <c r="AM26" s="10"/>
      <c r="AN26" s="10"/>
      <c r="AO26" s="10"/>
      <c r="AP26" s="10"/>
      <c r="AQ26" s="10"/>
      <c r="AR26" s="10"/>
    </row>
    <row r="27" spans="1:61" ht="16.5" x14ac:dyDescent="0.3">
      <c r="A27" s="103">
        <v>24</v>
      </c>
      <c r="B27" s="155">
        <f>'1.StatFitPoissNorm'!B25</f>
        <v>72</v>
      </c>
      <c r="C27" s="155">
        <f t="shared" ref="C27:E27" si="20">C23</f>
        <v>0</v>
      </c>
      <c r="D27" s="155">
        <f t="shared" si="20"/>
        <v>0</v>
      </c>
      <c r="E27" s="155">
        <f t="shared" si="20"/>
        <v>1</v>
      </c>
      <c r="F27" s="103" t="e">
        <f>'1.StatFitPoissNorm'!#REF!</f>
        <v>#REF!</v>
      </c>
      <c r="G27" s="85">
        <f t="shared" si="0"/>
        <v>52.982142857142854</v>
      </c>
      <c r="I27"/>
      <c r="J27"/>
      <c r="K27"/>
      <c r="L27"/>
      <c r="M27"/>
      <c r="N27"/>
      <c r="O27"/>
      <c r="P27"/>
      <c r="Q27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10"/>
      <c r="AM27" s="10"/>
      <c r="AN27" s="10"/>
      <c r="AO27" s="10"/>
      <c r="AP27" s="10"/>
      <c r="AQ27" s="10"/>
      <c r="AR27" s="10"/>
    </row>
    <row r="28" spans="1:61" ht="16.5" x14ac:dyDescent="0.3">
      <c r="A28" s="103">
        <v>25</v>
      </c>
      <c r="B28" s="155">
        <f>'1.StatFitPoissNorm'!B26</f>
        <v>39</v>
      </c>
      <c r="C28" s="155">
        <f t="shared" ref="C28:E28" si="21">C24</f>
        <v>0</v>
      </c>
      <c r="D28" s="155">
        <f t="shared" si="21"/>
        <v>0</v>
      </c>
      <c r="E28" s="155">
        <f t="shared" si="21"/>
        <v>0</v>
      </c>
      <c r="F28" s="103" t="e">
        <f>'1.StatFitPoissNorm'!#REF!</f>
        <v>#REF!</v>
      </c>
      <c r="G28" s="85">
        <f t="shared" si="0"/>
        <v>55.1875</v>
      </c>
      <c r="I28" s="140"/>
      <c r="J28" s="140"/>
      <c r="K28"/>
      <c r="L28"/>
      <c r="M28"/>
      <c r="N28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10"/>
      <c r="AM28" s="10"/>
      <c r="AN28" s="10"/>
      <c r="AO28" s="10"/>
      <c r="AP28" s="10"/>
      <c r="AQ28" s="10"/>
      <c r="AR28" s="10"/>
    </row>
    <row r="29" spans="1:61" ht="16.5" x14ac:dyDescent="0.3">
      <c r="A29" s="103">
        <v>26</v>
      </c>
      <c r="B29" s="155">
        <f>'1.StatFitPoissNorm'!B27</f>
        <v>31</v>
      </c>
      <c r="C29" s="155">
        <f t="shared" ref="C29:E29" si="22">C25</f>
        <v>1</v>
      </c>
      <c r="D29" s="155">
        <f t="shared" si="22"/>
        <v>0</v>
      </c>
      <c r="E29" s="155">
        <f t="shared" si="22"/>
        <v>0</v>
      </c>
      <c r="F29" s="103" t="e">
        <f>'1.StatFitPoissNorm'!#REF!</f>
        <v>#REF!</v>
      </c>
      <c r="G29" s="85">
        <f t="shared" si="0"/>
        <v>66.901785714285708</v>
      </c>
      <c r="I29" s="140"/>
      <c r="J29" s="140"/>
      <c r="K29"/>
      <c r="L29"/>
      <c r="M29"/>
      <c r="N29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10"/>
      <c r="AM29" s="10"/>
      <c r="AN29" s="10"/>
      <c r="AO29" s="10"/>
      <c r="AP29" s="10"/>
      <c r="AQ29" s="10"/>
      <c r="AR29" s="10"/>
    </row>
    <row r="30" spans="1:61" ht="16.5" x14ac:dyDescent="0.3">
      <c r="A30" s="103">
        <v>27</v>
      </c>
      <c r="B30" s="155">
        <f>'1.StatFitPoissNorm'!B28</f>
        <v>62</v>
      </c>
      <c r="C30" s="155">
        <f t="shared" ref="C30:E30" si="23">C26</f>
        <v>0</v>
      </c>
      <c r="D30" s="155">
        <f t="shared" si="23"/>
        <v>1</v>
      </c>
      <c r="E30" s="155">
        <f t="shared" si="23"/>
        <v>0</v>
      </c>
      <c r="F30" s="103" t="e">
        <f>'1.StatFitPoissNorm'!#REF!</f>
        <v>#REF!</v>
      </c>
      <c r="G30" s="85">
        <f t="shared" si="0"/>
        <v>83.044642857142861</v>
      </c>
      <c r="I30" s="140"/>
      <c r="J30" s="140"/>
      <c r="K30"/>
      <c r="L30"/>
      <c r="M30"/>
      <c r="N30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10"/>
      <c r="AM30" s="10"/>
      <c r="AN30" s="10"/>
      <c r="AO30" s="10"/>
      <c r="AP30" s="10"/>
      <c r="AQ30" s="10"/>
      <c r="AR30" s="10"/>
    </row>
    <row r="31" spans="1:61" ht="16.5" x14ac:dyDescent="0.3">
      <c r="A31" s="103">
        <v>28</v>
      </c>
      <c r="B31" s="155">
        <f>'1.StatFitPoissNorm'!B29</f>
        <v>48</v>
      </c>
      <c r="C31" s="155">
        <f t="shared" ref="C31:E31" si="24">C27</f>
        <v>0</v>
      </c>
      <c r="D31" s="155">
        <f t="shared" si="24"/>
        <v>0</v>
      </c>
      <c r="E31" s="155">
        <f t="shared" si="24"/>
        <v>1</v>
      </c>
      <c r="F31" s="103" t="e">
        <f>'1.StatFitPoissNorm'!#REF!</f>
        <v>#REF!</v>
      </c>
      <c r="G31" s="85">
        <f t="shared" si="0"/>
        <v>57.758928571428569</v>
      </c>
      <c r="I31" s="140"/>
      <c r="J31" s="140"/>
      <c r="K31"/>
      <c r="L31"/>
      <c r="M31"/>
      <c r="N31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10"/>
      <c r="AM31" s="10"/>
      <c r="AN31" s="10"/>
      <c r="AO31" s="10"/>
      <c r="AP31" s="10"/>
      <c r="AQ31" s="10"/>
      <c r="AR31" s="10"/>
    </row>
    <row r="32" spans="1:61" ht="16.5" x14ac:dyDescent="0.3">
      <c r="A32" s="141">
        <v>29</v>
      </c>
      <c r="B32"/>
      <c r="C32"/>
      <c r="D32"/>
      <c r="E32"/>
      <c r="F32" s="140"/>
      <c r="I32" s="132"/>
      <c r="J32"/>
      <c r="K32"/>
      <c r="L32"/>
      <c r="M32"/>
      <c r="N32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10"/>
      <c r="AM32" s="10"/>
      <c r="AN32" s="10"/>
      <c r="AO32" s="10"/>
      <c r="AP32" s="10"/>
      <c r="AQ32" s="10"/>
      <c r="AR32" s="10"/>
      <c r="BE32"/>
      <c r="BF32"/>
      <c r="BG32"/>
      <c r="BH32"/>
      <c r="BI32"/>
    </row>
    <row r="33" spans="1:61" x14ac:dyDescent="0.25">
      <c r="A33"/>
      <c r="B33"/>
      <c r="C33"/>
      <c r="D33"/>
      <c r="E3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10"/>
      <c r="AM33" s="10"/>
      <c r="AN33" s="10"/>
      <c r="AO33" s="10"/>
      <c r="AP33" s="10"/>
      <c r="AQ33" s="10"/>
      <c r="AR33" s="10"/>
      <c r="BE33"/>
      <c r="BF33"/>
      <c r="BG33"/>
      <c r="BH33"/>
      <c r="BI33"/>
    </row>
    <row r="34" spans="1:61" x14ac:dyDescent="0.25">
      <c r="A34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10"/>
      <c r="AM34" s="10"/>
      <c r="AN34" s="10"/>
      <c r="AO34" s="10"/>
      <c r="AP34" s="10"/>
      <c r="AQ34" s="10"/>
      <c r="AR34" s="10"/>
      <c r="BE34"/>
      <c r="BF34"/>
      <c r="BG34"/>
      <c r="BH34"/>
      <c r="BI34"/>
    </row>
    <row r="35" spans="1:61" x14ac:dyDescent="0.25">
      <c r="A35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10"/>
      <c r="AM35" s="10"/>
      <c r="AN35" s="10"/>
      <c r="AO35" s="10"/>
      <c r="AP35" s="10"/>
      <c r="AQ35" s="10"/>
      <c r="AR35" s="10"/>
      <c r="BE35"/>
      <c r="BF35"/>
      <c r="BG35"/>
      <c r="BH35"/>
      <c r="BI35"/>
    </row>
    <row r="36" spans="1:61" x14ac:dyDescent="0.25">
      <c r="A36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10"/>
      <c r="AM36" s="10"/>
      <c r="AN36" s="10"/>
      <c r="AO36" s="10"/>
      <c r="AP36" s="10"/>
      <c r="AQ36" s="10"/>
      <c r="AR36" s="10"/>
      <c r="BE36"/>
      <c r="BF36"/>
      <c r="BG36"/>
      <c r="BH36"/>
      <c r="BI36"/>
    </row>
    <row r="37" spans="1:61" x14ac:dyDescent="0.25">
      <c r="A37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10"/>
      <c r="AM37" s="10"/>
      <c r="AN37" s="10"/>
      <c r="AO37" s="10"/>
      <c r="AP37" s="10"/>
      <c r="AQ37" s="10"/>
      <c r="AR37" s="10"/>
      <c r="BE37"/>
      <c r="BF37"/>
      <c r="BG37"/>
      <c r="BH37"/>
      <c r="BI37"/>
    </row>
    <row r="38" spans="1:61" x14ac:dyDescent="0.25">
      <c r="A38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10"/>
      <c r="AM38" s="10"/>
      <c r="AN38" s="10"/>
      <c r="AO38" s="10"/>
      <c r="AP38" s="10"/>
      <c r="AQ38" s="10"/>
      <c r="AR38" s="10"/>
      <c r="BE38"/>
      <c r="BF38"/>
      <c r="BG38"/>
      <c r="BH38"/>
      <c r="BI38"/>
    </row>
    <row r="39" spans="1:61" x14ac:dyDescent="0.25">
      <c r="A39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10"/>
      <c r="AM39" s="10"/>
      <c r="AN39" s="10"/>
      <c r="AO39" s="10"/>
      <c r="AP39" s="10"/>
      <c r="AQ39" s="10"/>
      <c r="AR39" s="10"/>
      <c r="BE39"/>
      <c r="BF39"/>
      <c r="BG39"/>
      <c r="BH39"/>
      <c r="BI39"/>
    </row>
    <row r="40" spans="1:61" x14ac:dyDescent="0.25">
      <c r="A40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10"/>
      <c r="AM40" s="10"/>
      <c r="AN40" s="10"/>
      <c r="AO40" s="10"/>
      <c r="AP40" s="10"/>
      <c r="AQ40" s="10"/>
      <c r="AR40" s="10"/>
      <c r="BE40"/>
      <c r="BF40"/>
      <c r="BG40"/>
      <c r="BH40"/>
      <c r="BI40"/>
    </row>
    <row r="41" spans="1:61" x14ac:dyDescent="0.25">
      <c r="A41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10"/>
      <c r="AM41" s="10"/>
      <c r="AN41" s="10"/>
      <c r="AO41" s="10"/>
      <c r="AP41" s="10"/>
      <c r="AQ41" s="10"/>
      <c r="AR41" s="10"/>
      <c r="BE41"/>
      <c r="BF41"/>
      <c r="BG41"/>
      <c r="BH41"/>
      <c r="BI41"/>
    </row>
    <row r="42" spans="1:61" x14ac:dyDescent="0.25">
      <c r="A42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10"/>
      <c r="AM42" s="10"/>
      <c r="AN42" s="10"/>
      <c r="AO42" s="10"/>
      <c r="AP42" s="10"/>
      <c r="AQ42" s="10"/>
      <c r="AR42" s="10"/>
      <c r="BE42"/>
      <c r="BF42"/>
      <c r="BG42"/>
      <c r="BH42"/>
      <c r="BI42"/>
    </row>
    <row r="43" spans="1:61" x14ac:dyDescent="0.25">
      <c r="A43"/>
      <c r="B43" s="85" t="s">
        <v>130</v>
      </c>
      <c r="C43"/>
      <c r="D43"/>
      <c r="E4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10"/>
      <c r="AM43" s="10"/>
      <c r="AN43" s="10"/>
      <c r="AO43" s="10"/>
      <c r="AP43" s="10"/>
      <c r="AQ43" s="10"/>
      <c r="AR43" s="10"/>
      <c r="BE43"/>
      <c r="BF43"/>
      <c r="BG43"/>
      <c r="BH43"/>
      <c r="BI43"/>
    </row>
    <row r="44" spans="1:61" x14ac:dyDescent="0.25">
      <c r="A44"/>
      <c r="B44" s="85" t="s">
        <v>129</v>
      </c>
      <c r="C44" s="139"/>
      <c r="D44"/>
      <c r="E44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10"/>
      <c r="AM44" s="10"/>
      <c r="AN44" s="10"/>
      <c r="AO44" s="10"/>
      <c r="AP44" s="10"/>
      <c r="AQ44" s="10"/>
      <c r="AR44" s="10"/>
      <c r="BE44"/>
      <c r="BF44"/>
      <c r="BG44"/>
      <c r="BH44"/>
      <c r="BI44"/>
    </row>
    <row r="45" spans="1:61" x14ac:dyDescent="0.25">
      <c r="A45"/>
      <c r="B45" s="85" t="s">
        <v>131</v>
      </c>
      <c r="C45"/>
      <c r="D45"/>
      <c r="E45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10"/>
      <c r="AM45" s="10"/>
      <c r="AN45" s="10"/>
      <c r="AO45" s="10"/>
      <c r="AP45" s="10"/>
      <c r="AQ45" s="10"/>
      <c r="AR45" s="10"/>
      <c r="BE45"/>
      <c r="BF45"/>
      <c r="BG45"/>
      <c r="BH45"/>
      <c r="BI45"/>
    </row>
    <row r="46" spans="1:61" x14ac:dyDescent="0.25">
      <c r="A46"/>
      <c r="B46" s="151" t="s">
        <v>127</v>
      </c>
      <c r="C46"/>
      <c r="D46"/>
      <c r="E46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10"/>
      <c r="AM46" s="10"/>
      <c r="AN46" s="10"/>
      <c r="AO46" s="10"/>
      <c r="AP46" s="10"/>
      <c r="AQ46" s="10"/>
      <c r="AR46" s="10"/>
      <c r="BE46"/>
      <c r="BF46"/>
      <c r="BG46"/>
      <c r="BH46"/>
      <c r="BI46"/>
    </row>
    <row r="47" spans="1:61" x14ac:dyDescent="0.25">
      <c r="A47"/>
      <c r="B47" t="s">
        <v>132</v>
      </c>
      <c r="C47"/>
      <c r="D47"/>
      <c r="E47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10"/>
      <c r="AM47" s="10"/>
      <c r="AN47" s="10"/>
      <c r="AO47" s="10"/>
      <c r="AP47" s="10"/>
      <c r="AQ47" s="10"/>
      <c r="AR47" s="10"/>
      <c r="BE47"/>
      <c r="BF47"/>
      <c r="BG47"/>
      <c r="BH47"/>
      <c r="BI47"/>
    </row>
    <row r="48" spans="1:61" x14ac:dyDescent="0.25">
      <c r="A48"/>
      <c r="B48" t="s">
        <v>133</v>
      </c>
      <c r="C48"/>
      <c r="D48"/>
      <c r="E48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10"/>
      <c r="AM48" s="10"/>
      <c r="AN48" s="10"/>
      <c r="AO48" s="10"/>
      <c r="AP48" s="10"/>
      <c r="AQ48" s="10"/>
      <c r="AR48" s="10"/>
      <c r="BE48"/>
      <c r="BF48"/>
      <c r="BG48"/>
      <c r="BH48"/>
      <c r="BI48"/>
    </row>
    <row r="49" spans="1:61" x14ac:dyDescent="0.25">
      <c r="A49"/>
      <c r="B49" t="s">
        <v>134</v>
      </c>
      <c r="C49"/>
      <c r="D49"/>
      <c r="E49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10"/>
      <c r="AM49" s="10"/>
      <c r="AN49" s="10"/>
      <c r="AO49" s="10"/>
      <c r="AP49" s="10"/>
      <c r="AQ49" s="10"/>
      <c r="AR49" s="10"/>
      <c r="BE49"/>
      <c r="BF49"/>
      <c r="BG49"/>
      <c r="BH49"/>
      <c r="BI49"/>
    </row>
    <row r="50" spans="1:61" x14ac:dyDescent="0.25">
      <c r="A50"/>
      <c r="B50" t="s">
        <v>128</v>
      </c>
      <c r="C50"/>
      <c r="D50"/>
      <c r="E50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10"/>
      <c r="AM50" s="10"/>
      <c r="AN50" s="10"/>
      <c r="AO50" s="10"/>
      <c r="AP50" s="10"/>
      <c r="AQ50" s="10"/>
      <c r="AR50" s="10"/>
      <c r="BE50"/>
      <c r="BF50"/>
      <c r="BG50"/>
      <c r="BH50"/>
      <c r="BI50"/>
    </row>
    <row r="51" spans="1:61" x14ac:dyDescent="0.25">
      <c r="A51"/>
      <c r="B51" t="s">
        <v>135</v>
      </c>
      <c r="C51"/>
      <c r="D51"/>
      <c r="E51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10"/>
      <c r="AM51" s="10"/>
      <c r="AN51" s="10"/>
      <c r="AO51" s="10"/>
      <c r="AP51" s="10"/>
      <c r="AQ51" s="10"/>
      <c r="AR51" s="10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10"/>
      <c r="AM52" s="10"/>
      <c r="AN52" s="10"/>
      <c r="AO52" s="10"/>
      <c r="AP52" s="10"/>
      <c r="AQ52" s="10"/>
      <c r="AR52" s="10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10"/>
      <c r="AM53" s="10"/>
      <c r="AN53" s="10"/>
      <c r="AO53" s="10"/>
      <c r="AP53" s="10"/>
      <c r="AQ53" s="10"/>
      <c r="AR53" s="10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10"/>
      <c r="AM54" s="10"/>
      <c r="AN54" s="10"/>
      <c r="AO54" s="10"/>
      <c r="AP54" s="10"/>
      <c r="AQ54" s="10"/>
      <c r="AR54" s="10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10"/>
      <c r="AM55" s="10"/>
      <c r="AN55" s="10"/>
      <c r="AO55" s="10"/>
      <c r="AP55" s="10"/>
      <c r="AQ55" s="10"/>
      <c r="AR55" s="10"/>
      <c r="BE55"/>
      <c r="BF55"/>
      <c r="BG55"/>
      <c r="BH55"/>
      <c r="BI55"/>
    </row>
    <row r="56" spans="1:61" x14ac:dyDescent="0.25">
      <c r="A56"/>
      <c r="B56"/>
      <c r="C56"/>
      <c r="D56"/>
      <c r="E5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10"/>
      <c r="AM56" s="10"/>
      <c r="AN56" s="10"/>
      <c r="AO56" s="10"/>
      <c r="AP56" s="10"/>
      <c r="AQ56" s="10"/>
      <c r="AR56" s="10"/>
      <c r="BE56"/>
      <c r="BF56"/>
      <c r="BG56"/>
      <c r="BH56"/>
      <c r="BI56"/>
    </row>
    <row r="57" spans="1:61" x14ac:dyDescent="0.25">
      <c r="A57"/>
      <c r="B57"/>
      <c r="C57"/>
      <c r="D57"/>
      <c r="E57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10"/>
      <c r="AM57" s="10"/>
      <c r="AN57" s="10"/>
      <c r="AO57" s="10"/>
      <c r="AP57" s="10"/>
      <c r="AQ57" s="10"/>
      <c r="AR57" s="10"/>
      <c r="BE57"/>
      <c r="BF57"/>
      <c r="BG57"/>
      <c r="BH57"/>
      <c r="BI57"/>
    </row>
    <row r="58" spans="1:61" x14ac:dyDescent="0.25">
      <c r="A58"/>
      <c r="B58"/>
      <c r="C58"/>
      <c r="D58"/>
      <c r="E58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10"/>
      <c r="AM58" s="10"/>
      <c r="AN58" s="10"/>
      <c r="AO58" s="10"/>
      <c r="AP58" s="10"/>
      <c r="AQ58" s="10"/>
      <c r="AR58" s="10"/>
      <c r="BE58"/>
      <c r="BF58"/>
      <c r="BG58"/>
      <c r="BH58"/>
      <c r="BI58"/>
    </row>
    <row r="59" spans="1:61" x14ac:dyDescent="0.25">
      <c r="A59"/>
      <c r="B59"/>
      <c r="C59"/>
      <c r="D59"/>
      <c r="E59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10"/>
      <c r="AM59" s="10"/>
      <c r="AN59" s="10"/>
      <c r="AO59" s="10"/>
      <c r="AP59" s="10"/>
      <c r="AQ59" s="10"/>
      <c r="AR59" s="10"/>
      <c r="BE59"/>
      <c r="BF59"/>
      <c r="BG59"/>
      <c r="BH59"/>
      <c r="BI59"/>
    </row>
    <row r="60" spans="1:61" x14ac:dyDescent="0.25">
      <c r="A60"/>
      <c r="B60"/>
      <c r="C60"/>
      <c r="D60"/>
      <c r="E60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10"/>
      <c r="AM60" s="10"/>
      <c r="AN60" s="10"/>
      <c r="AO60" s="10"/>
      <c r="AP60" s="10"/>
      <c r="AQ60" s="10"/>
      <c r="AR60" s="10"/>
      <c r="BE60"/>
      <c r="BF60"/>
      <c r="BG60"/>
      <c r="BH60"/>
      <c r="BI60"/>
    </row>
    <row r="61" spans="1:61" x14ac:dyDescent="0.25">
      <c r="A61"/>
      <c r="B61"/>
      <c r="C61"/>
      <c r="D61"/>
      <c r="E61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10"/>
      <c r="AM61" s="10"/>
      <c r="AN61" s="10"/>
      <c r="AO61" s="10"/>
      <c r="AP61" s="10"/>
      <c r="AQ61" s="10"/>
      <c r="AR61" s="10"/>
      <c r="BE61"/>
      <c r="BF61"/>
      <c r="BG61"/>
      <c r="BH61"/>
      <c r="BI61"/>
    </row>
    <row r="62" spans="1:61" x14ac:dyDescent="0.25">
      <c r="A62"/>
      <c r="B62"/>
      <c r="C62"/>
      <c r="D62"/>
      <c r="E6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10"/>
      <c r="AM62" s="10"/>
      <c r="AN62" s="10"/>
      <c r="AO62" s="10"/>
      <c r="AP62" s="10"/>
      <c r="AQ62" s="10"/>
      <c r="AR62" s="10"/>
      <c r="BE62"/>
      <c r="BF62"/>
      <c r="BG62"/>
      <c r="BH62"/>
      <c r="BI62"/>
    </row>
    <row r="63" spans="1:61" x14ac:dyDescent="0.25">
      <c r="A63"/>
      <c r="B63"/>
      <c r="C63"/>
      <c r="D63"/>
      <c r="E6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10"/>
      <c r="AM63" s="10"/>
      <c r="AN63" s="10"/>
      <c r="AO63" s="10"/>
      <c r="AP63" s="10"/>
      <c r="AQ63" s="10"/>
      <c r="AR63" s="10"/>
      <c r="BE63"/>
      <c r="BF63"/>
      <c r="BG63"/>
      <c r="BH63"/>
      <c r="BI63"/>
    </row>
    <row r="64" spans="1:61" x14ac:dyDescent="0.25">
      <c r="A64"/>
      <c r="B64"/>
      <c r="C64"/>
      <c r="D64"/>
      <c r="E6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10"/>
      <c r="AM64" s="10"/>
      <c r="AN64" s="10"/>
      <c r="AO64" s="10"/>
      <c r="AP64" s="10"/>
      <c r="AQ64" s="10"/>
      <c r="AR64" s="10"/>
      <c r="BE64"/>
      <c r="BF64"/>
      <c r="BG64"/>
      <c r="BH64"/>
      <c r="BI64"/>
    </row>
    <row r="65" spans="1:61" x14ac:dyDescent="0.25">
      <c r="A65"/>
      <c r="B65"/>
      <c r="C65"/>
      <c r="D65"/>
      <c r="E65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10"/>
      <c r="AM65" s="10"/>
      <c r="AN65" s="10"/>
      <c r="AO65" s="10"/>
      <c r="AP65" s="10"/>
      <c r="AQ65" s="10"/>
      <c r="AR65" s="10"/>
      <c r="BE65"/>
      <c r="BF65"/>
      <c r="BG65"/>
      <c r="BH65"/>
      <c r="BI65"/>
    </row>
    <row r="66" spans="1:61" x14ac:dyDescent="0.25">
      <c r="A66"/>
      <c r="B66"/>
      <c r="C66"/>
      <c r="D66"/>
      <c r="E66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10"/>
      <c r="AM66" s="10"/>
      <c r="AN66" s="10"/>
      <c r="AO66" s="10"/>
      <c r="AP66" s="10"/>
      <c r="AQ66" s="10"/>
      <c r="AR66" s="10"/>
      <c r="BE66"/>
      <c r="BF66"/>
      <c r="BG66"/>
      <c r="BH66"/>
      <c r="BI66"/>
    </row>
    <row r="67" spans="1:61" x14ac:dyDescent="0.25">
      <c r="A67"/>
      <c r="B67"/>
      <c r="C67"/>
      <c r="D67"/>
      <c r="E67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10"/>
      <c r="AM67" s="10"/>
      <c r="AN67" s="10"/>
      <c r="AO67" s="10"/>
      <c r="AP67" s="10"/>
      <c r="AQ67" s="10"/>
      <c r="AR67" s="10"/>
      <c r="BE67"/>
      <c r="BF67"/>
      <c r="BG67"/>
      <c r="BH67"/>
      <c r="BI67"/>
    </row>
    <row r="68" spans="1:61" x14ac:dyDescent="0.25">
      <c r="A68"/>
      <c r="B68"/>
      <c r="C68"/>
      <c r="D68"/>
      <c r="E68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10"/>
      <c r="AM68" s="10"/>
      <c r="AN68" s="10"/>
      <c r="AO68" s="10"/>
      <c r="AP68" s="10"/>
      <c r="AQ68" s="10"/>
      <c r="AR68" s="10"/>
      <c r="BE68"/>
      <c r="BF68"/>
      <c r="BG68"/>
      <c r="BH68"/>
      <c r="BI68"/>
    </row>
    <row r="69" spans="1:61" x14ac:dyDescent="0.25">
      <c r="A69"/>
      <c r="B69"/>
      <c r="C69"/>
      <c r="D69"/>
      <c r="E69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10"/>
      <c r="AM69" s="10"/>
      <c r="AN69" s="10"/>
      <c r="AO69" s="10"/>
      <c r="AP69" s="10"/>
      <c r="AQ69" s="10"/>
      <c r="AR69" s="10"/>
      <c r="BE69"/>
      <c r="BF69"/>
      <c r="BG69"/>
      <c r="BH69"/>
      <c r="BI69"/>
    </row>
    <row r="70" spans="1:61" x14ac:dyDescent="0.25">
      <c r="A70"/>
      <c r="B70"/>
      <c r="C70"/>
      <c r="D70"/>
      <c r="E70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10"/>
      <c r="AM70" s="10"/>
      <c r="AN70" s="10"/>
      <c r="AO70" s="10"/>
      <c r="AP70" s="10"/>
      <c r="AQ70" s="10"/>
      <c r="AR70" s="10"/>
      <c r="BE70"/>
      <c r="BF70"/>
      <c r="BG70"/>
      <c r="BH70"/>
      <c r="BI70"/>
    </row>
    <row r="71" spans="1:61" x14ac:dyDescent="0.25">
      <c r="A71"/>
      <c r="B71"/>
      <c r="C71"/>
      <c r="D71"/>
      <c r="E71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10"/>
      <c r="AM71" s="10"/>
      <c r="AN71" s="10"/>
      <c r="AO71" s="10"/>
      <c r="AP71" s="10"/>
      <c r="AQ71" s="10"/>
      <c r="AR71" s="10"/>
      <c r="BE71"/>
      <c r="BF71"/>
      <c r="BG71"/>
      <c r="BH71"/>
      <c r="BI71"/>
    </row>
    <row r="72" spans="1:61" x14ac:dyDescent="0.25">
      <c r="A72"/>
      <c r="B72"/>
      <c r="C72"/>
      <c r="D72"/>
      <c r="E72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10"/>
      <c r="AM72" s="10"/>
      <c r="AN72" s="10"/>
      <c r="AO72" s="10"/>
      <c r="AP72" s="10"/>
      <c r="AQ72" s="10"/>
      <c r="AR72" s="10"/>
      <c r="BE72"/>
      <c r="BF72"/>
      <c r="BG72"/>
      <c r="BH72"/>
      <c r="BI72"/>
    </row>
    <row r="73" spans="1:61" x14ac:dyDescent="0.25">
      <c r="A73"/>
      <c r="B73"/>
      <c r="C73"/>
      <c r="D73"/>
      <c r="E7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10"/>
      <c r="AM73" s="10"/>
      <c r="AN73" s="10"/>
      <c r="AO73" s="10"/>
      <c r="AP73" s="10"/>
      <c r="AQ73" s="10"/>
      <c r="AR73" s="10"/>
      <c r="BE73"/>
      <c r="BF73"/>
      <c r="BG73"/>
      <c r="BH73"/>
      <c r="BI73"/>
    </row>
    <row r="74" spans="1:61" x14ac:dyDescent="0.25">
      <c r="A74"/>
      <c r="B74"/>
      <c r="C74"/>
      <c r="D74"/>
      <c r="E7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BE74"/>
      <c r="BF74"/>
      <c r="BG74"/>
      <c r="BH74"/>
      <c r="BI74"/>
    </row>
    <row r="75" spans="1:61" x14ac:dyDescent="0.25">
      <c r="A75"/>
      <c r="B75"/>
      <c r="C75"/>
      <c r="D75"/>
      <c r="E75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BE75"/>
      <c r="BF75"/>
      <c r="BG75"/>
      <c r="BH75"/>
      <c r="BI75"/>
    </row>
    <row r="76" spans="1:61" x14ac:dyDescent="0.25">
      <c r="A76"/>
      <c r="B76"/>
      <c r="C76"/>
      <c r="D76"/>
      <c r="E76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BE76"/>
      <c r="BF76"/>
      <c r="BG76"/>
      <c r="BH76"/>
      <c r="BI76"/>
    </row>
    <row r="77" spans="1:61" x14ac:dyDescent="0.25">
      <c r="A77"/>
      <c r="B77"/>
      <c r="C77"/>
      <c r="D77"/>
      <c r="E77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BE77"/>
      <c r="BF77"/>
      <c r="BG77"/>
      <c r="BH77"/>
      <c r="BI77"/>
    </row>
    <row r="78" spans="1:61" x14ac:dyDescent="0.25">
      <c r="A78"/>
      <c r="B78"/>
      <c r="C78"/>
      <c r="D78"/>
      <c r="E78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BE78"/>
      <c r="BF78"/>
      <c r="BG78"/>
      <c r="BH78"/>
      <c r="BI78"/>
    </row>
    <row r="79" spans="1:61" ht="16.5" x14ac:dyDescent="0.3">
      <c r="A79"/>
      <c r="B79"/>
      <c r="C79"/>
      <c r="D79"/>
      <c r="E79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BE79"/>
      <c r="BF79"/>
      <c r="BG79"/>
      <c r="BH79"/>
      <c r="BI79"/>
    </row>
    <row r="80" spans="1:61" ht="16.5" x14ac:dyDescent="0.3">
      <c r="A80"/>
      <c r="B80"/>
      <c r="C80"/>
      <c r="D80"/>
      <c r="E80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BE80"/>
      <c r="BF80"/>
      <c r="BG80"/>
      <c r="BH80"/>
      <c r="BI80"/>
    </row>
    <row r="81" spans="1:61" ht="16.5" x14ac:dyDescent="0.3">
      <c r="A81"/>
      <c r="B81"/>
      <c r="C81"/>
      <c r="D81"/>
      <c r="E81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BE81"/>
      <c r="BF81"/>
      <c r="BG81"/>
      <c r="BH81"/>
      <c r="BI81"/>
    </row>
    <row r="82" spans="1:61" ht="16.5" x14ac:dyDescent="0.3">
      <c r="A82"/>
      <c r="B82"/>
      <c r="C82"/>
      <c r="D82"/>
      <c r="E82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BE82"/>
      <c r="BF82"/>
      <c r="BG82"/>
      <c r="BH82"/>
      <c r="BI82"/>
    </row>
    <row r="83" spans="1:61" ht="16.5" x14ac:dyDescent="0.3">
      <c r="A83"/>
      <c r="B83"/>
      <c r="C83"/>
      <c r="D83"/>
      <c r="E8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BE83"/>
      <c r="BF83"/>
      <c r="BG83"/>
      <c r="BH83"/>
      <c r="BI83"/>
    </row>
    <row r="84" spans="1:61" ht="16.5" x14ac:dyDescent="0.3">
      <c r="A84"/>
      <c r="B84"/>
      <c r="C84"/>
      <c r="D84"/>
      <c r="E84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BE84"/>
      <c r="BF84"/>
      <c r="BG84"/>
      <c r="BH84"/>
      <c r="BI84"/>
    </row>
    <row r="85" spans="1:61" ht="16.5" x14ac:dyDescent="0.3">
      <c r="A85"/>
      <c r="B85"/>
      <c r="C85"/>
      <c r="D85"/>
      <c r="E85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BE85"/>
      <c r="BF85"/>
      <c r="BG85"/>
      <c r="BH85"/>
      <c r="BI85"/>
    </row>
    <row r="86" spans="1:61" ht="16.5" x14ac:dyDescent="0.3">
      <c r="A86"/>
      <c r="B86"/>
      <c r="C86"/>
      <c r="D86"/>
      <c r="E86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BE86"/>
      <c r="BF86"/>
      <c r="BG86"/>
      <c r="BH86"/>
      <c r="BI86"/>
    </row>
    <row r="87" spans="1:61" ht="16.5" x14ac:dyDescent="0.3">
      <c r="A87"/>
      <c r="B87"/>
      <c r="C87"/>
      <c r="D87"/>
      <c r="E87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BE87"/>
      <c r="BF87"/>
      <c r="BG87"/>
      <c r="BH87"/>
      <c r="BI87"/>
    </row>
    <row r="88" spans="1:61" ht="16.5" x14ac:dyDescent="0.3">
      <c r="A88"/>
      <c r="B88"/>
      <c r="C88"/>
      <c r="D88"/>
      <c r="E8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61" ht="16.5" x14ac:dyDescent="0.3">
      <c r="A89"/>
      <c r="B89"/>
      <c r="C89"/>
      <c r="D89"/>
      <c r="E8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61" ht="16.5" x14ac:dyDescent="0.3">
      <c r="A90"/>
      <c r="B90"/>
      <c r="C90"/>
      <c r="D90"/>
      <c r="E90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61" x14ac:dyDescent="0.25">
      <c r="A91"/>
      <c r="B91"/>
      <c r="C91"/>
      <c r="D91"/>
      <c r="E91"/>
    </row>
    <row r="92" spans="1:61" x14ac:dyDescent="0.25">
      <c r="A92"/>
      <c r="B92"/>
      <c r="C92"/>
      <c r="D92"/>
      <c r="E92"/>
    </row>
    <row r="93" spans="1:61" x14ac:dyDescent="0.25">
      <c r="A93"/>
      <c r="B93"/>
      <c r="C93"/>
      <c r="D93"/>
      <c r="E93"/>
    </row>
    <row r="94" spans="1:61" x14ac:dyDescent="0.25">
      <c r="A94"/>
      <c r="B94"/>
      <c r="C94"/>
      <c r="D94"/>
      <c r="E94"/>
    </row>
    <row r="95" spans="1:61" x14ac:dyDescent="0.25">
      <c r="A95"/>
      <c r="B95"/>
      <c r="C95"/>
      <c r="D95"/>
      <c r="E95"/>
    </row>
    <row r="96" spans="1:61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[1]ArdiData!A2</f>
        <v>Per.</v>
      </c>
      <c r="B1" s="43" t="s">
        <v>62</v>
      </c>
      <c r="C1" s="6" t="s">
        <v>21</v>
      </c>
      <c r="D1" s="42" t="s">
        <v>68</v>
      </c>
      <c r="E1" s="48" t="s">
        <v>67</v>
      </c>
      <c r="F1" s="48" t="s">
        <v>66</v>
      </c>
      <c r="G1" s="40" t="s">
        <v>3</v>
      </c>
      <c r="H1" s="40" t="s">
        <v>2</v>
      </c>
      <c r="I1" s="41" t="s">
        <v>1</v>
      </c>
      <c r="J1" s="41" t="s">
        <v>65</v>
      </c>
      <c r="K1" s="40" t="s">
        <v>61</v>
      </c>
      <c r="L1" s="40" t="s">
        <v>60</v>
      </c>
      <c r="M1" s="46" t="s">
        <v>64</v>
      </c>
      <c r="N1" s="39">
        <f>0.2</f>
        <v>0.2</v>
      </c>
      <c r="O1" s="3" t="str">
        <f>" F(next) ~ N ( "&amp;ROUND(F78,0)&amp;", "&amp;ROUND(1.25*I77,0)&amp;")"</f>
        <v xml:space="preserve"> F(next) ~ N ( 11080, 664)</v>
      </c>
      <c r="R1" s="38"/>
    </row>
    <row r="2" spans="1:24" x14ac:dyDescent="0.2">
      <c r="A2" s="2">
        <v>0</v>
      </c>
      <c r="B2" s="47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0"/>
      <c r="H2" s="40"/>
      <c r="I2" s="41"/>
      <c r="J2" s="41"/>
      <c r="K2" s="40"/>
      <c r="L2" s="40"/>
      <c r="M2" s="46" t="s">
        <v>63</v>
      </c>
      <c r="N2" s="39">
        <v>0.6</v>
      </c>
      <c r="R2" s="38"/>
    </row>
    <row r="3" spans="1:24" x14ac:dyDescent="0.2">
      <c r="A3" s="2">
        <f>[1]ArdiData!A3</f>
        <v>1</v>
      </c>
      <c r="B3" s="37" t="e">
        <f>#REF!</f>
        <v>#REF!</v>
      </c>
      <c r="C3" s="36">
        <v>1113.3499253558266</v>
      </c>
      <c r="D3" s="3">
        <f t="shared" ref="D3:D34" si="0">$N$1*C3+(1-$N$1)*F3</f>
        <v>1080.7567513593549</v>
      </c>
      <c r="E3" s="36">
        <f t="shared" ref="E3:E34" si="1">$N$2*(D3-D2)+(1-$N$2)*E2</f>
        <v>106.37733972243511</v>
      </c>
      <c r="F3" s="36">
        <f t="shared" ref="F3:F34" si="2">D2+E2</f>
        <v>1072.6084578602367</v>
      </c>
      <c r="G3" s="35">
        <f t="shared" ref="G3:G34" si="3">C3-F3</f>
        <v>40.741467495589859</v>
      </c>
      <c r="H3" s="35">
        <f t="shared" ref="H3:H34" si="4">ABS(G3)</f>
        <v>40.741467495589859</v>
      </c>
      <c r="I3" s="33">
        <f>SUM(H$3:H3)/COUNT(H$3:H3)</f>
        <v>40.741467495589859</v>
      </c>
      <c r="J3" s="33">
        <f>SUM(G$3:G3)/I3</f>
        <v>1</v>
      </c>
      <c r="K3" s="34">
        <f t="shared" ref="K3:K34" si="5">(G3-$G$78)^2</f>
        <v>30.869763613761691</v>
      </c>
      <c r="L3" s="33" t="e">
        <f>SQRT(SUM(K$3:K3)/(COUNT(K$3:K3)-1))</f>
        <v>#DIV/0!</v>
      </c>
    </row>
    <row r="4" spans="1:24" x14ac:dyDescent="0.2">
      <c r="A4" s="2">
        <f>[1]ArdiData!A4</f>
        <v>2</v>
      </c>
      <c r="B4" s="37" t="e">
        <f>#REF!</f>
        <v>#REF!</v>
      </c>
      <c r="C4" s="36">
        <v>1222.4509615075469</v>
      </c>
      <c r="D4" s="3">
        <f t="shared" si="0"/>
        <v>1194.1974651669416</v>
      </c>
      <c r="E4" s="36">
        <f t="shared" si="1"/>
        <v>110.61536417352605</v>
      </c>
      <c r="F4" s="36">
        <f t="shared" si="2"/>
        <v>1187.1340910817901</v>
      </c>
      <c r="G4" s="35">
        <f t="shared" si="3"/>
        <v>35.316870425756861</v>
      </c>
      <c r="H4" s="35">
        <f t="shared" si="4"/>
        <v>35.316870425756861</v>
      </c>
      <c r="I4" s="33">
        <f>SUM(H$3:H4)/COUNT(H$3:H4)</f>
        <v>38.02916896067336</v>
      </c>
      <c r="J4" s="33">
        <f>SUM(G$3:G4)/I4</f>
        <v>2</v>
      </c>
      <c r="K4" s="34">
        <f t="shared" si="5"/>
        <v>1.7281576635303535E-2</v>
      </c>
      <c r="L4" s="33">
        <f>SQRT(SUM(K$3:K4)/(COUNT(K$3:K4)-1))</f>
        <v>5.5576114645049621</v>
      </c>
    </row>
    <row r="5" spans="1:24" x14ac:dyDescent="0.2">
      <c r="A5" s="2">
        <f>[1]ArdiData!A5</f>
        <v>3</v>
      </c>
      <c r="B5" s="37" t="e">
        <f>#REF!</f>
        <v>#REF!</v>
      </c>
      <c r="C5" s="36">
        <v>1815.9308993190284</v>
      </c>
      <c r="D5" s="3">
        <f t="shared" si="0"/>
        <v>1407.0364433361801</v>
      </c>
      <c r="E5" s="36">
        <f t="shared" si="1"/>
        <v>171.94953257095355</v>
      </c>
      <c r="F5" s="36">
        <f t="shared" si="2"/>
        <v>1304.8128293404677</v>
      </c>
      <c r="G5" s="35">
        <f t="shared" si="3"/>
        <v>511.1180699785607</v>
      </c>
      <c r="H5" s="35">
        <f t="shared" si="4"/>
        <v>511.1180699785607</v>
      </c>
      <c r="I5" s="33">
        <f>SUM(H$3:H5)/COUNT(H$3:H5)</f>
        <v>195.72546929996915</v>
      </c>
      <c r="J5" s="33">
        <f>SUM(G$3:G5)/I5</f>
        <v>3</v>
      </c>
      <c r="K5" s="34">
        <f t="shared" si="5"/>
        <v>226511.89586797569</v>
      </c>
      <c r="L5" s="33">
        <f>SQRT(SUM(K$3:K5)/(COUNT(K$3:K5)-1))</f>
        <v>336.55815464282404</v>
      </c>
      <c r="M5" s="38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[1]ArdiData!A6</f>
        <v>4</v>
      </c>
      <c r="B6" s="37" t="e">
        <f>#REF!</f>
        <v>#REF!</v>
      </c>
      <c r="C6" s="36">
        <v>1877.6018297269898</v>
      </c>
      <c r="D6" s="3">
        <f t="shared" si="0"/>
        <v>1638.7091466711051</v>
      </c>
      <c r="E6" s="36">
        <f t="shared" si="1"/>
        <v>207.78343502933643</v>
      </c>
      <c r="F6" s="36">
        <f t="shared" si="2"/>
        <v>1578.9859759071337</v>
      </c>
      <c r="G6" s="35">
        <f t="shared" si="3"/>
        <v>298.61585381985606</v>
      </c>
      <c r="H6" s="35">
        <f t="shared" si="4"/>
        <v>298.61585381985606</v>
      </c>
      <c r="I6" s="33">
        <f>SUM(H$3:H6)/COUNT(H$3:H6)</f>
        <v>221.44806542994087</v>
      </c>
      <c r="J6" s="33">
        <f>SUM(G$3:G6)/I6</f>
        <v>4</v>
      </c>
      <c r="K6" s="34">
        <f t="shared" si="5"/>
        <v>69395.598196279912</v>
      </c>
      <c r="L6" s="33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[1]ArdiData!A7</f>
        <v>5</v>
      </c>
      <c r="B7" s="37" t="e">
        <f>#REF!</f>
        <v>#REF!</v>
      </c>
      <c r="C7" s="36">
        <v>1437.7413264412648</v>
      </c>
      <c r="D7" s="3">
        <f t="shared" si="0"/>
        <v>1764.7423306486062</v>
      </c>
      <c r="E7" s="36">
        <f t="shared" si="1"/>
        <v>158.73328439823518</v>
      </c>
      <c r="F7" s="36">
        <f t="shared" si="2"/>
        <v>1846.4925817004416</v>
      </c>
      <c r="G7" s="35">
        <f t="shared" si="3"/>
        <v>-408.75125525917679</v>
      </c>
      <c r="H7" s="35">
        <f t="shared" si="4"/>
        <v>408.75125525917679</v>
      </c>
      <c r="I7" s="33">
        <f>SUM(H$3:H7)/COUNT(H$3:H7)</f>
        <v>258.90870339578805</v>
      </c>
      <c r="J7" s="33">
        <f>SUM(G$3:G7)/I7</f>
        <v>1.8425066450212937</v>
      </c>
      <c r="K7" s="34">
        <f t="shared" si="5"/>
        <v>197079.76366276905</v>
      </c>
      <c r="L7" s="33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[1]ArdiData!A8</f>
        <v>6</v>
      </c>
      <c r="B8" s="37" t="e">
        <f>#REF!</f>
        <v>#REF!</v>
      </c>
      <c r="C8" s="36">
        <v>1885.961866319813</v>
      </c>
      <c r="D8" s="3">
        <f t="shared" si="0"/>
        <v>1915.9728653014358</v>
      </c>
      <c r="E8" s="36">
        <f t="shared" si="1"/>
        <v>154.23163455099186</v>
      </c>
      <c r="F8" s="36">
        <f t="shared" si="2"/>
        <v>1923.4756150468413</v>
      </c>
      <c r="G8" s="35">
        <f t="shared" si="3"/>
        <v>-37.513748727028315</v>
      </c>
      <c r="H8" s="35">
        <f t="shared" si="4"/>
        <v>37.513748727028315</v>
      </c>
      <c r="I8" s="33">
        <f>SUM(H$3:H8)/COUNT(H$3:H8)</f>
        <v>222.00954428432809</v>
      </c>
      <c r="J8" s="33">
        <f>SUM(G$3:G8)/I8</f>
        <v>1.9797673976153696</v>
      </c>
      <c r="K8" s="34">
        <f t="shared" si="5"/>
        <v>5285.1678272197551</v>
      </c>
      <c r="L8" s="33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[1]ArdiData!A9</f>
        <v>7</v>
      </c>
      <c r="B9" s="37" t="e">
        <f>#REF!</f>
        <v>#REF!</v>
      </c>
      <c r="C9" s="36">
        <v>1911.083953307721</v>
      </c>
      <c r="D9" s="3">
        <f t="shared" si="0"/>
        <v>2038.3803905434861</v>
      </c>
      <c r="E9" s="36">
        <f t="shared" si="1"/>
        <v>135.1371689656269</v>
      </c>
      <c r="F9" s="36">
        <f t="shared" si="2"/>
        <v>2070.2044998524275</v>
      </c>
      <c r="G9" s="35">
        <f t="shared" si="3"/>
        <v>-159.12054654470649</v>
      </c>
      <c r="H9" s="35">
        <f t="shared" si="4"/>
        <v>159.12054654470649</v>
      </c>
      <c r="I9" s="33">
        <f>SUM(H$3:H9)/COUNT(H$3:H9)</f>
        <v>213.02540175009645</v>
      </c>
      <c r="J9" s="33">
        <f>SUM(G$3:G9)/I9</f>
        <v>1.3163064539965124</v>
      </c>
      <c r="K9" s="34">
        <f t="shared" si="5"/>
        <v>37754.805143255406</v>
      </c>
      <c r="L9" s="33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[1]ArdiData!A10</f>
        <v>8</v>
      </c>
      <c r="B10" s="37" t="e">
        <f>#REF!</f>
        <v>#REF!</v>
      </c>
      <c r="C10" s="36">
        <v>1960.2999710554132</v>
      </c>
      <c r="D10" s="3">
        <f t="shared" si="0"/>
        <v>2130.8740418183734</v>
      </c>
      <c r="E10" s="36">
        <f t="shared" si="1"/>
        <v>109.55105835118312</v>
      </c>
      <c r="F10" s="36">
        <f t="shared" si="2"/>
        <v>2173.5175595091132</v>
      </c>
      <c r="G10" s="35">
        <f t="shared" si="3"/>
        <v>-213.21758845370005</v>
      </c>
      <c r="H10" s="35">
        <f t="shared" si="4"/>
        <v>213.21758845370005</v>
      </c>
      <c r="I10" s="33">
        <f>SUM(H$3:H10)/COUNT(H$3:H10)</f>
        <v>213.04942508804689</v>
      </c>
      <c r="J10" s="33">
        <f>SUM(G$3:G10)/I10</f>
        <v>0.31536871177842701</v>
      </c>
      <c r="K10" s="34">
        <f t="shared" si="5"/>
        <v>61704.050145124907</v>
      </c>
      <c r="L10" s="33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[1]ArdiData!A11</f>
        <v>9</v>
      </c>
      <c r="B11" s="37" t="e">
        <f>#REF!</f>
        <v>#REF!</v>
      </c>
      <c r="C11" s="36">
        <v>2414.1948755502854</v>
      </c>
      <c r="D11" s="3">
        <f t="shared" si="0"/>
        <v>2275.1790552457023</v>
      </c>
      <c r="E11" s="36">
        <f t="shared" si="1"/>
        <v>130.40343139687062</v>
      </c>
      <c r="F11" s="36">
        <f t="shared" si="2"/>
        <v>2240.4251001695566</v>
      </c>
      <c r="G11" s="35">
        <f t="shared" si="3"/>
        <v>173.76977538072879</v>
      </c>
      <c r="H11" s="35">
        <f t="shared" si="4"/>
        <v>173.76977538072879</v>
      </c>
      <c r="I11" s="33">
        <f>SUM(H$3:H11)/COUNT(H$3:H11)</f>
        <v>208.68501956501154</v>
      </c>
      <c r="J11" s="33">
        <f>SUM(G$3:G11)/I11</f>
        <v>1.154653547332442</v>
      </c>
      <c r="K11" s="34">
        <f t="shared" si="5"/>
        <v>19205.62604660961</v>
      </c>
      <c r="L11" s="33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[1]ArdiData!A12</f>
        <v>10</v>
      </c>
      <c r="B12" s="37" t="e">
        <f>#REF!</f>
        <v>#REF!</v>
      </c>
      <c r="C12" s="36">
        <v>2386.0381627363281</v>
      </c>
      <c r="D12" s="3">
        <f t="shared" si="0"/>
        <v>2401.6736218613241</v>
      </c>
      <c r="E12" s="36">
        <f t="shared" si="1"/>
        <v>128.05811252812134</v>
      </c>
      <c r="F12" s="36">
        <f t="shared" si="2"/>
        <v>2405.5824866425728</v>
      </c>
      <c r="G12" s="35">
        <f t="shared" si="3"/>
        <v>-19.544323906244699</v>
      </c>
      <c r="H12" s="35">
        <f t="shared" si="4"/>
        <v>19.544323906244699</v>
      </c>
      <c r="I12" s="33">
        <f>SUM(H$3:H12)/COUNT(H$3:H12)</f>
        <v>189.77094999913487</v>
      </c>
      <c r="J12" s="33">
        <f>SUM(G$3:G12)/I12</f>
        <v>1.1667464077649679</v>
      </c>
      <c r="K12" s="34">
        <f t="shared" si="5"/>
        <v>2995.3438845668798</v>
      </c>
      <c r="L12" s="33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[1]ArdiData!A13</f>
        <v>11</v>
      </c>
      <c r="B13" s="37" t="e">
        <f>#REF!</f>
        <v>#REF!</v>
      </c>
      <c r="C13" s="36">
        <v>2360.0321962860157</v>
      </c>
      <c r="D13" s="3">
        <f t="shared" si="0"/>
        <v>2495.7918267687596</v>
      </c>
      <c r="E13" s="36">
        <f t="shared" si="1"/>
        <v>107.69416795570982</v>
      </c>
      <c r="F13" s="36">
        <f t="shared" si="2"/>
        <v>2529.7317343894456</v>
      </c>
      <c r="G13" s="35">
        <f t="shared" si="3"/>
        <v>-169.69953810342986</v>
      </c>
      <c r="H13" s="35">
        <f t="shared" si="4"/>
        <v>169.69953810342986</v>
      </c>
      <c r="I13" s="33">
        <f>SUM(H$3:H13)/COUNT(H$3:H13)</f>
        <v>187.94627619043439</v>
      </c>
      <c r="J13" s="33">
        <f>SUM(G$3:G13)/I13</f>
        <v>0.27515860997323727</v>
      </c>
      <c r="K13" s="34">
        <f t="shared" si="5"/>
        <v>41977.842375325854</v>
      </c>
      <c r="L13" s="33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[1]ArdiData!A14</f>
        <v>12</v>
      </c>
      <c r="B14" s="37" t="e">
        <f>#REF!</f>
        <v>#REF!</v>
      </c>
      <c r="C14" s="36">
        <v>2374.8996096579372</v>
      </c>
      <c r="D14" s="3">
        <f t="shared" si="0"/>
        <v>2557.7687177111629</v>
      </c>
      <c r="E14" s="36">
        <f t="shared" si="1"/>
        <v>80.263801747725921</v>
      </c>
      <c r="F14" s="36">
        <f t="shared" si="2"/>
        <v>2603.4859947244695</v>
      </c>
      <c r="G14" s="35">
        <f t="shared" si="3"/>
        <v>-228.58638506653233</v>
      </c>
      <c r="H14" s="35">
        <f t="shared" si="4"/>
        <v>228.58638506653233</v>
      </c>
      <c r="I14" s="33">
        <f>SUM(H$3:H14)/COUNT(H$3:H14)</f>
        <v>191.3329519301092</v>
      </c>
      <c r="J14" s="33">
        <f>SUM(G$3:G14)/I14</f>
        <v>-0.92441655854938398</v>
      </c>
      <c r="K14" s="34">
        <f t="shared" si="5"/>
        <v>69575.560408160207</v>
      </c>
      <c r="L14" s="33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[1]ArdiData!A15</f>
        <v>13</v>
      </c>
      <c r="B15" s="37" t="e">
        <f>#REF!</f>
        <v>#REF!</v>
      </c>
      <c r="C15" s="36">
        <v>2837.1005129516102</v>
      </c>
      <c r="D15" s="3">
        <f t="shared" si="0"/>
        <v>2677.8461181574335</v>
      </c>
      <c r="E15" s="36">
        <f t="shared" si="1"/>
        <v>104.1519609668527</v>
      </c>
      <c r="F15" s="36">
        <f t="shared" si="2"/>
        <v>2638.0325194588891</v>
      </c>
      <c r="G15" s="35">
        <f t="shared" si="3"/>
        <v>199.06799349272114</v>
      </c>
      <c r="H15" s="35">
        <f t="shared" si="4"/>
        <v>199.06799349272114</v>
      </c>
      <c r="I15" s="33">
        <f>SUM(H$3:H15)/COUNT(H$3:H15)</f>
        <v>191.92795512723322</v>
      </c>
      <c r="J15" s="33">
        <f>SUM(G$3:G15)/I15</f>
        <v>0.11565091973016774</v>
      </c>
      <c r="K15" s="34">
        <f t="shared" si="5"/>
        <v>26857.500839515669</v>
      </c>
      <c r="L15" s="33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[1]ArdiData!A16</f>
        <v>14</v>
      </c>
      <c r="B16" s="37" t="e">
        <f>#REF!</f>
        <v>#REF!</v>
      </c>
      <c r="C16" s="36">
        <v>2930.8445360245173</v>
      </c>
      <c r="D16" s="3">
        <f t="shared" si="0"/>
        <v>2811.7673705043326</v>
      </c>
      <c r="E16" s="36">
        <f t="shared" si="1"/>
        <v>122.01353579488055</v>
      </c>
      <c r="F16" s="36">
        <f t="shared" si="2"/>
        <v>2781.9980791242861</v>
      </c>
      <c r="G16" s="35">
        <f t="shared" si="3"/>
        <v>148.84645690023126</v>
      </c>
      <c r="H16" s="35">
        <f t="shared" si="4"/>
        <v>148.84645690023126</v>
      </c>
      <c r="I16" s="33">
        <f>SUM(H$3:H16)/COUNT(H$3:H16)</f>
        <v>188.85070525387593</v>
      </c>
      <c r="J16" s="33">
        <f>SUM(G$3:G16)/I16</f>
        <v>0.90570538882917773</v>
      </c>
      <c r="K16" s="34">
        <f t="shared" si="5"/>
        <v>12918.833351688992</v>
      </c>
      <c r="L16" s="33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[1]ArdiData!A17</f>
        <v>15</v>
      </c>
      <c r="B17" s="37" t="e">
        <f>#REF!</f>
        <v>#REF!</v>
      </c>
      <c r="C17" s="36">
        <v>2610.1441965075874</v>
      </c>
      <c r="D17" s="3">
        <f t="shared" si="0"/>
        <v>2869.0535643408884</v>
      </c>
      <c r="E17" s="36">
        <f t="shared" si="1"/>
        <v>83.177130619885745</v>
      </c>
      <c r="F17" s="36">
        <f t="shared" si="2"/>
        <v>2933.7809062992133</v>
      </c>
      <c r="G17" s="35">
        <f t="shared" si="3"/>
        <v>-323.63670979162589</v>
      </c>
      <c r="H17" s="35">
        <f t="shared" si="4"/>
        <v>323.63670979162589</v>
      </c>
      <c r="I17" s="33">
        <f>SUM(H$3:H17)/COUNT(H$3:H17)</f>
        <v>197.83643888972591</v>
      </c>
      <c r="J17" s="33">
        <f>SUM(G$3:G17)/I17</f>
        <v>-0.77131194442928419</v>
      </c>
      <c r="K17" s="34">
        <f t="shared" si="5"/>
        <v>128753.31438027737</v>
      </c>
      <c r="L17" s="33">
        <f>SQRT(SUM(K$3:K17)/(COUNT(K$3:K17)-1))</f>
        <v>253.55278249789669</v>
      </c>
    </row>
    <row r="18" spans="1:12" x14ac:dyDescent="0.2">
      <c r="A18" s="2">
        <f>[1]ArdiData!A18</f>
        <v>16</v>
      </c>
      <c r="B18" s="37" t="e">
        <f>#REF!</f>
        <v>#REF!</v>
      </c>
      <c r="C18" s="36">
        <v>3135.2317628620631</v>
      </c>
      <c r="D18" s="3">
        <f t="shared" si="0"/>
        <v>2988.8309085410319</v>
      </c>
      <c r="E18" s="36">
        <f t="shared" si="1"/>
        <v>105.1372587680404</v>
      </c>
      <c r="F18" s="36">
        <f t="shared" si="2"/>
        <v>2952.2306949607741</v>
      </c>
      <c r="G18" s="35">
        <f t="shared" si="3"/>
        <v>183.00106790128893</v>
      </c>
      <c r="H18" s="35">
        <f t="shared" si="4"/>
        <v>183.00106790128893</v>
      </c>
      <c r="I18" s="33">
        <f>SUM(H$3:H18)/COUNT(H$3:H18)</f>
        <v>196.90922820294861</v>
      </c>
      <c r="J18" s="33">
        <f>SUM(G$3:G18)/I18</f>
        <v>0.15442374041987056</v>
      </c>
      <c r="K18" s="34">
        <f t="shared" si="5"/>
        <v>21849.468420678731</v>
      </c>
      <c r="L18" s="33">
        <f>SQRT(SUM(K$3:K18)/(COUNT(K$3:K18)-1))</f>
        <v>247.91069058495489</v>
      </c>
    </row>
    <row r="19" spans="1:12" x14ac:dyDescent="0.2">
      <c r="A19" s="2">
        <f>[1]ArdiData!A19</f>
        <v>17</v>
      </c>
      <c r="B19" s="37" t="e">
        <f>#REF!</f>
        <v>#REF!</v>
      </c>
      <c r="C19" s="36">
        <v>2997.405744195491</v>
      </c>
      <c r="D19" s="3">
        <f t="shared" si="0"/>
        <v>3074.6556826863562</v>
      </c>
      <c r="E19" s="36">
        <f t="shared" si="1"/>
        <v>93.549767994410701</v>
      </c>
      <c r="F19" s="36">
        <f t="shared" si="2"/>
        <v>3093.9681673090722</v>
      </c>
      <c r="G19" s="35">
        <f t="shared" si="3"/>
        <v>-96.56242311358119</v>
      </c>
      <c r="H19" s="35">
        <f t="shared" si="4"/>
        <v>96.56242311358119</v>
      </c>
      <c r="I19" s="33">
        <f>SUM(H$3:H19)/COUNT(H$3:H19)</f>
        <v>191.00647496239759</v>
      </c>
      <c r="J19" s="33">
        <f>SUM(G$3:G19)/I19</f>
        <v>-0.34634932446303496</v>
      </c>
      <c r="K19" s="34">
        <f t="shared" si="5"/>
        <v>17357.491797613467</v>
      </c>
      <c r="L19" s="33">
        <f>SQRT(SUM(K$3:K19)/(COUNT(K$3:K19)-1))</f>
        <v>242.28768403906906</v>
      </c>
    </row>
    <row r="20" spans="1:12" x14ac:dyDescent="0.2">
      <c r="A20" s="2">
        <f>[1]ArdiData!A20</f>
        <v>18</v>
      </c>
      <c r="B20" s="37" t="e">
        <f>#REF!</f>
        <v>#REF!</v>
      </c>
      <c r="C20" s="36">
        <v>2897.6453125752814</v>
      </c>
      <c r="D20" s="3">
        <f t="shared" si="0"/>
        <v>3114.0934230596699</v>
      </c>
      <c r="E20" s="36">
        <f t="shared" si="1"/>
        <v>61.082551421752541</v>
      </c>
      <c r="F20" s="36">
        <f t="shared" si="2"/>
        <v>3168.2054506807667</v>
      </c>
      <c r="G20" s="35">
        <f t="shared" si="3"/>
        <v>-270.56013810548529</v>
      </c>
      <c r="H20" s="35">
        <f t="shared" si="4"/>
        <v>270.56013810548529</v>
      </c>
      <c r="I20" s="33">
        <f>SUM(H$3:H20)/COUNT(H$3:H20)</f>
        <v>195.42612291479134</v>
      </c>
      <c r="J20" s="33">
        <f>SUM(G$3:G20)/I20</f>
        <v>-1.7229789787294201</v>
      </c>
      <c r="K20" s="34">
        <f t="shared" si="5"/>
        <v>93480.34080708299</v>
      </c>
      <c r="L20" s="33">
        <f>SQRT(SUM(K$3:K20)/(COUNT(K$3:K20)-1))</f>
        <v>246.47318076264403</v>
      </c>
    </row>
    <row r="21" spans="1:12" x14ac:dyDescent="0.2">
      <c r="A21" s="2">
        <f>[1]ArdiData!A21</f>
        <v>19</v>
      </c>
      <c r="B21" s="37" t="e">
        <f>#REF!</f>
        <v>#REF!</v>
      </c>
      <c r="C21" s="36">
        <v>2451.4955445656897</v>
      </c>
      <c r="D21" s="3">
        <f t="shared" si="0"/>
        <v>3030.4398884982761</v>
      </c>
      <c r="E21" s="36">
        <f t="shared" si="1"/>
        <v>-25.759100168135276</v>
      </c>
      <c r="F21" s="36">
        <f t="shared" si="2"/>
        <v>3175.1759744814226</v>
      </c>
      <c r="G21" s="35">
        <f t="shared" si="3"/>
        <v>-723.68042991573293</v>
      </c>
      <c r="H21" s="35">
        <f t="shared" si="4"/>
        <v>723.68042991573293</v>
      </c>
      <c r="I21" s="33">
        <f>SUM(H$3:H21)/COUNT(H$3:H21)</f>
        <v>223.2289811779988</v>
      </c>
      <c r="J21" s="33">
        <f>SUM(G$3:G21)/I21</f>
        <v>-4.7502592449990608</v>
      </c>
      <c r="K21" s="34">
        <f t="shared" si="5"/>
        <v>575877.3645317466</v>
      </c>
      <c r="L21" s="33">
        <f>SQRT(SUM(K$3:K21)/(COUNT(K$3:K21)-1))</f>
        <v>298.94358950692072</v>
      </c>
    </row>
    <row r="22" spans="1:12" x14ac:dyDescent="0.2">
      <c r="A22" s="2">
        <f>[1]ArdiData!A22</f>
        <v>20</v>
      </c>
      <c r="B22" s="37" t="e">
        <f>#REF!</f>
        <v>#REF!</v>
      </c>
      <c r="C22" s="36">
        <v>3606.7892415047718</v>
      </c>
      <c r="D22" s="3">
        <f t="shared" si="0"/>
        <v>3125.1024789650673</v>
      </c>
      <c r="E22" s="36">
        <f t="shared" si="1"/>
        <v>46.493914212820627</v>
      </c>
      <c r="F22" s="36">
        <f t="shared" si="2"/>
        <v>3004.6807883301408</v>
      </c>
      <c r="G22" s="35">
        <f t="shared" si="3"/>
        <v>602.10845317463099</v>
      </c>
      <c r="H22" s="35">
        <f t="shared" si="4"/>
        <v>602.10845317463099</v>
      </c>
      <c r="I22" s="33">
        <f>SUM(H$3:H22)/COUNT(H$3:H22)</f>
        <v>242.1729547778304</v>
      </c>
      <c r="J22" s="33">
        <f>SUM(G$3:G22)/I22</f>
        <v>-1.8923957831637808</v>
      </c>
      <c r="K22" s="34">
        <f t="shared" si="5"/>
        <v>321401.73573135288</v>
      </c>
      <c r="L22" s="33">
        <f>SQRT(SUM(K$3:K22)/(COUNT(K$3:K22)-1))</f>
        <v>318.71556288380185</v>
      </c>
    </row>
    <row r="23" spans="1:12" x14ac:dyDescent="0.2">
      <c r="A23" s="2">
        <f>[1]ArdiData!A23</f>
        <v>21</v>
      </c>
      <c r="B23" s="37" t="e">
        <f>#REF!</f>
        <v>#REF!</v>
      </c>
      <c r="C23" s="36">
        <v>3329.4002934339937</v>
      </c>
      <c r="D23" s="3">
        <f t="shared" si="0"/>
        <v>3203.157173229109</v>
      </c>
      <c r="E23" s="36">
        <f t="shared" si="1"/>
        <v>65.430382243553268</v>
      </c>
      <c r="F23" s="36">
        <f t="shared" si="2"/>
        <v>3171.5963931778879</v>
      </c>
      <c r="G23" s="35">
        <f t="shared" si="3"/>
        <v>157.80390025610586</v>
      </c>
      <c r="H23" s="35">
        <f t="shared" si="4"/>
        <v>157.80390025610586</v>
      </c>
      <c r="I23" s="33">
        <f>SUM(H$3:H23)/COUNT(H$3:H23)</f>
        <v>238.15538075298642</v>
      </c>
      <c r="J23" s="33">
        <f>SUM(G$3:G23)/I23</f>
        <v>-1.2617106412281023</v>
      </c>
      <c r="K23" s="34">
        <f t="shared" si="5"/>
        <v>15035.293903732731</v>
      </c>
      <c r="L23" s="33">
        <f>SQRT(SUM(K$3:K23)/(COUNT(K$3:K23)-1))</f>
        <v>311.85316130882552</v>
      </c>
    </row>
    <row r="24" spans="1:12" x14ac:dyDescent="0.2">
      <c r="A24" s="2">
        <f>[1]ArdiData!A24</f>
        <v>22</v>
      </c>
      <c r="B24" s="37" t="e">
        <f>#REF!</f>
        <v>#REF!</v>
      </c>
      <c r="C24" s="36">
        <v>3271.7372704254626</v>
      </c>
      <c r="D24" s="3">
        <f t="shared" si="0"/>
        <v>3269.2174984632225</v>
      </c>
      <c r="E24" s="36">
        <f t="shared" si="1"/>
        <v>65.808348037889346</v>
      </c>
      <c r="F24" s="36">
        <f t="shared" si="2"/>
        <v>3268.5875554726622</v>
      </c>
      <c r="G24" s="35">
        <f t="shared" si="3"/>
        <v>3.1497149528004229</v>
      </c>
      <c r="H24" s="35">
        <f t="shared" si="4"/>
        <v>3.1497149528004229</v>
      </c>
      <c r="I24" s="33">
        <f>SUM(H$3:H24)/COUNT(H$3:H24)</f>
        <v>227.47330503479614</v>
      </c>
      <c r="J24" s="33">
        <f>SUM(G$3:G24)/I24</f>
        <v>-1.3071136552198528</v>
      </c>
      <c r="K24" s="34">
        <f t="shared" si="5"/>
        <v>1026.2858221996787</v>
      </c>
      <c r="L24" s="33">
        <f>SQRT(SUM(K$3:K24)/(COUNT(K$3:K24)-1))</f>
        <v>304.41780266666143</v>
      </c>
    </row>
    <row r="25" spans="1:12" x14ac:dyDescent="0.2">
      <c r="A25" s="2">
        <f>[1]ArdiData!A25</f>
        <v>23</v>
      </c>
      <c r="B25" s="37" t="e">
        <f>#REF!</f>
        <v>#REF!</v>
      </c>
      <c r="C25" s="36">
        <v>3370.7908457036756</v>
      </c>
      <c r="D25" s="3">
        <f t="shared" si="0"/>
        <v>3342.1788463416246</v>
      </c>
      <c r="E25" s="36">
        <f t="shared" si="1"/>
        <v>70.100147942197054</v>
      </c>
      <c r="F25" s="36">
        <f t="shared" si="2"/>
        <v>3335.025846501112</v>
      </c>
      <c r="G25" s="35">
        <f t="shared" si="3"/>
        <v>35.764999202563558</v>
      </c>
      <c r="H25" s="35">
        <f t="shared" si="4"/>
        <v>35.764999202563558</v>
      </c>
      <c r="I25" s="33">
        <f>SUM(H$3:H25)/COUNT(H$3:H25)</f>
        <v>219.13816130295993</v>
      </c>
      <c r="J25" s="33">
        <f>SUM(G$3:G25)/I25</f>
        <v>-1.1936235224899476</v>
      </c>
      <c r="K25" s="34">
        <f t="shared" si="5"/>
        <v>0.3359224669813996</v>
      </c>
      <c r="L25" s="33">
        <f>SQRT(SUM(K$3:K25)/(COUNT(K$3:K25)-1))</f>
        <v>297.4187823523373</v>
      </c>
    </row>
    <row r="26" spans="1:12" x14ac:dyDescent="0.2">
      <c r="A26" s="2">
        <f>[1]ArdiData!A26</f>
        <v>24</v>
      </c>
      <c r="B26" s="37" t="e">
        <f>#REF!</f>
        <v>#REF!</v>
      </c>
      <c r="C26" s="36">
        <v>3326.6171341495628</v>
      </c>
      <c r="D26" s="3">
        <f t="shared" si="0"/>
        <v>3395.1466222569702</v>
      </c>
      <c r="E26" s="36">
        <f t="shared" si="1"/>
        <v>59.820724726086155</v>
      </c>
      <c r="F26" s="36">
        <f t="shared" si="2"/>
        <v>3412.2789942838217</v>
      </c>
      <c r="G26" s="35">
        <f t="shared" si="3"/>
        <v>-85.661860134258859</v>
      </c>
      <c r="H26" s="35">
        <f t="shared" si="4"/>
        <v>85.661860134258859</v>
      </c>
      <c r="I26" s="33">
        <f>SUM(H$3:H26)/COUNT(H$3:H26)</f>
        <v>213.57664875426406</v>
      </c>
      <c r="J26" s="33">
        <f>SUM(G$3:G26)/I26</f>
        <v>-1.6257878666322869</v>
      </c>
      <c r="K26" s="34">
        <f t="shared" si="5"/>
        <v>14604.0629442604</v>
      </c>
      <c r="L26" s="33">
        <f>SQRT(SUM(K$3:K26)/(COUNT(K$3:K26)-1))</f>
        <v>291.97070796013634</v>
      </c>
    </row>
    <row r="27" spans="1:12" x14ac:dyDescent="0.2">
      <c r="A27" s="2">
        <f>[1]ArdiData!A27</f>
        <v>25</v>
      </c>
      <c r="B27" s="37" t="e">
        <f>#REF!</f>
        <v>#REF!</v>
      </c>
      <c r="C27" s="36">
        <v>3919.3323507327541</v>
      </c>
      <c r="D27" s="3">
        <f t="shared" si="0"/>
        <v>3547.8403477329962</v>
      </c>
      <c r="E27" s="36">
        <f t="shared" si="1"/>
        <v>115.54452517605006</v>
      </c>
      <c r="F27" s="36">
        <f t="shared" si="2"/>
        <v>3454.9673469830564</v>
      </c>
      <c r="G27" s="35">
        <f t="shared" si="3"/>
        <v>464.36500374969773</v>
      </c>
      <c r="H27" s="35">
        <f t="shared" si="4"/>
        <v>464.36500374969773</v>
      </c>
      <c r="I27" s="33">
        <f>SUM(H$3:H27)/COUNT(H$3:H27)</f>
        <v>223.60818295408143</v>
      </c>
      <c r="J27" s="33">
        <f>SUM(G$3:G27)/I27</f>
        <v>0.52383896716822487</v>
      </c>
      <c r="K27" s="34">
        <f t="shared" si="5"/>
        <v>184195.1228197864</v>
      </c>
      <c r="L27" s="33">
        <f>SQRT(SUM(K$3:K27)/(COUNT(K$3:K27)-1))</f>
        <v>298.94771643458552</v>
      </c>
    </row>
    <row r="28" spans="1:12" x14ac:dyDescent="0.2">
      <c r="A28" s="2">
        <f>[1]ArdiData!A28</f>
        <v>26</v>
      </c>
      <c r="B28" s="37" t="e">
        <f>#REF!</f>
        <v>#REF!</v>
      </c>
      <c r="C28" s="36">
        <v>3932.7496928280202</v>
      </c>
      <c r="D28" s="3">
        <f t="shared" si="0"/>
        <v>3717.2578368928412</v>
      </c>
      <c r="E28" s="36">
        <f t="shared" si="1"/>
        <v>147.86830356632703</v>
      </c>
      <c r="F28" s="36">
        <f t="shared" si="2"/>
        <v>3663.3848729090464</v>
      </c>
      <c r="G28" s="35">
        <f t="shared" si="3"/>
        <v>269.36481991897381</v>
      </c>
      <c r="H28" s="35">
        <f t="shared" si="4"/>
        <v>269.36481991897381</v>
      </c>
      <c r="I28" s="33">
        <f>SUM(H$3:H28)/COUNT(H$3:H28)</f>
        <v>225.36805360657729</v>
      </c>
      <c r="J28" s="33">
        <f>SUM(G$3:G28)/I28</f>
        <v>1.7149702157995805</v>
      </c>
      <c r="K28" s="34">
        <f t="shared" si="5"/>
        <v>54839.995554541114</v>
      </c>
      <c r="L28" s="33">
        <f>SQRT(SUM(K$3:K28)/(COUNT(K$3:K28)-1))</f>
        <v>296.6286356661758</v>
      </c>
    </row>
    <row r="29" spans="1:12" x14ac:dyDescent="0.2">
      <c r="A29" s="2">
        <f>[1]ArdiData!A29</f>
        <v>27</v>
      </c>
      <c r="B29" s="37" t="e">
        <f>#REF!</f>
        <v>#REF!</v>
      </c>
      <c r="C29" s="36">
        <v>3271.4587202821313</v>
      </c>
      <c r="D29" s="3">
        <f t="shared" si="0"/>
        <v>3746.3926564237609</v>
      </c>
      <c r="E29" s="36">
        <f t="shared" si="1"/>
        <v>76.628213145082626</v>
      </c>
      <c r="F29" s="36">
        <f t="shared" si="2"/>
        <v>3865.1261404591683</v>
      </c>
      <c r="G29" s="35">
        <f t="shared" si="3"/>
        <v>-593.667420177037</v>
      </c>
      <c r="H29" s="35">
        <f t="shared" si="4"/>
        <v>593.667420177037</v>
      </c>
      <c r="I29" s="33">
        <f>SUM(H$3:H29)/COUNT(H$3:H29)</f>
        <v>239.00877088696467</v>
      </c>
      <c r="J29" s="33">
        <f>SUM(G$3:G29)/I29</f>
        <v>-0.86677957415634099</v>
      </c>
      <c r="K29" s="34">
        <f t="shared" si="5"/>
        <v>395455.88329843793</v>
      </c>
      <c r="L29" s="33">
        <f>SQRT(SUM(K$3:K29)/(COUNT(K$3:K29)-1))</f>
        <v>315.93387640258499</v>
      </c>
    </row>
    <row r="30" spans="1:12" x14ac:dyDescent="0.2">
      <c r="A30" s="2">
        <f>[1]ArdiData!A30</f>
        <v>28</v>
      </c>
      <c r="B30" s="37" t="e">
        <f>#REF!</f>
        <v>#REF!</v>
      </c>
      <c r="C30" s="36">
        <v>4226.8800578487453</v>
      </c>
      <c r="D30" s="3">
        <f t="shared" si="0"/>
        <v>3903.792707224824</v>
      </c>
      <c r="E30" s="36">
        <f t="shared" si="1"/>
        <v>125.09131573867093</v>
      </c>
      <c r="F30" s="36">
        <f t="shared" si="2"/>
        <v>3823.0208695688434</v>
      </c>
      <c r="G30" s="35">
        <f t="shared" si="3"/>
        <v>403.8591882799019</v>
      </c>
      <c r="H30" s="35">
        <f t="shared" si="4"/>
        <v>403.8591882799019</v>
      </c>
      <c r="I30" s="33">
        <f>SUM(H$3:H30)/COUNT(H$3:H30)</f>
        <v>244.89628579385527</v>
      </c>
      <c r="J30" s="33">
        <f>SUM(G$3:G30)/I30</f>
        <v>0.80316149750199028</v>
      </c>
      <c r="K30" s="34">
        <f t="shared" si="5"/>
        <v>135920.35404265486</v>
      </c>
      <c r="L30" s="33">
        <f>SQRT(SUM(K$3:K30)/(COUNT(K$3:K30)-1))</f>
        <v>318.0432025609166</v>
      </c>
    </row>
    <row r="31" spans="1:12" x14ac:dyDescent="0.2">
      <c r="A31" s="2">
        <f>[1]ArdiData!A31</f>
        <v>29</v>
      </c>
      <c r="B31" s="37" t="e">
        <f>#REF!</f>
        <v>#REF!</v>
      </c>
      <c r="C31" s="36">
        <v>3676.4065496322846</v>
      </c>
      <c r="D31" s="3">
        <f t="shared" si="0"/>
        <v>3958.3885282972533</v>
      </c>
      <c r="E31" s="36">
        <f t="shared" si="1"/>
        <v>82.794018938925973</v>
      </c>
      <c r="F31" s="36">
        <f t="shared" si="2"/>
        <v>4028.8840229634948</v>
      </c>
      <c r="G31" s="35">
        <f t="shared" si="3"/>
        <v>-352.47747333121015</v>
      </c>
      <c r="H31" s="35">
        <f t="shared" si="4"/>
        <v>352.47747333121015</v>
      </c>
      <c r="I31" s="33">
        <f>SUM(H$3:H31)/COUNT(H$3:H31)</f>
        <v>248.60598191583304</v>
      </c>
      <c r="J31" s="33">
        <f>SUM(G$3:G31)/I31</f>
        <v>-0.62663900723468613</v>
      </c>
      <c r="K31" s="34">
        <f t="shared" si="5"/>
        <v>150282.51189974471</v>
      </c>
      <c r="L31" s="33">
        <f>SQRT(SUM(K$3:K31)/(COUNT(K$3:K31)-1))</f>
        <v>320.78989767838584</v>
      </c>
    </row>
    <row r="32" spans="1:12" x14ac:dyDescent="0.2">
      <c r="A32" s="2">
        <f>[1]ArdiData!A32</f>
        <v>30</v>
      </c>
      <c r="B32" s="37" t="e">
        <f>#REF!</f>
        <v>#REF!</v>
      </c>
      <c r="C32" s="36">
        <v>3709.9538102697975</v>
      </c>
      <c r="D32" s="3">
        <f t="shared" si="0"/>
        <v>3974.9367998429034</v>
      </c>
      <c r="E32" s="36">
        <f t="shared" si="1"/>
        <v>43.046570502960449</v>
      </c>
      <c r="F32" s="36">
        <f t="shared" si="2"/>
        <v>4041.1825472361793</v>
      </c>
      <c r="G32" s="35">
        <f t="shared" si="3"/>
        <v>-331.2287369663818</v>
      </c>
      <c r="H32" s="35">
        <f t="shared" si="4"/>
        <v>331.2287369663818</v>
      </c>
      <c r="I32" s="33">
        <f>SUM(H$3:H32)/COUNT(H$3:H32)</f>
        <v>251.36007375085134</v>
      </c>
      <c r="J32" s="33">
        <f>SUM(G$3:G32)/I32</f>
        <v>-1.9375190952141987</v>
      </c>
      <c r="K32" s="34">
        <f t="shared" si="5"/>
        <v>134259.32784103689</v>
      </c>
      <c r="L32" s="33">
        <f>SQRT(SUM(K$3:K32)/(COUNT(K$3:K32)-1))</f>
        <v>322.47062226585456</v>
      </c>
    </row>
    <row r="33" spans="1:12" x14ac:dyDescent="0.2">
      <c r="A33" s="2">
        <f>[1]ArdiData!A33</f>
        <v>31</v>
      </c>
      <c r="B33" s="37" t="e">
        <f>#REF!</f>
        <v>#REF!</v>
      </c>
      <c r="C33" s="36">
        <v>4309.3917506051803</v>
      </c>
      <c r="D33" s="3">
        <f t="shared" si="0"/>
        <v>4076.2650463977275</v>
      </c>
      <c r="E33" s="36">
        <f t="shared" si="1"/>
        <v>78.015576134078628</v>
      </c>
      <c r="F33" s="36">
        <f t="shared" si="2"/>
        <v>4017.9833703458639</v>
      </c>
      <c r="G33" s="35">
        <f t="shared" si="3"/>
        <v>291.40838025931635</v>
      </c>
      <c r="H33" s="35">
        <f t="shared" si="4"/>
        <v>291.40838025931635</v>
      </c>
      <c r="I33" s="33">
        <f>SUM(H$3:H33)/COUNT(H$3:H33)</f>
        <v>252.65195460596314</v>
      </c>
      <c r="J33" s="33">
        <f>SUM(G$3:G33)/I33</f>
        <v>-0.77421353304974849</v>
      </c>
      <c r="K33" s="34">
        <f t="shared" si="5"/>
        <v>65650.209968293508</v>
      </c>
      <c r="L33" s="33">
        <f>SQRT(SUM(K$3:K33)/(COUNT(K$3:K33)-1))</f>
        <v>320.48307154874755</v>
      </c>
    </row>
    <row r="34" spans="1:12" x14ac:dyDescent="0.2">
      <c r="A34" s="2">
        <f>[1]ArdiData!A34</f>
        <v>32</v>
      </c>
      <c r="B34" s="37" t="e">
        <f>#REF!</f>
        <v>#REF!</v>
      </c>
      <c r="C34" s="36">
        <v>3396.6468613345064</v>
      </c>
      <c r="D34" s="3">
        <f t="shared" si="0"/>
        <v>4002.7538702923466</v>
      </c>
      <c r="E34" s="36">
        <f t="shared" si="1"/>
        <v>-12.900475209597058</v>
      </c>
      <c r="F34" s="36">
        <f t="shared" si="2"/>
        <v>4154.2806225318063</v>
      </c>
      <c r="G34" s="35">
        <f t="shared" si="3"/>
        <v>-757.63376119729992</v>
      </c>
      <c r="H34" s="35">
        <f t="shared" si="4"/>
        <v>757.63376119729992</v>
      </c>
      <c r="I34" s="33">
        <f>SUM(H$3:H34)/COUNT(H$3:H34)</f>
        <v>268.43263606194239</v>
      </c>
      <c r="J34" s="33">
        <f>SUM(G$3:G34)/I34</f>
        <v>-3.5511342346045494</v>
      </c>
      <c r="K34" s="34">
        <f t="shared" si="5"/>
        <v>628562.23982764524</v>
      </c>
      <c r="L34" s="33">
        <f>SQRT(SUM(K$3:K34)/(COUNT(K$3:K34)-1))</f>
        <v>345.93697982423157</v>
      </c>
    </row>
    <row r="35" spans="1:12" x14ac:dyDescent="0.2">
      <c r="A35" s="2">
        <f>[1]ArdiData!A35</f>
        <v>33</v>
      </c>
      <c r="B35" s="37" t="e">
        <f>#REF!</f>
        <v>#REF!</v>
      </c>
      <c r="C35" s="36">
        <v>3425.2650395092878</v>
      </c>
      <c r="D35" s="3">
        <f t="shared" ref="D35:D66" si="6">$N$1*C35+(1-$N$1)*F35</f>
        <v>3876.9357239680576</v>
      </c>
      <c r="E35" s="36">
        <f t="shared" ref="E35:E66" si="7">$N$2*(D35-D34)+(1-$N$2)*E34</f>
        <v>-80.651077878412252</v>
      </c>
      <c r="F35" s="36">
        <f t="shared" ref="F35:F66" si="8">D34+E34</f>
        <v>3989.8533950827496</v>
      </c>
      <c r="G35" s="35">
        <f t="shared" ref="G35:G66" si="9">C35-F35</f>
        <v>-564.58835557346174</v>
      </c>
      <c r="H35" s="35">
        <f t="shared" ref="H35:H66" si="10">ABS(G35)</f>
        <v>564.58835557346174</v>
      </c>
      <c r="I35" s="33">
        <f>SUM(H$3:H35)/COUNT(H$3:H35)</f>
        <v>277.40705180471571</v>
      </c>
      <c r="J35" s="33">
        <f>SUM(G$3:G35)/I35</f>
        <v>-5.4714855635561284</v>
      </c>
      <c r="K35" s="34">
        <f t="shared" ref="K35:K66" si="11">(G35-$G$78)^2</f>
        <v>359728.5710878988</v>
      </c>
      <c r="L35" s="33">
        <f>SQRT(SUM(K$3:K35)/(COUNT(K$3:K35)-1))</f>
        <v>356.61484762078811</v>
      </c>
    </row>
    <row r="36" spans="1:12" x14ac:dyDescent="0.2">
      <c r="A36" s="2">
        <f>[1]ArdiData!A36</f>
        <v>34</v>
      </c>
      <c r="B36" s="37" t="e">
        <f>#REF!</f>
        <v>#REF!</v>
      </c>
      <c r="C36" s="36">
        <v>3382.8091450329844</v>
      </c>
      <c r="D36" s="3">
        <f t="shared" si="6"/>
        <v>3713.5895458783134</v>
      </c>
      <c r="E36" s="36">
        <f t="shared" si="7"/>
        <v>-130.2681380052114</v>
      </c>
      <c r="F36" s="36">
        <f t="shared" si="8"/>
        <v>3796.2846460896453</v>
      </c>
      <c r="G36" s="35">
        <f t="shared" si="9"/>
        <v>-413.47550105666096</v>
      </c>
      <c r="H36" s="35">
        <f t="shared" si="10"/>
        <v>413.47550105666096</v>
      </c>
      <c r="I36" s="33">
        <f>SUM(H$3:H36)/COUNT(H$3:H36)</f>
        <v>281.40906501800822</v>
      </c>
      <c r="J36" s="33">
        <f>SUM(G$3:G36)/I36</f>
        <v>-6.8629778508067609</v>
      </c>
      <c r="K36" s="34">
        <f t="shared" si="11"/>
        <v>201296.61402111541</v>
      </c>
      <c r="L36" s="33">
        <f>SQRT(SUM(K$3:K36)/(COUNT(K$3:K36)-1))</f>
        <v>359.75030900722714</v>
      </c>
    </row>
    <row r="37" spans="1:12" x14ac:dyDescent="0.2">
      <c r="A37" s="2">
        <f>[1]ArdiData!A37</f>
        <v>35</v>
      </c>
      <c r="B37" s="37" t="e">
        <f>#REF!</f>
        <v>#REF!</v>
      </c>
      <c r="C37" s="36">
        <v>3846.9349712677931</v>
      </c>
      <c r="D37" s="3">
        <f t="shared" si="6"/>
        <v>3636.0441205520401</v>
      </c>
      <c r="E37" s="36">
        <f t="shared" si="7"/>
        <v>-98.63451039784853</v>
      </c>
      <c r="F37" s="36">
        <f t="shared" si="8"/>
        <v>3583.3214078731021</v>
      </c>
      <c r="G37" s="35">
        <f t="shared" si="9"/>
        <v>263.61356339469103</v>
      </c>
      <c r="H37" s="35">
        <f t="shared" si="10"/>
        <v>263.61356339469103</v>
      </c>
      <c r="I37" s="33">
        <f>SUM(H$3:H37)/COUNT(H$3:H37)</f>
        <v>280.90062211448486</v>
      </c>
      <c r="J37" s="33">
        <f>SUM(G$3:G37)/I37</f>
        <v>-5.936941699475657</v>
      </c>
      <c r="K37" s="34">
        <f t="shared" si="11"/>
        <v>52179.420799527696</v>
      </c>
      <c r="L37" s="33">
        <f>SQRT(SUM(K$3:K37)/(COUNT(K$3:K37)-1))</f>
        <v>356.57887586371226</v>
      </c>
    </row>
    <row r="38" spans="1:12" x14ac:dyDescent="0.2">
      <c r="A38" s="2">
        <f>[1]ArdiData!A38</f>
        <v>36</v>
      </c>
      <c r="B38" s="37" t="e">
        <f>#REF!</f>
        <v>#REF!</v>
      </c>
      <c r="C38" s="36">
        <v>4335.4663999878339</v>
      </c>
      <c r="D38" s="3">
        <f t="shared" si="6"/>
        <v>3697.0209681209203</v>
      </c>
      <c r="E38" s="36">
        <f t="shared" si="7"/>
        <v>-2.8676956178112931</v>
      </c>
      <c r="F38" s="36">
        <f t="shared" si="8"/>
        <v>3537.4096101541918</v>
      </c>
      <c r="G38" s="35">
        <f t="shared" si="9"/>
        <v>798.05678983364214</v>
      </c>
      <c r="H38" s="35">
        <f t="shared" si="10"/>
        <v>798.05678983364214</v>
      </c>
      <c r="I38" s="33">
        <f>SUM(H$3:H38)/COUNT(H$3:H38)</f>
        <v>295.26607121779477</v>
      </c>
      <c r="J38" s="33">
        <f>SUM(G$3:G38)/I38</f>
        <v>-2.9452548456372956</v>
      </c>
      <c r="K38" s="34">
        <f t="shared" si="11"/>
        <v>581972.74062041682</v>
      </c>
      <c r="L38" s="33">
        <f>SQRT(SUM(K$3:K38)/(COUNT(K$3:K38)-1))</f>
        <v>374.35741366606908</v>
      </c>
    </row>
    <row r="39" spans="1:12" x14ac:dyDescent="0.2">
      <c r="A39" s="2">
        <f>[1]ArdiData!A39</f>
        <v>37</v>
      </c>
      <c r="B39" s="37" t="e">
        <f>#REF!</f>
        <v>#REF!</v>
      </c>
      <c r="C39" s="36">
        <v>3778.0879495342488</v>
      </c>
      <c r="D39" s="3">
        <f t="shared" si="6"/>
        <v>3710.940207909337</v>
      </c>
      <c r="E39" s="36">
        <f t="shared" si="7"/>
        <v>7.2044656259254971</v>
      </c>
      <c r="F39" s="36">
        <f t="shared" si="8"/>
        <v>3694.1532725031088</v>
      </c>
      <c r="G39" s="35">
        <f t="shared" si="9"/>
        <v>83.934677031139927</v>
      </c>
      <c r="H39" s="35">
        <f t="shared" si="10"/>
        <v>83.934677031139927</v>
      </c>
      <c r="I39" s="33">
        <f>SUM(H$3:H39)/COUNT(H$3:H39)</f>
        <v>289.55441191545276</v>
      </c>
      <c r="J39" s="33">
        <f>SUM(G$3:G39)/I39</f>
        <v>-2.7134766995184791</v>
      </c>
      <c r="K39" s="34">
        <f t="shared" si="11"/>
        <v>2376.4909370970831</v>
      </c>
      <c r="L39" s="33">
        <f>SQRT(SUM(K$3:K39)/(COUNT(K$3:K39)-1))</f>
        <v>369.21079690233609</v>
      </c>
    </row>
    <row r="40" spans="1:12" x14ac:dyDescent="0.2">
      <c r="A40" s="2">
        <f>[1]ArdiData!A40</f>
        <v>38</v>
      </c>
      <c r="B40" s="37" t="e">
        <f>#REF!</f>
        <v>#REF!</v>
      </c>
      <c r="C40" s="36">
        <v>4091.3217573787838</v>
      </c>
      <c r="D40" s="3">
        <f t="shared" si="6"/>
        <v>3792.780090303967</v>
      </c>
      <c r="E40" s="36">
        <f t="shared" si="7"/>
        <v>51.985715687148179</v>
      </c>
      <c r="F40" s="36">
        <f t="shared" si="8"/>
        <v>3718.1446735352624</v>
      </c>
      <c r="G40" s="35">
        <f t="shared" si="9"/>
        <v>373.17708384352136</v>
      </c>
      <c r="H40" s="35">
        <f t="shared" si="10"/>
        <v>373.17708384352136</v>
      </c>
      <c r="I40" s="33">
        <f>SUM(H$3:H40)/COUNT(H$3:H40)</f>
        <v>291.75500854513876</v>
      </c>
      <c r="J40" s="33">
        <f>SUM(G$3:G40)/I40</f>
        <v>-1.413933108428582</v>
      </c>
      <c r="K40" s="34">
        <f t="shared" si="11"/>
        <v>114238.37090131622</v>
      </c>
      <c r="L40" s="33">
        <f>SQRT(SUM(K$3:K40)/(COUNT(K$3:K40)-1))</f>
        <v>368.40182317074635</v>
      </c>
    </row>
    <row r="41" spans="1:12" x14ac:dyDescent="0.2">
      <c r="A41" s="2">
        <f>[1]ArdiData!A41</f>
        <v>39</v>
      </c>
      <c r="B41" s="37" t="e">
        <f>#REF!</f>
        <v>#REF!</v>
      </c>
      <c r="C41" s="36">
        <v>5031.5420497583082</v>
      </c>
      <c r="D41" s="3">
        <f t="shared" si="6"/>
        <v>4082.1210547445539</v>
      </c>
      <c r="E41" s="36">
        <f t="shared" si="7"/>
        <v>194.39886493921145</v>
      </c>
      <c r="F41" s="36">
        <f t="shared" si="8"/>
        <v>3844.765805991115</v>
      </c>
      <c r="G41" s="35">
        <f t="shared" si="9"/>
        <v>1186.7762437671931</v>
      </c>
      <c r="H41" s="35">
        <f t="shared" si="10"/>
        <v>1186.7762437671931</v>
      </c>
      <c r="I41" s="33">
        <f>SUM(H$3:H41)/COUNT(H$3:H41)</f>
        <v>314.70427098672991</v>
      </c>
      <c r="J41" s="33">
        <f>SUM(G$3:G41)/I41</f>
        <v>2.4602595166813144</v>
      </c>
      <c r="K41" s="34">
        <f t="shared" si="11"/>
        <v>1326161.4460785284</v>
      </c>
      <c r="L41" s="33">
        <f>SQRT(SUM(K$3:K41)/(COUNT(K$3:K41)-1))</f>
        <v>408.71421841625329</v>
      </c>
    </row>
    <row r="42" spans="1:12" x14ac:dyDescent="0.2">
      <c r="A42" s="2">
        <f>[1]ArdiData!A42</f>
        <v>40</v>
      </c>
      <c r="B42" s="37" t="e">
        <f>#REF!</f>
        <v>#REF!</v>
      </c>
      <c r="C42" s="36">
        <v>4204.3946084920954</v>
      </c>
      <c r="D42" s="3">
        <f t="shared" si="6"/>
        <v>4262.0948574454324</v>
      </c>
      <c r="E42" s="36">
        <f t="shared" si="7"/>
        <v>185.74382759621164</v>
      </c>
      <c r="F42" s="36">
        <f t="shared" si="8"/>
        <v>4276.5199196837657</v>
      </c>
      <c r="G42" s="35">
        <f t="shared" si="9"/>
        <v>-72.125311191670335</v>
      </c>
      <c r="H42" s="35">
        <f t="shared" si="10"/>
        <v>72.125311191670335</v>
      </c>
      <c r="I42" s="33">
        <f>SUM(H$3:H42)/COUNT(H$3:H42)</f>
        <v>308.63979699185342</v>
      </c>
      <c r="J42" s="33">
        <f>SUM(G$3:G42)/I42</f>
        <v>2.2749135830406861</v>
      </c>
      <c r="K42" s="34">
        <f t="shared" si="11"/>
        <v>11515.591100550831</v>
      </c>
      <c r="L42" s="33">
        <f>SQRT(SUM(K$3:K42)/(COUNT(K$3:K42)-1))</f>
        <v>403.80604191050412</v>
      </c>
    </row>
    <row r="43" spans="1:12" x14ac:dyDescent="0.2">
      <c r="A43" s="2">
        <f>[1]ArdiData!A43</f>
        <v>41</v>
      </c>
      <c r="B43" s="37" t="e">
        <f>#REF!</f>
        <v>#REF!</v>
      </c>
      <c r="C43" s="36">
        <v>5586.0237690188087</v>
      </c>
      <c r="D43" s="3">
        <f t="shared" si="6"/>
        <v>4675.4757018370765</v>
      </c>
      <c r="E43" s="36">
        <f t="shared" si="7"/>
        <v>322.32603767347109</v>
      </c>
      <c r="F43" s="36">
        <f t="shared" si="8"/>
        <v>4447.8386850416437</v>
      </c>
      <c r="G43" s="35">
        <f t="shared" si="9"/>
        <v>1138.185083977165</v>
      </c>
      <c r="H43" s="35">
        <f t="shared" si="10"/>
        <v>1138.185083977165</v>
      </c>
      <c r="I43" s="33">
        <f>SUM(H$3:H43)/COUNT(H$3:H43)</f>
        <v>328.87260886954397</v>
      </c>
      <c r="J43" s="33">
        <f>SUM(G$3:G43)/I43</f>
        <v>5.5958261673013379</v>
      </c>
      <c r="K43" s="34">
        <f t="shared" si="11"/>
        <v>1216608.2785542971</v>
      </c>
      <c r="L43" s="33">
        <f>SQRT(SUM(K$3:K43)/(COUNT(K$3:K43)-1))</f>
        <v>435.19885507684825</v>
      </c>
    </row>
    <row r="44" spans="1:12" x14ac:dyDescent="0.2">
      <c r="A44" s="2">
        <f>[1]ArdiData!A44</f>
        <v>42</v>
      </c>
      <c r="B44" s="37" t="e">
        <f>#REF!</f>
        <v>#REF!</v>
      </c>
      <c r="C44" s="36">
        <v>5777.5611763875086</v>
      </c>
      <c r="D44" s="3">
        <f t="shared" si="6"/>
        <v>5153.7536268859394</v>
      </c>
      <c r="E44" s="36">
        <f t="shared" si="7"/>
        <v>415.89717009870617</v>
      </c>
      <c r="F44" s="36">
        <f t="shared" si="8"/>
        <v>4997.8017395105471</v>
      </c>
      <c r="G44" s="35">
        <f t="shared" si="9"/>
        <v>779.75943687696144</v>
      </c>
      <c r="H44" s="35">
        <f t="shared" si="10"/>
        <v>779.75943687696144</v>
      </c>
      <c r="I44" s="33">
        <f>SUM(H$3:H44)/COUNT(H$3:H44)</f>
        <v>339.60800953638727</v>
      </c>
      <c r="J44" s="33">
        <f>SUM(G$3:G44)/I44</f>
        <v>7.7149929145504617</v>
      </c>
      <c r="K44" s="34">
        <f t="shared" si="11"/>
        <v>554390.47998805519</v>
      </c>
      <c r="L44" s="33">
        <f>SQRT(SUM(K$3:K44)/(COUNT(K$3:K44)-1))</f>
        <v>445.30921617417647</v>
      </c>
    </row>
    <row r="45" spans="1:12" x14ac:dyDescent="0.2">
      <c r="A45" s="2">
        <f>[1]ArdiData!A45</f>
        <v>43</v>
      </c>
      <c r="B45" s="37" t="e">
        <f>#REF!</f>
        <v>#REF!</v>
      </c>
      <c r="C45" s="36">
        <v>5672.6454679130029</v>
      </c>
      <c r="D45" s="3">
        <f t="shared" si="6"/>
        <v>5590.2497311703173</v>
      </c>
      <c r="E45" s="36">
        <f t="shared" si="7"/>
        <v>428.25653061010917</v>
      </c>
      <c r="F45" s="36">
        <f t="shared" si="8"/>
        <v>5569.6507969846452</v>
      </c>
      <c r="G45" s="35">
        <f t="shared" si="9"/>
        <v>102.99467092835766</v>
      </c>
      <c r="H45" s="35">
        <f t="shared" si="10"/>
        <v>102.99467092835766</v>
      </c>
      <c r="I45" s="33">
        <f>SUM(H$3:H45)/COUNT(H$3:H45)</f>
        <v>334.10537375480516</v>
      </c>
      <c r="J45" s="33">
        <f>SUM(G$3:G45)/I45</f>
        <v>8.1503270289348571</v>
      </c>
      <c r="K45" s="34">
        <f t="shared" si="11"/>
        <v>4598.0957299760239</v>
      </c>
      <c r="L45" s="33">
        <f>SQRT(SUM(K$3:K45)/(COUNT(K$3:K45)-1))</f>
        <v>440.10037583774471</v>
      </c>
    </row>
    <row r="46" spans="1:12" x14ac:dyDescent="0.2">
      <c r="A46" s="2">
        <f>[1]ArdiData!A46</f>
        <v>44</v>
      </c>
      <c r="B46" s="37" t="e">
        <f>#REF!</f>
        <v>#REF!</v>
      </c>
      <c r="C46" s="36">
        <v>4442.4749424361789</v>
      </c>
      <c r="D46" s="3">
        <f t="shared" si="6"/>
        <v>5703.2999979115775</v>
      </c>
      <c r="E46" s="36">
        <f t="shared" si="7"/>
        <v>239.1327722887998</v>
      </c>
      <c r="F46" s="36">
        <f t="shared" si="8"/>
        <v>6018.5062617804269</v>
      </c>
      <c r="G46" s="35">
        <f t="shared" si="9"/>
        <v>-1576.031319344248</v>
      </c>
      <c r="H46" s="35">
        <f t="shared" si="10"/>
        <v>1576.031319344248</v>
      </c>
      <c r="I46" s="33">
        <f>SUM(H$3:H46)/COUNT(H$3:H46)</f>
        <v>362.33096342729255</v>
      </c>
      <c r="J46" s="33">
        <f>SUM(G$3:G46)/I46</f>
        <v>3.1657154774521339</v>
      </c>
      <c r="K46" s="34">
        <f t="shared" si="11"/>
        <v>2596019.3521900512</v>
      </c>
      <c r="L46" s="33">
        <f>SQRT(SUM(K$3:K46)/(COUNT(K$3:K46)-1))</f>
        <v>499.55630700434108</v>
      </c>
    </row>
    <row r="47" spans="1:12" x14ac:dyDescent="0.2">
      <c r="A47" s="2">
        <f>[1]ArdiData!A47</f>
        <v>45</v>
      </c>
      <c r="B47" s="37" t="e">
        <f>#REF!</f>
        <v>#REF!</v>
      </c>
      <c r="C47" s="36">
        <v>6116.4376324786244</v>
      </c>
      <c r="D47" s="3">
        <f t="shared" si="6"/>
        <v>5977.2337426560271</v>
      </c>
      <c r="E47" s="36">
        <f t="shared" si="7"/>
        <v>260.01335576218963</v>
      </c>
      <c r="F47" s="36">
        <f t="shared" si="8"/>
        <v>5942.4327702003775</v>
      </c>
      <c r="G47" s="35">
        <f t="shared" si="9"/>
        <v>174.00486227824695</v>
      </c>
      <c r="H47" s="35">
        <f t="shared" si="10"/>
        <v>174.00486227824695</v>
      </c>
      <c r="I47" s="33">
        <f>SUM(H$3:H47)/COUNT(H$3:H47)</f>
        <v>358.14593895731372</v>
      </c>
      <c r="J47" s="33">
        <f>SUM(G$3:G47)/I47</f>
        <v>3.6885566956480855</v>
      </c>
      <c r="K47" s="34">
        <f t="shared" si="11"/>
        <v>19270.84004898545</v>
      </c>
      <c r="L47" s="33">
        <f>SQRT(SUM(K$3:K47)/(COUNT(K$3:K47)-1))</f>
        <v>494.29013623682994</v>
      </c>
    </row>
    <row r="48" spans="1:12" x14ac:dyDescent="0.2">
      <c r="A48" s="2">
        <f>[1]ArdiData!A48</f>
        <v>46</v>
      </c>
      <c r="B48" s="37" t="e">
        <f>#REF!</f>
        <v>#REF!</v>
      </c>
      <c r="C48" s="36">
        <v>4831.7623955679137</v>
      </c>
      <c r="D48" s="3">
        <f t="shared" si="6"/>
        <v>5956.1501578481566</v>
      </c>
      <c r="E48" s="36">
        <f t="shared" si="7"/>
        <v>91.355191420153574</v>
      </c>
      <c r="F48" s="36">
        <f t="shared" si="8"/>
        <v>6237.2470984182164</v>
      </c>
      <c r="G48" s="35">
        <f t="shared" si="9"/>
        <v>-1405.4847028503027</v>
      </c>
      <c r="H48" s="35">
        <f t="shared" si="10"/>
        <v>1405.4847028503027</v>
      </c>
      <c r="I48" s="33">
        <f>SUM(H$3:H48)/COUNT(H$3:H48)</f>
        <v>380.91417295498735</v>
      </c>
      <c r="J48" s="33">
        <f>SUM(G$3:G48)/I48</f>
        <v>-0.22168537609156186</v>
      </c>
      <c r="K48" s="34">
        <f t="shared" si="11"/>
        <v>2075530.3769851164</v>
      </c>
      <c r="L48" s="33">
        <f>SQRT(SUM(K$3:K48)/(COUNT(K$3:K48)-1))</f>
        <v>533.86912427319294</v>
      </c>
    </row>
    <row r="49" spans="1:12" x14ac:dyDescent="0.2">
      <c r="A49" s="2">
        <f>[1]ArdiData!A49</f>
        <v>47</v>
      </c>
      <c r="B49" s="37" t="e">
        <f>#REF!</f>
        <v>#REF!</v>
      </c>
      <c r="C49" s="36">
        <v>6206.0910692130574</v>
      </c>
      <c r="D49" s="3">
        <f t="shared" si="6"/>
        <v>6079.2224932572599</v>
      </c>
      <c r="E49" s="36">
        <f t="shared" si="7"/>
        <v>110.38547781352341</v>
      </c>
      <c r="F49" s="36">
        <f t="shared" si="8"/>
        <v>6047.5053492683101</v>
      </c>
      <c r="G49" s="35">
        <f t="shared" si="9"/>
        <v>158.58571994474732</v>
      </c>
      <c r="H49" s="35">
        <f t="shared" si="10"/>
        <v>158.58571994474732</v>
      </c>
      <c r="I49" s="33">
        <f>SUM(H$3:H49)/COUNT(H$3:H49)</f>
        <v>376.18378033774826</v>
      </c>
      <c r="J49" s="33">
        <f>SUM(G$3:G49)/I49</f>
        <v>0.19709148062696222</v>
      </c>
      <c r="K49" s="34">
        <f t="shared" si="11"/>
        <v>15227.636243918369</v>
      </c>
      <c r="L49" s="33">
        <f>SQRT(SUM(K$3:K49)/(COUNT(K$3:K49)-1))</f>
        <v>528.34768113912344</v>
      </c>
    </row>
    <row r="50" spans="1:12" x14ac:dyDescent="0.2">
      <c r="A50" s="2">
        <f>[1]ArdiData!A50</f>
        <v>48</v>
      </c>
      <c r="B50" s="37" t="e">
        <f>#REF!</f>
        <v>#REF!</v>
      </c>
      <c r="C50" s="36">
        <v>5086.0787376555791</v>
      </c>
      <c r="D50" s="3">
        <f t="shared" si="6"/>
        <v>5968.9021243877432</v>
      </c>
      <c r="E50" s="36">
        <f t="shared" si="7"/>
        <v>-22.03803019630061</v>
      </c>
      <c r="F50" s="36">
        <f t="shared" si="8"/>
        <v>6189.6079710707836</v>
      </c>
      <c r="G50" s="35">
        <f t="shared" si="9"/>
        <v>-1103.5292334152045</v>
      </c>
      <c r="H50" s="35">
        <f t="shared" si="10"/>
        <v>1103.5292334152045</v>
      </c>
      <c r="I50" s="33">
        <f>SUM(H$3:H50)/COUNT(H$3:H50)</f>
        <v>391.33681061019524</v>
      </c>
      <c r="J50" s="33">
        <f>SUM(G$3:G50)/I50</f>
        <v>-2.630436461000206</v>
      </c>
      <c r="K50" s="34">
        <f t="shared" si="11"/>
        <v>1296671.0414401644</v>
      </c>
      <c r="L50" s="33">
        <f>SQRT(SUM(K$3:K50)/(COUNT(K$3:K50)-1))</f>
        <v>548.45294142540206</v>
      </c>
    </row>
    <row r="51" spans="1:12" x14ac:dyDescent="0.2">
      <c r="A51" s="2">
        <f>[1]ArdiData!A51</f>
        <v>49</v>
      </c>
      <c r="B51" s="37" t="e">
        <f>#REF!</f>
        <v>#REF!</v>
      </c>
      <c r="C51" s="36">
        <v>5256.5559094460787</v>
      </c>
      <c r="D51" s="3">
        <f t="shared" si="6"/>
        <v>5808.8024572423701</v>
      </c>
      <c r="E51" s="36">
        <f t="shared" si="7"/>
        <v>-104.87501236574413</v>
      </c>
      <c r="F51" s="36">
        <f t="shared" si="8"/>
        <v>5946.8640941914427</v>
      </c>
      <c r="G51" s="35">
        <f t="shared" si="9"/>
        <v>-690.30818474536409</v>
      </c>
      <c r="H51" s="35">
        <f t="shared" si="10"/>
        <v>690.30818474536409</v>
      </c>
      <c r="I51" s="33">
        <f>SUM(H$3:H51)/COUNT(H$3:H51)</f>
        <v>397.43826722519873</v>
      </c>
      <c r="J51" s="33">
        <f>SUM(G$3:G51)/I51</f>
        <v>-4.3269482123912608</v>
      </c>
      <c r="K51" s="34">
        <f t="shared" si="11"/>
        <v>526340.95748953021</v>
      </c>
      <c r="L51" s="33">
        <f>SQRT(SUM(K$3:K51)/(COUNT(K$3:K51)-1))</f>
        <v>552.71998860415636</v>
      </c>
    </row>
    <row r="52" spans="1:12" x14ac:dyDescent="0.2">
      <c r="A52" s="2">
        <f>[1]ArdiData!A52</f>
        <v>50</v>
      </c>
      <c r="B52" s="37" t="e">
        <f>#REF!</f>
        <v>#REF!</v>
      </c>
      <c r="C52" s="36">
        <v>5988.37014518462</v>
      </c>
      <c r="D52" s="3">
        <f t="shared" si="6"/>
        <v>5760.8159849382255</v>
      </c>
      <c r="E52" s="36">
        <f t="shared" si="7"/>
        <v>-70.741888328784427</v>
      </c>
      <c r="F52" s="36">
        <f t="shared" si="8"/>
        <v>5703.9274448766264</v>
      </c>
      <c r="G52" s="35">
        <f t="shared" si="9"/>
        <v>284.44270030799362</v>
      </c>
      <c r="H52" s="35">
        <f t="shared" si="10"/>
        <v>284.44270030799362</v>
      </c>
      <c r="I52" s="33">
        <f>SUM(H$3:H52)/COUNT(H$3:H52)</f>
        <v>395.1783558868546</v>
      </c>
      <c r="J52" s="33">
        <f>SUM(G$3:G52)/I52</f>
        <v>-3.6319096889225739</v>
      </c>
      <c r="K52" s="34">
        <f t="shared" si="11"/>
        <v>62129.196265612925</v>
      </c>
      <c r="L52" s="33">
        <f>SQRT(SUM(K$3:K52)/(COUNT(K$3:K52)-1))</f>
        <v>548.20858005014838</v>
      </c>
    </row>
    <row r="53" spans="1:12" x14ac:dyDescent="0.2">
      <c r="A53" s="2">
        <f>[1]ArdiData!A53</f>
        <v>51</v>
      </c>
      <c r="B53" s="37" t="e">
        <f>#REF!</f>
        <v>#REF!</v>
      </c>
      <c r="C53" s="36">
        <v>6526.7676661512296</v>
      </c>
      <c r="D53" s="3">
        <f t="shared" si="6"/>
        <v>5857.4128105177988</v>
      </c>
      <c r="E53" s="36">
        <f t="shared" si="7"/>
        <v>29.661340016230206</v>
      </c>
      <c r="F53" s="36">
        <f t="shared" si="8"/>
        <v>5690.0740966094409</v>
      </c>
      <c r="G53" s="35">
        <f t="shared" si="9"/>
        <v>836.69356954178875</v>
      </c>
      <c r="H53" s="35">
        <f t="shared" si="10"/>
        <v>836.69356954178875</v>
      </c>
      <c r="I53" s="33">
        <f>SUM(H$3:H53)/COUNT(H$3:H53)</f>
        <v>403.83551693891218</v>
      </c>
      <c r="J53" s="33">
        <f>SUM(G$3:G53)/I53</f>
        <v>-1.4821839708237325</v>
      </c>
      <c r="K53" s="34">
        <f t="shared" si="11"/>
        <v>642415.32818475238</v>
      </c>
      <c r="L53" s="33">
        <f>SQRT(SUM(K$3:K53)/(COUNT(K$3:K53)-1))</f>
        <v>554.40986720970511</v>
      </c>
    </row>
    <row r="54" spans="1:12" x14ac:dyDescent="0.2">
      <c r="A54" s="2">
        <f>[1]ArdiData!A54</f>
        <v>52</v>
      </c>
      <c r="B54" s="37" t="e">
        <f>#REF!</f>
        <v>#REF!</v>
      </c>
      <c r="C54" s="36">
        <v>5794.3331193675949</v>
      </c>
      <c r="D54" s="3">
        <f t="shared" si="6"/>
        <v>5868.5259443007435</v>
      </c>
      <c r="E54" s="36">
        <f t="shared" si="7"/>
        <v>18.53241627625891</v>
      </c>
      <c r="F54" s="36">
        <f t="shared" si="8"/>
        <v>5887.0741505340293</v>
      </c>
      <c r="G54" s="35">
        <f t="shared" si="9"/>
        <v>-92.741031166434368</v>
      </c>
      <c r="H54" s="35">
        <f t="shared" si="10"/>
        <v>92.741031166434368</v>
      </c>
      <c r="I54" s="33">
        <f>SUM(H$3:H54)/COUNT(H$3:H54)</f>
        <v>397.85293067405684</v>
      </c>
      <c r="J54" s="33">
        <f>SUM(G$3:G54)/I54</f>
        <v>-1.7375756414597252</v>
      </c>
      <c r="K54" s="34">
        <f t="shared" si="11"/>
        <v>16365.174609239999</v>
      </c>
      <c r="L54" s="33">
        <f>SQRT(SUM(K$3:K54)/(COUNT(K$3:K54)-1))</f>
        <v>549.2397636659523</v>
      </c>
    </row>
    <row r="55" spans="1:12" x14ac:dyDescent="0.2">
      <c r="A55" s="2">
        <f>[1]ArdiData!A55</f>
        <v>53</v>
      </c>
      <c r="B55" s="37" t="e">
        <f>#REF!</f>
        <v>#REF!</v>
      </c>
      <c r="C55" s="36">
        <v>5545.614554778329</v>
      </c>
      <c r="D55" s="3">
        <f t="shared" si="6"/>
        <v>5818.7695994172682</v>
      </c>
      <c r="E55" s="36">
        <f t="shared" si="7"/>
        <v>-22.440840419581626</v>
      </c>
      <c r="F55" s="36">
        <f t="shared" si="8"/>
        <v>5887.0583605770025</v>
      </c>
      <c r="G55" s="35">
        <f t="shared" si="9"/>
        <v>-341.44380579867357</v>
      </c>
      <c r="H55" s="35">
        <f t="shared" si="10"/>
        <v>341.44380579867357</v>
      </c>
      <c r="I55" s="33">
        <f>SUM(H$3:H55)/COUNT(H$3:H55)</f>
        <v>396.78860756320057</v>
      </c>
      <c r="J55" s="33">
        <f>SUM(G$3:G55)/I55</f>
        <v>-2.602754583514054</v>
      </c>
      <c r="K55" s="34">
        <f t="shared" si="11"/>
        <v>141849.56695779925</v>
      </c>
      <c r="L55" s="33">
        <f>SQRT(SUM(K$3:K55)/(COUNT(K$3:K55)-1))</f>
        <v>546.43476957000348</v>
      </c>
    </row>
    <row r="56" spans="1:12" x14ac:dyDescent="0.2">
      <c r="A56" s="2">
        <f>[1]ArdiData!A56</f>
        <v>54</v>
      </c>
      <c r="B56" s="37" t="e">
        <f>#REF!</f>
        <v>#REF!</v>
      </c>
      <c r="C56" s="36">
        <v>6272.3581433243171</v>
      </c>
      <c r="D56" s="3">
        <f t="shared" si="6"/>
        <v>5891.5346358630131</v>
      </c>
      <c r="E56" s="36">
        <f t="shared" si="7"/>
        <v>34.682685699614325</v>
      </c>
      <c r="F56" s="36">
        <f t="shared" si="8"/>
        <v>5796.3287589976862</v>
      </c>
      <c r="G56" s="35">
        <f t="shared" si="9"/>
        <v>476.02938432663086</v>
      </c>
      <c r="H56" s="35">
        <f t="shared" si="10"/>
        <v>476.02938432663086</v>
      </c>
      <c r="I56" s="33">
        <f>SUM(H$3:H56)/COUNT(H$3:H56)</f>
        <v>398.25602935511591</v>
      </c>
      <c r="J56" s="33">
        <f>SUM(G$3:G56)/I56</f>
        <v>-1.3978796092456376</v>
      </c>
      <c r="K56" s="34">
        <f t="shared" si="11"/>
        <v>194343.40880504763</v>
      </c>
      <c r="L56" s="33">
        <f>SQRT(SUM(K$3:K56)/(COUNT(K$3:K56)-1))</f>
        <v>544.63200651078773</v>
      </c>
    </row>
    <row r="57" spans="1:12" x14ac:dyDescent="0.2">
      <c r="A57" s="2">
        <f>[1]ArdiData!A57</f>
        <v>55</v>
      </c>
      <c r="B57" s="37" t="e">
        <f>#REF!</f>
        <v>#REF!</v>
      </c>
      <c r="C57" s="36">
        <v>5129.4309137141636</v>
      </c>
      <c r="D57" s="3">
        <f t="shared" si="6"/>
        <v>5766.8600399929346</v>
      </c>
      <c r="E57" s="36">
        <f t="shared" si="7"/>
        <v>-60.93168324220138</v>
      </c>
      <c r="F57" s="36">
        <f t="shared" si="8"/>
        <v>5926.2173215626271</v>
      </c>
      <c r="G57" s="35">
        <f t="shared" si="9"/>
        <v>-796.78640784846357</v>
      </c>
      <c r="H57" s="35">
        <f t="shared" si="10"/>
        <v>796.78640784846357</v>
      </c>
      <c r="I57" s="33">
        <f>SUM(H$3:H57)/COUNT(H$3:H57)</f>
        <v>405.50203623681313</v>
      </c>
      <c r="J57" s="33">
        <f>SUM(G$3:G57)/I57</f>
        <v>-3.3378387026216267</v>
      </c>
      <c r="K57" s="34">
        <f t="shared" si="11"/>
        <v>692177.10738324083</v>
      </c>
      <c r="L57" s="33">
        <f>SQRT(SUM(K$3:K57)/(COUNT(K$3:K57)-1))</f>
        <v>551.31577126283844</v>
      </c>
    </row>
    <row r="58" spans="1:12" x14ac:dyDescent="0.2">
      <c r="A58" s="2">
        <f>[1]ArdiData!A58</f>
        <v>56</v>
      </c>
      <c r="B58" s="37" t="e">
        <f>#REF!</f>
        <v>#REF!</v>
      </c>
      <c r="C58" s="36">
        <v>5666.7623903768372</v>
      </c>
      <c r="D58" s="3">
        <f t="shared" si="6"/>
        <v>5698.0951634759549</v>
      </c>
      <c r="E58" s="36">
        <f t="shared" si="7"/>
        <v>-65.631599207068376</v>
      </c>
      <c r="F58" s="36">
        <f t="shared" si="8"/>
        <v>5705.9283567507337</v>
      </c>
      <c r="G58" s="35">
        <f t="shared" si="9"/>
        <v>-39.165966373896481</v>
      </c>
      <c r="H58" s="35">
        <f t="shared" si="10"/>
        <v>39.165966373896481</v>
      </c>
      <c r="I58" s="33">
        <f>SUM(H$3:H58)/COUNT(H$3:H58)</f>
        <v>398.96032070354676</v>
      </c>
      <c r="J58" s="33">
        <f>SUM(G$3:G58)/I58</f>
        <v>-3.4907390150005657</v>
      </c>
      <c r="K58" s="34">
        <f t="shared" si="11"/>
        <v>5528.1273196494303</v>
      </c>
      <c r="L58" s="33">
        <f>SQRT(SUM(K$3:K58)/(COUNT(K$3:K58)-1))</f>
        <v>546.37280692430852</v>
      </c>
    </row>
    <row r="59" spans="1:12" x14ac:dyDescent="0.2">
      <c r="A59" s="2">
        <f>[1]ArdiData!A59</f>
        <v>57</v>
      </c>
      <c r="B59" s="37" t="e">
        <f>#REF!</f>
        <v>#REF!</v>
      </c>
      <c r="C59" s="36">
        <v>6383.3602430207802</v>
      </c>
      <c r="D59" s="3">
        <f t="shared" si="6"/>
        <v>5782.6429000192647</v>
      </c>
      <c r="E59" s="36">
        <f t="shared" si="7"/>
        <v>24.476002243158554</v>
      </c>
      <c r="F59" s="36">
        <f t="shared" si="8"/>
        <v>5632.4635642688863</v>
      </c>
      <c r="G59" s="35">
        <f t="shared" si="9"/>
        <v>750.89667875189389</v>
      </c>
      <c r="H59" s="35">
        <f t="shared" si="10"/>
        <v>750.89667875189389</v>
      </c>
      <c r="I59" s="33">
        <f>SUM(H$3:H59)/COUNT(H$3:H59)</f>
        <v>405.13464277457041</v>
      </c>
      <c r="J59" s="33">
        <f>SUM(G$3:G59)/I59</f>
        <v>-1.5840898565719927</v>
      </c>
      <c r="K59" s="34">
        <f t="shared" si="11"/>
        <v>512242.61876532721</v>
      </c>
      <c r="L59" s="33">
        <f>SQRT(SUM(K$3:K59)/(COUNT(K$3:K59)-1))</f>
        <v>549.85421845272583</v>
      </c>
    </row>
    <row r="60" spans="1:12" x14ac:dyDescent="0.2">
      <c r="A60" s="2">
        <f>[1]ArdiData!A60</f>
        <v>58</v>
      </c>
      <c r="B60" s="37" t="e">
        <f>#REF!</f>
        <v>#REF!</v>
      </c>
      <c r="C60" s="36">
        <v>6421.0416971132518</v>
      </c>
      <c r="D60" s="3">
        <f t="shared" si="6"/>
        <v>5929.9034612325886</v>
      </c>
      <c r="E60" s="36">
        <f t="shared" si="7"/>
        <v>98.146737625257728</v>
      </c>
      <c r="F60" s="36">
        <f t="shared" si="8"/>
        <v>5807.118902262423</v>
      </c>
      <c r="G60" s="35">
        <f t="shared" si="9"/>
        <v>613.92279485082872</v>
      </c>
      <c r="H60" s="35">
        <f t="shared" si="10"/>
        <v>613.92279485082872</v>
      </c>
      <c r="I60" s="33">
        <f>SUM(H$3:H60)/COUNT(H$3:H60)</f>
        <v>408.73443850002315</v>
      </c>
      <c r="J60" s="33">
        <f>SUM(G$3:G60)/I60</f>
        <v>-6.8129525411361885E-2</v>
      </c>
      <c r="K60" s="34">
        <f t="shared" si="11"/>
        <v>334936.95944895776</v>
      </c>
      <c r="L60" s="33">
        <f>SQRT(SUM(K$3:K60)/(COUNT(K$3:K60)-1))</f>
        <v>550.3740037188652</v>
      </c>
    </row>
    <row r="61" spans="1:12" x14ac:dyDescent="0.2">
      <c r="A61" s="2">
        <f>[1]ArdiData!A61</f>
        <v>59</v>
      </c>
      <c r="B61" s="37" t="e">
        <f>#REF!</f>
        <v>#REF!</v>
      </c>
      <c r="C61" s="36">
        <v>6732.3029027761122</v>
      </c>
      <c r="D61" s="3">
        <f t="shared" si="6"/>
        <v>6168.9007396415</v>
      </c>
      <c r="E61" s="36">
        <f t="shared" si="7"/>
        <v>182.6570620954499</v>
      </c>
      <c r="F61" s="36">
        <f t="shared" si="8"/>
        <v>6028.0501988578462</v>
      </c>
      <c r="G61" s="35">
        <f t="shared" si="9"/>
        <v>704.25270391826598</v>
      </c>
      <c r="H61" s="35">
        <f t="shared" si="10"/>
        <v>704.25270391826598</v>
      </c>
      <c r="I61" s="33">
        <f>SUM(H$3:H61)/COUNT(H$3:H61)</f>
        <v>413.74322265965441</v>
      </c>
      <c r="J61" s="33">
        <f>SUM(G$3:G61)/I61</f>
        <v>1.6348444725108937</v>
      </c>
      <c r="K61" s="34">
        <f t="shared" si="11"/>
        <v>447651.04243269475</v>
      </c>
      <c r="L61" s="33">
        <f>SQRT(SUM(K$3:K61)/(COUNT(K$3:K61)-1))</f>
        <v>552.63645605743909</v>
      </c>
    </row>
    <row r="62" spans="1:12" x14ac:dyDescent="0.2">
      <c r="A62" s="2">
        <f>[1]ArdiData!A62</f>
        <v>60</v>
      </c>
      <c r="B62" s="37" t="e">
        <f>#REF!</f>
        <v>#REF!</v>
      </c>
      <c r="C62" s="36">
        <v>5383.813648815224</v>
      </c>
      <c r="D62" s="3">
        <f t="shared" si="6"/>
        <v>6158.0089711526052</v>
      </c>
      <c r="E62" s="36">
        <f t="shared" si="7"/>
        <v>66.527763744843114</v>
      </c>
      <c r="F62" s="36">
        <f t="shared" si="8"/>
        <v>6351.5578017369498</v>
      </c>
      <c r="G62" s="35">
        <f t="shared" si="9"/>
        <v>-967.7441529217258</v>
      </c>
      <c r="H62" s="35">
        <f t="shared" si="10"/>
        <v>967.7441529217258</v>
      </c>
      <c r="I62" s="33">
        <f>SUM(H$3:H62)/COUNT(H$3:H62)</f>
        <v>422.97657149735556</v>
      </c>
      <c r="J62" s="33">
        <f>SUM(G$3:G62)/I62</f>
        <v>-0.68878125161021431</v>
      </c>
      <c r="K62" s="34">
        <f t="shared" si="11"/>
        <v>1005867.7102186256</v>
      </c>
      <c r="L62" s="33">
        <f>SQRT(SUM(K$3:K62)/(COUNT(K$3:K62)-1))</f>
        <v>563.27548064890027</v>
      </c>
    </row>
    <row r="63" spans="1:12" x14ac:dyDescent="0.2">
      <c r="A63" s="2">
        <f>[1]ArdiData!A63</f>
        <v>61</v>
      </c>
      <c r="B63" s="37" t="e">
        <f>#REF!</f>
        <v>#REF!</v>
      </c>
      <c r="C63" s="36">
        <v>6306.029263075081</v>
      </c>
      <c r="D63" s="3">
        <f t="shared" si="6"/>
        <v>6240.8352405329751</v>
      </c>
      <c r="E63" s="36">
        <f t="shared" si="7"/>
        <v>76.306867126159204</v>
      </c>
      <c r="F63" s="36">
        <f t="shared" si="8"/>
        <v>6224.5367348974487</v>
      </c>
      <c r="G63" s="35">
        <f t="shared" si="9"/>
        <v>81.492528177632266</v>
      </c>
      <c r="H63" s="35">
        <f t="shared" si="10"/>
        <v>81.492528177632266</v>
      </c>
      <c r="I63" s="33">
        <f>SUM(H$3:H63)/COUNT(H$3:H63)</f>
        <v>417.37847242654038</v>
      </c>
      <c r="J63" s="33">
        <f>SUM(G$3:G63)/I63</f>
        <v>-0.50277102918154692</v>
      </c>
      <c r="K63" s="34">
        <f t="shared" si="11"/>
        <v>2144.3490998992256</v>
      </c>
      <c r="L63" s="33">
        <f>SQRT(SUM(K$3:K63)/(COUNT(K$3:K63)-1))</f>
        <v>558.59378663471591</v>
      </c>
    </row>
    <row r="64" spans="1:12" x14ac:dyDescent="0.2">
      <c r="A64" s="2">
        <f>[1]ArdiData!A64</f>
        <v>62</v>
      </c>
      <c r="B64" s="37" t="e">
        <f>#REF!</f>
        <v>#REF!</v>
      </c>
      <c r="C64" s="36">
        <v>6344.73822659077</v>
      </c>
      <c r="D64" s="3">
        <f t="shared" si="6"/>
        <v>6322.6613314454617</v>
      </c>
      <c r="E64" s="36">
        <f t="shared" si="7"/>
        <v>79.61840139795558</v>
      </c>
      <c r="F64" s="36">
        <f t="shared" si="8"/>
        <v>6317.1421076591341</v>
      </c>
      <c r="G64" s="35">
        <f t="shared" si="9"/>
        <v>27.596118931635829</v>
      </c>
      <c r="H64" s="35">
        <f t="shared" si="10"/>
        <v>27.596118931635829</v>
      </c>
      <c r="I64" s="33">
        <f>SUM(H$3:H64)/COUNT(H$3:H64)</f>
        <v>411.09166027339677</v>
      </c>
      <c r="J64" s="33">
        <f>SUM(G$3:G64)/I64</f>
        <v>-0.44333102035510163</v>
      </c>
      <c r="K64" s="34">
        <f t="shared" si="11"/>
        <v>57.597354328994768</v>
      </c>
      <c r="L64" s="33">
        <f>SQRT(SUM(K$3:K64)/(COUNT(K$3:K64)-1))</f>
        <v>553.99708091449918</v>
      </c>
    </row>
    <row r="65" spans="1:12" x14ac:dyDescent="0.2">
      <c r="A65" s="2">
        <f>[1]ArdiData!A65</f>
        <v>63</v>
      </c>
      <c r="B65" s="37" t="e">
        <f>#REF!</f>
        <v>#REF!</v>
      </c>
      <c r="C65" s="36">
        <v>6433.484918596806</v>
      </c>
      <c r="D65" s="3">
        <f t="shared" si="6"/>
        <v>6408.5207699940947</v>
      </c>
      <c r="E65" s="36">
        <f t="shared" si="7"/>
        <v>83.363023688362091</v>
      </c>
      <c r="F65" s="36">
        <f t="shared" si="8"/>
        <v>6402.2797328434172</v>
      </c>
      <c r="G65" s="35">
        <f t="shared" si="9"/>
        <v>31.205185753388832</v>
      </c>
      <c r="H65" s="35">
        <f t="shared" si="10"/>
        <v>31.205185753388832</v>
      </c>
      <c r="I65" s="33">
        <f>SUM(H$3:H65)/COUNT(H$3:H65)</f>
        <v>405.06171623339668</v>
      </c>
      <c r="J65" s="33">
        <f>SUM(G$3:G65)/I65</f>
        <v>-0.37289255785421366</v>
      </c>
      <c r="K65" s="34">
        <f t="shared" si="11"/>
        <v>15.842193134416243</v>
      </c>
      <c r="L65" s="33">
        <f>SQRT(SUM(K$3:K65)/(COUNT(K$3:K65)-1))</f>
        <v>549.51143325981809</v>
      </c>
    </row>
    <row r="66" spans="1:12" x14ac:dyDescent="0.2">
      <c r="A66" s="2">
        <f>[1]ArdiData!A66</f>
        <v>64</v>
      </c>
      <c r="B66" s="37" t="e">
        <f>#REF!</f>
        <v>#REF!</v>
      </c>
      <c r="C66" s="36">
        <v>7126.6521295344728</v>
      </c>
      <c r="D66" s="3">
        <f t="shared" si="6"/>
        <v>6618.8374608528602</v>
      </c>
      <c r="E66" s="36">
        <f t="shared" si="7"/>
        <v>159.53522399060412</v>
      </c>
      <c r="F66" s="36">
        <f t="shared" si="8"/>
        <v>6491.8837936824566</v>
      </c>
      <c r="G66" s="35">
        <f t="shared" si="9"/>
        <v>634.76833585201621</v>
      </c>
      <c r="H66" s="35">
        <f t="shared" si="10"/>
        <v>634.76833585201621</v>
      </c>
      <c r="I66" s="33">
        <f>SUM(H$3:H66)/COUNT(H$3:H66)</f>
        <v>408.65088216493757</v>
      </c>
      <c r="J66" s="33">
        <f>SUM(G$3:G66)/I66</f>
        <v>1.1837092675152703</v>
      </c>
      <c r="K66" s="34">
        <f t="shared" si="11"/>
        <v>359499.68375592289</v>
      </c>
      <c r="L66" s="33">
        <f>SQRT(SUM(K$3:K66)/(COUNT(K$3:K66)-1))</f>
        <v>550.34180189206938</v>
      </c>
    </row>
    <row r="67" spans="1:12" x14ac:dyDescent="0.2">
      <c r="A67" s="2">
        <f>[1]ArdiData!A67</f>
        <v>65</v>
      </c>
      <c r="B67" s="37" t="e">
        <f>#REF!</f>
        <v>#REF!</v>
      </c>
      <c r="C67" s="36">
        <v>7865.1338288516981</v>
      </c>
      <c r="D67" s="3">
        <f t="shared" ref="D67:D77" si="12">$N$1*C67+(1-$N$1)*F67</f>
        <v>6995.7249136451119</v>
      </c>
      <c r="E67" s="36">
        <f t="shared" ref="E67:E77" si="13">$N$2*(D67-D66)+(1-$N$2)*E66</f>
        <v>289.94656127159266</v>
      </c>
      <c r="F67" s="36">
        <f t="shared" ref="F67:F78" si="14">D66+E66</f>
        <v>6778.3726848434644</v>
      </c>
      <c r="G67" s="35">
        <f t="shared" ref="G67:G77" si="15">C67-F67</f>
        <v>1086.7611440082337</v>
      </c>
      <c r="H67" s="35">
        <f t="shared" ref="H67:H78" si="16">ABS(G67)</f>
        <v>1086.7611440082337</v>
      </c>
      <c r="I67" s="33">
        <f>SUM(H$3:H67)/COUNT(H$3:H67)</f>
        <v>419.0833477317575</v>
      </c>
      <c r="J67" s="33">
        <f>SUM(G$3:G67)/I67</f>
        <v>3.7474287368019708</v>
      </c>
      <c r="K67" s="34">
        <f t="shared" ref="K67:K77" si="17">(G67-$G$78)^2</f>
        <v>1105811.5222199268</v>
      </c>
      <c r="L67" s="33">
        <f>SQRT(SUM(K$3:K67)/(COUNT(K$3:K67)-1))</f>
        <v>561.62439841857861</v>
      </c>
    </row>
    <row r="68" spans="1:12" x14ac:dyDescent="0.2">
      <c r="A68" s="2">
        <f>[1]ArdiData!A68</f>
        <v>66</v>
      </c>
      <c r="B68" s="37" t="e">
        <f>#REF!</f>
        <v>#REF!</v>
      </c>
      <c r="C68" s="36">
        <v>7010.35704845092</v>
      </c>
      <c r="D68" s="3">
        <f t="shared" si="12"/>
        <v>7230.6085896235481</v>
      </c>
      <c r="E68" s="36">
        <f t="shared" si="13"/>
        <v>256.90883009569882</v>
      </c>
      <c r="F68" s="36">
        <f t="shared" si="14"/>
        <v>7285.6714749167049</v>
      </c>
      <c r="G68" s="35">
        <f t="shared" si="15"/>
        <v>-275.31442646578489</v>
      </c>
      <c r="H68" s="35">
        <f t="shared" si="16"/>
        <v>275.31442646578489</v>
      </c>
      <c r="I68" s="33">
        <f>SUM(H$3:H68)/COUNT(H$3:H68)</f>
        <v>416.90503074287915</v>
      </c>
      <c r="J68" s="33">
        <f>SUM(G$3:G68)/I68</f>
        <v>3.1066321066731284</v>
      </c>
      <c r="K68" s="34">
        <f t="shared" si="17"/>
        <v>96410.149075691224</v>
      </c>
      <c r="L68" s="33">
        <f>SQRT(SUM(K$3:K68)/(COUNT(K$3:K68)-1))</f>
        <v>558.61664166752325</v>
      </c>
    </row>
    <row r="69" spans="1:12" x14ac:dyDescent="0.2">
      <c r="A69" s="2">
        <f>[1]ArdiData!A69</f>
        <v>67</v>
      </c>
      <c r="B69" s="37" t="e">
        <f>#REF!</f>
        <v>#REF!</v>
      </c>
      <c r="C69" s="36">
        <v>9422.7261880039478</v>
      </c>
      <c r="D69" s="3">
        <f t="shared" si="12"/>
        <v>7874.5591733761876</v>
      </c>
      <c r="E69" s="36">
        <f t="shared" si="13"/>
        <v>489.13388228986321</v>
      </c>
      <c r="F69" s="36">
        <f t="shared" si="14"/>
        <v>7487.5174197192473</v>
      </c>
      <c r="G69" s="35">
        <f t="shared" si="15"/>
        <v>1935.2087682847005</v>
      </c>
      <c r="H69" s="35">
        <f t="shared" si="16"/>
        <v>1935.2087682847005</v>
      </c>
      <c r="I69" s="33">
        <f>SUM(H$3:H69)/COUNT(H$3:H69)</f>
        <v>439.56628055693619</v>
      </c>
      <c r="J69" s="33">
        <f>SUM(G$3:G69)/I69</f>
        <v>7.3490153023820293</v>
      </c>
      <c r="K69" s="34">
        <f t="shared" si="17"/>
        <v>3610088.7581698275</v>
      </c>
      <c r="L69" s="33">
        <f>SQRT(SUM(K$3:K69)/(COUNT(K$3:K69)-1))</f>
        <v>601.68330364956819</v>
      </c>
    </row>
    <row r="70" spans="1:12" x14ac:dyDescent="0.2">
      <c r="A70" s="2">
        <f>[1]ArdiData!A70</f>
        <v>68</v>
      </c>
      <c r="B70" s="37" t="e">
        <f>#REF!</f>
        <v>#REF!</v>
      </c>
      <c r="C70" s="36">
        <v>7040.5275765927445</v>
      </c>
      <c r="D70" s="3">
        <f t="shared" si="12"/>
        <v>8099.0599598513891</v>
      </c>
      <c r="E70" s="36">
        <f t="shared" si="13"/>
        <v>330.3540248010662</v>
      </c>
      <c r="F70" s="36">
        <f t="shared" si="14"/>
        <v>8363.69305566605</v>
      </c>
      <c r="G70" s="35">
        <f t="shared" si="15"/>
        <v>-1323.1654790733055</v>
      </c>
      <c r="H70" s="35">
        <f t="shared" si="16"/>
        <v>1323.1654790733055</v>
      </c>
      <c r="I70" s="33">
        <f>SUM(H$3:H70)/COUNT(H$3:H70)</f>
        <v>452.56038641747102</v>
      </c>
      <c r="J70" s="33">
        <f>SUM(G$3:G70)/I70</f>
        <v>4.2142748247334074</v>
      </c>
      <c r="K70" s="34">
        <f t="shared" si="17"/>
        <v>1845117.1406041181</v>
      </c>
      <c r="L70" s="33">
        <f>SQRT(SUM(K$3:K70)/(COUNT(K$3:K70)-1))</f>
        <v>619.80523904616064</v>
      </c>
    </row>
    <row r="71" spans="1:12" x14ac:dyDescent="0.2">
      <c r="A71" s="2">
        <f>[1]ArdiData!A71</f>
        <v>69</v>
      </c>
      <c r="B71" s="37" t="e">
        <f>#REF!</f>
        <v>#REF!</v>
      </c>
      <c r="C71" s="36">
        <v>9903.7758241325882</v>
      </c>
      <c r="D71" s="3">
        <f t="shared" si="12"/>
        <v>8724.2863525484827</v>
      </c>
      <c r="E71" s="36">
        <f t="shared" si="13"/>
        <v>507.27744553868263</v>
      </c>
      <c r="F71" s="36">
        <f t="shared" si="14"/>
        <v>8429.4139846524558</v>
      </c>
      <c r="G71" s="35">
        <f t="shared" si="15"/>
        <v>1474.3618394801324</v>
      </c>
      <c r="H71" s="35">
        <f t="shared" si="16"/>
        <v>1474.3618394801324</v>
      </c>
      <c r="I71" s="33">
        <f>SUM(H$3:H71)/COUNT(H$3:H71)</f>
        <v>467.3691031285241</v>
      </c>
      <c r="J71" s="33">
        <f>SUM(G$3:G71)/I71</f>
        <v>7.235342815763727</v>
      </c>
      <c r="K71" s="34">
        <f t="shared" si="17"/>
        <v>2071228.7922492027</v>
      </c>
      <c r="L71" s="33">
        <f>SQRT(SUM(K$3:K71)/(COUNT(K$3:K71)-1))</f>
        <v>639.50636516214115</v>
      </c>
    </row>
    <row r="72" spans="1:12" x14ac:dyDescent="0.2">
      <c r="A72" s="2">
        <f>[1]ArdiData!A72</f>
        <v>70</v>
      </c>
      <c r="B72" s="37" t="e">
        <f>#REF!</f>
        <v>#REF!</v>
      </c>
      <c r="C72" s="36">
        <v>7385.6932650971721</v>
      </c>
      <c r="D72" s="3">
        <f t="shared" si="12"/>
        <v>8862.3896914891666</v>
      </c>
      <c r="E72" s="36">
        <f t="shared" si="13"/>
        <v>285.77298157988338</v>
      </c>
      <c r="F72" s="36">
        <f t="shared" si="14"/>
        <v>9231.5637980871652</v>
      </c>
      <c r="G72" s="35">
        <f t="shared" si="15"/>
        <v>-1845.8705329899931</v>
      </c>
      <c r="H72" s="35">
        <f t="shared" si="16"/>
        <v>1845.8705329899931</v>
      </c>
      <c r="I72" s="33">
        <f>SUM(H$3:H72)/COUNT(H$3:H72)</f>
        <v>487.06198069797369</v>
      </c>
      <c r="J72" s="33">
        <f>SUM(G$3:G72)/I72</f>
        <v>3.1529973812371912</v>
      </c>
      <c r="K72" s="34">
        <f t="shared" si="17"/>
        <v>3538371.464477106</v>
      </c>
      <c r="L72" s="33">
        <f>SQRT(SUM(K$3:K72)/(COUNT(K$3:K72)-1))</f>
        <v>674.03416739305192</v>
      </c>
    </row>
    <row r="73" spans="1:12" x14ac:dyDescent="0.2">
      <c r="A73" s="2">
        <f>[1]ArdiData!A73</f>
        <v>71</v>
      </c>
      <c r="B73" s="37" t="e">
        <f>#REF!</f>
        <v>#REF!</v>
      </c>
      <c r="C73" s="36">
        <v>9011.9704290236768</v>
      </c>
      <c r="D73" s="3">
        <f t="shared" si="12"/>
        <v>9120.9242242599757</v>
      </c>
      <c r="E73" s="36">
        <f t="shared" si="13"/>
        <v>269.42991229443885</v>
      </c>
      <c r="F73" s="36">
        <f t="shared" si="14"/>
        <v>9148.1626730690496</v>
      </c>
      <c r="G73" s="35">
        <f t="shared" si="15"/>
        <v>-136.19224404537272</v>
      </c>
      <c r="H73" s="35">
        <f t="shared" si="16"/>
        <v>136.19224404537272</v>
      </c>
      <c r="I73" s="33">
        <f>SUM(H$3:H73)/COUNT(H$3:H73)</f>
        <v>482.1201534211765</v>
      </c>
      <c r="J73" s="33">
        <f>SUM(G$3:G73)/I73</f>
        <v>2.9028301257776583</v>
      </c>
      <c r="K73" s="34">
        <f t="shared" si="17"/>
        <v>29370.300654045848</v>
      </c>
      <c r="L73" s="33">
        <f>SQRT(SUM(K$3:K73)/(COUNT(K$3:K73)-1))</f>
        <v>669.51573499879032</v>
      </c>
    </row>
    <row r="74" spans="1:12" x14ac:dyDescent="0.2">
      <c r="A74" s="2">
        <f>[1]ArdiData!A74</f>
        <v>72</v>
      </c>
      <c r="B74" s="37" t="e">
        <f>#REF!</f>
        <v>#REF!</v>
      </c>
      <c r="C74" s="36">
        <v>10014.199326672129</v>
      </c>
      <c r="D74" s="3">
        <f t="shared" si="12"/>
        <v>9515.1231745779587</v>
      </c>
      <c r="E74" s="36">
        <f t="shared" si="13"/>
        <v>344.29133510856531</v>
      </c>
      <c r="F74" s="36">
        <f t="shared" si="14"/>
        <v>9390.3541365544152</v>
      </c>
      <c r="G74" s="35">
        <f t="shared" si="15"/>
        <v>623.84519011771408</v>
      </c>
      <c r="H74" s="35">
        <f t="shared" si="16"/>
        <v>623.84519011771408</v>
      </c>
      <c r="I74" s="33">
        <f>SUM(H$3:H74)/COUNT(H$3:H74)</f>
        <v>484.08855670862835</v>
      </c>
      <c r="J74" s="33">
        <f>SUM(G$3:G74)/I74</f>
        <v>4.179727175271994</v>
      </c>
      <c r="K74" s="34">
        <f t="shared" si="17"/>
        <v>346520.33553307143</v>
      </c>
      <c r="L74" s="33">
        <f>SQRT(SUM(K$3:K74)/(COUNT(K$3:K74)-1))</f>
        <v>668.44482842799141</v>
      </c>
    </row>
    <row r="75" spans="1:12" x14ac:dyDescent="0.2">
      <c r="A75" s="2">
        <f>[1]ArdiData!A75</f>
        <v>73</v>
      </c>
      <c r="B75" s="37" t="e">
        <f>#REF!</f>
        <v>#REF!</v>
      </c>
      <c r="C75" s="36">
        <v>10910.3731121908</v>
      </c>
      <c r="D75" s="3">
        <f t="shared" si="12"/>
        <v>10069.606230187379</v>
      </c>
      <c r="E75" s="36">
        <f t="shared" si="13"/>
        <v>470.40636740907826</v>
      </c>
      <c r="F75" s="36">
        <f t="shared" si="14"/>
        <v>9859.4145096865232</v>
      </c>
      <c r="G75" s="35">
        <f t="shared" si="15"/>
        <v>1050.9586025042772</v>
      </c>
      <c r="H75" s="35">
        <f t="shared" si="16"/>
        <v>1050.9586025042772</v>
      </c>
      <c r="I75" s="33">
        <f>SUM(H$3:H75)/COUNT(H$3:H75)</f>
        <v>491.85389980171948</v>
      </c>
      <c r="J75" s="33">
        <f>SUM(G$3:G75)/I75</f>
        <v>6.2504672616337391</v>
      </c>
      <c r="K75" s="34">
        <f t="shared" si="17"/>
        <v>1031795.1765479931</v>
      </c>
      <c r="L75" s="33">
        <f>SQRT(SUM(K$3:K75)/(COUNT(K$3:K75)-1))</f>
        <v>674.49474784678841</v>
      </c>
    </row>
    <row r="76" spans="1:12" x14ac:dyDescent="0.2">
      <c r="A76" s="2">
        <f>[1]ArdiData!A76</f>
        <v>74</v>
      </c>
      <c r="B76" s="37" t="e">
        <f>#REF!</f>
        <v>#REF!</v>
      </c>
      <c r="C76" s="36">
        <v>8358.5918304447059</v>
      </c>
      <c r="D76" s="3">
        <f t="shared" si="12"/>
        <v>10103.728444166107</v>
      </c>
      <c r="E76" s="36">
        <f t="shared" si="13"/>
        <v>208.63587535086799</v>
      </c>
      <c r="F76" s="36">
        <f t="shared" si="14"/>
        <v>10540.012597596457</v>
      </c>
      <c r="G76" s="35">
        <f t="shared" si="15"/>
        <v>-2181.4207671517506</v>
      </c>
      <c r="H76" s="35">
        <f t="shared" si="16"/>
        <v>2181.4207671517506</v>
      </c>
      <c r="I76" s="33">
        <f>SUM(H$3:H76)/COUNT(H$3:H76)</f>
        <v>514.68588449563879</v>
      </c>
      <c r="J76" s="33">
        <f>SUM(G$3:G76)/I76</f>
        <v>1.734836641072375</v>
      </c>
      <c r="K76" s="34">
        <f t="shared" si="17"/>
        <v>4913342.9490877027</v>
      </c>
      <c r="L76" s="33">
        <f>SQRT(SUM(K$3:K76)/(COUNT(K$3:K76)-1))</f>
        <v>718.34332635563669</v>
      </c>
    </row>
    <row r="77" spans="1:12" x14ac:dyDescent="0.2">
      <c r="A77" s="2">
        <f>[1]ArdiData!A77</f>
        <v>75</v>
      </c>
      <c r="B77" s="37" t="e">
        <f>#REF!</f>
        <v>#REF!</v>
      </c>
      <c r="C77" s="36">
        <v>12058.374214587961</v>
      </c>
      <c r="D77" s="3">
        <f t="shared" si="12"/>
        <v>10661.566298531172</v>
      </c>
      <c r="E77" s="36">
        <f t="shared" si="13"/>
        <v>418.15706275938624</v>
      </c>
      <c r="F77" s="36">
        <f t="shared" si="14"/>
        <v>10312.364319516975</v>
      </c>
      <c r="G77" s="35">
        <f t="shared" si="15"/>
        <v>1746.0098950709853</v>
      </c>
      <c r="H77" s="35">
        <f t="shared" si="16"/>
        <v>1746.0098950709853</v>
      </c>
      <c r="I77" s="33">
        <f>SUM(H$3:H77)/COUNT(H$3:H77)</f>
        <v>531.10353796997686</v>
      </c>
      <c r="J77" s="33">
        <f>SUM(G$3:G77)/I77</f>
        <v>4.9687219863444785</v>
      </c>
      <c r="K77" s="34">
        <f t="shared" si="17"/>
        <v>2926920.4152448913</v>
      </c>
      <c r="L77" s="33">
        <f>SQRT(SUM(K$3:K77)/(COUNT(K$3:K77)-1))</f>
        <v>740.67328059241811</v>
      </c>
    </row>
    <row r="78" spans="1:12" x14ac:dyDescent="0.2">
      <c r="A78" s="2">
        <f>[1]ArdiData!A78</f>
        <v>0</v>
      </c>
      <c r="B78" s="32"/>
      <c r="C78" s="32"/>
      <c r="E78" s="36"/>
      <c r="F78" s="36">
        <f t="shared" si="14"/>
        <v>11079.723361290558</v>
      </c>
      <c r="G78" s="32">
        <f>AVERAGE(G3:G77)</f>
        <v>35.185411015156845</v>
      </c>
      <c r="H78" s="32">
        <f t="shared" si="16"/>
        <v>35.185411015156845</v>
      </c>
      <c r="I78" s="33">
        <f>1.25*I77</f>
        <v>663.8794224624711</v>
      </c>
      <c r="J78" s="33"/>
      <c r="K78" s="32"/>
      <c r="L78" s="32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[1]ArdiData!A2</f>
        <v>Per.</v>
      </c>
      <c r="B1" s="48" t="s">
        <v>0</v>
      </c>
      <c r="C1" s="48" t="s">
        <v>73</v>
      </c>
      <c r="D1" s="48" t="s">
        <v>3</v>
      </c>
      <c r="E1" s="48" t="s">
        <v>2</v>
      </c>
      <c r="F1" s="48" t="s">
        <v>1</v>
      </c>
      <c r="G1" s="42" t="s">
        <v>72</v>
      </c>
      <c r="H1" s="48" t="s">
        <v>67</v>
      </c>
      <c r="I1" s="48" t="s">
        <v>71</v>
      </c>
      <c r="J1" s="40" t="s">
        <v>3</v>
      </c>
      <c r="K1" s="40" t="s">
        <v>2</v>
      </c>
      <c r="L1" s="41" t="s">
        <v>1</v>
      </c>
      <c r="M1" s="41" t="s">
        <v>24</v>
      </c>
      <c r="N1" s="3">
        <v>0.5</v>
      </c>
      <c r="O1" s="46" t="s">
        <v>64</v>
      </c>
      <c r="P1" s="39">
        <v>0.5</v>
      </c>
      <c r="Q1" s="3" t="str">
        <f>" F(next) ~ N ( "&amp;ROUND(I78,0)&amp;", "&amp;ROUND(1.25*L77,0)&amp;")"</f>
        <v xml:space="preserve"> F(next) ~ N ( 0, 0)</v>
      </c>
      <c r="T1" s="38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0"/>
      <c r="K2" s="40"/>
      <c r="L2" s="41"/>
      <c r="M2" s="41"/>
      <c r="O2" s="46" t="s">
        <v>63</v>
      </c>
      <c r="P2" s="39">
        <v>0.5</v>
      </c>
      <c r="T2" s="38"/>
    </row>
    <row r="3" spans="1:20" x14ac:dyDescent="0.2">
      <c r="A3" s="2">
        <f>[1]ArdiData!A3</f>
        <v>1</v>
      </c>
      <c r="B3" s="36" t="e">
        <f>ROUND(#REF!/10,0)</f>
        <v>#REF!</v>
      </c>
      <c r="C3" s="36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36" t="e">
        <f t="shared" ref="I3:I23" si="0">G3+H3</f>
        <v>#REF!</v>
      </c>
      <c r="J3" s="35" t="e">
        <f t="shared" ref="J3:J23" si="1">B3-I3</f>
        <v>#REF!</v>
      </c>
      <c r="K3" s="35" t="e">
        <f t="shared" ref="K3:K23" si="2">ABS(J3)</f>
        <v>#REF!</v>
      </c>
      <c r="L3" s="33" t="e">
        <f>AVERAGE($K$3:K3)</f>
        <v>#REF!</v>
      </c>
      <c r="M3" s="33" t="e">
        <f>SUM(J$3:J3)/L3</f>
        <v>#REF!</v>
      </c>
    </row>
    <row r="4" spans="1:20" x14ac:dyDescent="0.2">
      <c r="A4" s="2">
        <f>[1]ArdiData!A4</f>
        <v>2</v>
      </c>
      <c r="B4" s="36" t="e">
        <f>ROUND(#REF!/10,0)</f>
        <v>#REF!</v>
      </c>
      <c r="C4" s="51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36" t="e">
        <f t="shared" ref="H4:H23" si="7">(1-$P$2)*H3+$P$2*(B4-B3)</f>
        <v>#REF!</v>
      </c>
      <c r="I4" s="36" t="e">
        <f t="shared" si="0"/>
        <v>#REF!</v>
      </c>
      <c r="J4" s="35" t="e">
        <f t="shared" si="1"/>
        <v>#REF!</v>
      </c>
      <c r="K4" s="35" t="e">
        <f t="shared" si="2"/>
        <v>#REF!</v>
      </c>
      <c r="L4" s="33" t="e">
        <f>AVERAGE($K$3:K4)</f>
        <v>#REF!</v>
      </c>
      <c r="M4" s="33" t="e">
        <f>SUM(J$3:J4)/L4</f>
        <v>#REF!</v>
      </c>
      <c r="O4" s="45" t="e">
        <f>F23</f>
        <v>#REF!</v>
      </c>
    </row>
    <row r="5" spans="1:20" x14ac:dyDescent="0.2">
      <c r="A5" s="2">
        <f>[1]ArdiData!A5</f>
        <v>3</v>
      </c>
      <c r="B5" s="36" t="e">
        <f>ROUND(#REF!/10,0)</f>
        <v>#REF!</v>
      </c>
      <c r="C5" s="51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36" t="e">
        <f t="shared" si="7"/>
        <v>#REF!</v>
      </c>
      <c r="I5" s="36" t="e">
        <f t="shared" si="0"/>
        <v>#REF!</v>
      </c>
      <c r="J5" s="35" t="e">
        <f t="shared" si="1"/>
        <v>#REF!</v>
      </c>
      <c r="K5" s="35" t="e">
        <f t="shared" si="2"/>
        <v>#REF!</v>
      </c>
      <c r="L5" s="33" t="e">
        <f>AVERAGE($K$3:K5)</f>
        <v>#REF!</v>
      </c>
      <c r="M5" s="33" t="e">
        <f>SUM(J$3:J5)/L5</f>
        <v>#REF!</v>
      </c>
      <c r="N5" s="38">
        <f>L77</f>
        <v>0</v>
      </c>
      <c r="O5" s="3" t="e">
        <f t="dataTable" ref="O5:O15" dt2D="0" dtr="0" r1="N1"/>
        <v>#REF!</v>
      </c>
    </row>
    <row r="6" spans="1:20" x14ac:dyDescent="0.2">
      <c r="A6" s="2">
        <f>[1]ArdiData!A6</f>
        <v>4</v>
      </c>
      <c r="B6" s="36" t="e">
        <f>ROUND(#REF!/10,0)</f>
        <v>#REF!</v>
      </c>
      <c r="C6" s="51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36" t="e">
        <f t="shared" si="7"/>
        <v>#REF!</v>
      </c>
      <c r="I6" s="36" t="e">
        <f t="shared" si="0"/>
        <v>#REF!</v>
      </c>
      <c r="J6" s="35" t="e">
        <f t="shared" si="1"/>
        <v>#REF!</v>
      </c>
      <c r="K6" s="35" t="e">
        <f t="shared" si="2"/>
        <v>#REF!</v>
      </c>
      <c r="L6" s="33" t="e">
        <f>AVERAGE($K$3:K6)</f>
        <v>#REF!</v>
      </c>
      <c r="M6" s="33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[1]ArdiData!A7</f>
        <v>5</v>
      </c>
      <c r="B7" s="36" t="e">
        <f>ROUND(#REF!/10,0)</f>
        <v>#REF!</v>
      </c>
      <c r="C7" s="51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36" t="e">
        <f t="shared" si="7"/>
        <v>#REF!</v>
      </c>
      <c r="I7" s="36" t="e">
        <f t="shared" si="0"/>
        <v>#REF!</v>
      </c>
      <c r="J7" s="35" t="e">
        <f t="shared" si="1"/>
        <v>#REF!</v>
      </c>
      <c r="K7" s="35" t="e">
        <f t="shared" si="2"/>
        <v>#REF!</v>
      </c>
      <c r="L7" s="33" t="e">
        <f>AVERAGE($K$3:K7)</f>
        <v>#REF!</v>
      </c>
      <c r="M7" s="33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[1]ArdiData!A8</f>
        <v>6</v>
      </c>
      <c r="B8" s="36" t="e">
        <f>ROUND(#REF!/10,0)</f>
        <v>#REF!</v>
      </c>
      <c r="C8" s="51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36" t="e">
        <f t="shared" si="7"/>
        <v>#REF!</v>
      </c>
      <c r="I8" s="36" t="e">
        <f t="shared" si="0"/>
        <v>#REF!</v>
      </c>
      <c r="J8" s="35" t="e">
        <f t="shared" si="1"/>
        <v>#REF!</v>
      </c>
      <c r="K8" s="35" t="e">
        <f t="shared" si="2"/>
        <v>#REF!</v>
      </c>
      <c r="L8" s="33" t="e">
        <f>AVERAGE($K$3:K8)</f>
        <v>#REF!</v>
      </c>
      <c r="M8" s="33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[1]ArdiData!A9</f>
        <v>7</v>
      </c>
      <c r="B9" s="36" t="e">
        <f>ROUND(#REF!/10,0)</f>
        <v>#REF!</v>
      </c>
      <c r="C9" s="51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36" t="e">
        <f t="shared" si="7"/>
        <v>#REF!</v>
      </c>
      <c r="I9" s="36" t="e">
        <f t="shared" si="0"/>
        <v>#REF!</v>
      </c>
      <c r="J9" s="35" t="e">
        <f t="shared" si="1"/>
        <v>#REF!</v>
      </c>
      <c r="K9" s="35" t="e">
        <f t="shared" si="2"/>
        <v>#REF!</v>
      </c>
      <c r="L9" s="33" t="e">
        <f>AVERAGE($K$3:K9)</f>
        <v>#REF!</v>
      </c>
      <c r="M9" s="33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[1]ArdiData!A10</f>
        <v>8</v>
      </c>
      <c r="B10" s="36" t="e">
        <f>ROUND(#REF!/10,0)</f>
        <v>#REF!</v>
      </c>
      <c r="C10" s="51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36" t="e">
        <f t="shared" si="7"/>
        <v>#REF!</v>
      </c>
      <c r="I10" s="36" t="e">
        <f t="shared" si="0"/>
        <v>#REF!</v>
      </c>
      <c r="J10" s="35" t="e">
        <f t="shared" si="1"/>
        <v>#REF!</v>
      </c>
      <c r="K10" s="35" t="e">
        <f t="shared" si="2"/>
        <v>#REF!</v>
      </c>
      <c r="L10" s="33" t="e">
        <f>AVERAGE($K$3:K10)</f>
        <v>#REF!</v>
      </c>
      <c r="M10" s="33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[1]ArdiData!A11</f>
        <v>9</v>
      </c>
      <c r="B11" s="36" t="e">
        <f>ROUND(#REF!/10,0)</f>
        <v>#REF!</v>
      </c>
      <c r="C11" s="51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36" t="e">
        <f t="shared" si="7"/>
        <v>#REF!</v>
      </c>
      <c r="I11" s="36" t="e">
        <f t="shared" si="0"/>
        <v>#REF!</v>
      </c>
      <c r="J11" s="35" t="e">
        <f t="shared" si="1"/>
        <v>#REF!</v>
      </c>
      <c r="K11" s="35" t="e">
        <f t="shared" si="2"/>
        <v>#REF!</v>
      </c>
      <c r="L11" s="33" t="e">
        <f>AVERAGE($K$3:K11)</f>
        <v>#REF!</v>
      </c>
      <c r="M11" s="33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[1]ArdiData!A12</f>
        <v>10</v>
      </c>
      <c r="B12" s="36" t="e">
        <f>ROUND(#REF!/10,0)</f>
        <v>#REF!</v>
      </c>
      <c r="C12" s="51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36" t="e">
        <f t="shared" si="7"/>
        <v>#REF!</v>
      </c>
      <c r="I12" s="36" t="e">
        <f t="shared" si="0"/>
        <v>#REF!</v>
      </c>
      <c r="J12" s="35" t="e">
        <f t="shared" si="1"/>
        <v>#REF!</v>
      </c>
      <c r="K12" s="35" t="e">
        <f t="shared" si="2"/>
        <v>#REF!</v>
      </c>
      <c r="L12" s="33" t="e">
        <f>AVERAGE($K$3:K12)</f>
        <v>#REF!</v>
      </c>
      <c r="M12" s="33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[1]ArdiData!A13</f>
        <v>11</v>
      </c>
      <c r="B13" s="36" t="e">
        <f>ROUND(#REF!/10,0)</f>
        <v>#REF!</v>
      </c>
      <c r="C13" s="51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36" t="e">
        <f t="shared" si="7"/>
        <v>#REF!</v>
      </c>
      <c r="I13" s="36" t="e">
        <f t="shared" si="0"/>
        <v>#REF!</v>
      </c>
      <c r="J13" s="35" t="e">
        <f t="shared" si="1"/>
        <v>#REF!</v>
      </c>
      <c r="K13" s="35" t="e">
        <f t="shared" si="2"/>
        <v>#REF!</v>
      </c>
      <c r="L13" s="33" t="e">
        <f>AVERAGE($K$3:K13)</f>
        <v>#REF!</v>
      </c>
      <c r="M13" s="33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[1]ArdiData!A14</f>
        <v>12</v>
      </c>
      <c r="B14" s="36" t="e">
        <f>ROUND(#REF!/10,0)</f>
        <v>#REF!</v>
      </c>
      <c r="C14" s="51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36" t="e">
        <f t="shared" si="7"/>
        <v>#REF!</v>
      </c>
      <c r="I14" s="36" t="e">
        <f t="shared" si="0"/>
        <v>#REF!</v>
      </c>
      <c r="J14" s="35" t="e">
        <f t="shared" si="1"/>
        <v>#REF!</v>
      </c>
      <c r="K14" s="35" t="e">
        <f t="shared" si="2"/>
        <v>#REF!</v>
      </c>
      <c r="L14" s="33" t="e">
        <f>AVERAGE($K$3:K14)</f>
        <v>#REF!</v>
      </c>
      <c r="M14" s="33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[1]ArdiData!A15</f>
        <v>13</v>
      </c>
      <c r="B15" s="36" t="e">
        <f>ROUND(#REF!/10,0)</f>
        <v>#REF!</v>
      </c>
      <c r="C15" s="51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36" t="e">
        <f t="shared" si="7"/>
        <v>#REF!</v>
      </c>
      <c r="I15" s="36" t="e">
        <f t="shared" si="0"/>
        <v>#REF!</v>
      </c>
      <c r="J15" s="35" t="e">
        <f t="shared" si="1"/>
        <v>#REF!</v>
      </c>
      <c r="K15" s="35" t="e">
        <f t="shared" si="2"/>
        <v>#REF!</v>
      </c>
      <c r="L15" s="33" t="e">
        <f>AVERAGE($K$3:K15)</f>
        <v>#REF!</v>
      </c>
      <c r="M15" s="33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[1]ArdiData!A16</f>
        <v>14</v>
      </c>
      <c r="B16" s="36" t="e">
        <f>ROUND(#REF!/10,0)</f>
        <v>#REF!</v>
      </c>
      <c r="C16" s="51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36" t="e">
        <f t="shared" si="7"/>
        <v>#REF!</v>
      </c>
      <c r="I16" s="36" t="e">
        <f t="shared" si="0"/>
        <v>#REF!</v>
      </c>
      <c r="J16" s="35" t="e">
        <f t="shared" si="1"/>
        <v>#REF!</v>
      </c>
      <c r="K16" s="35" t="e">
        <f t="shared" si="2"/>
        <v>#REF!</v>
      </c>
      <c r="L16" s="33" t="e">
        <f>AVERAGE($K$3:K16)</f>
        <v>#REF!</v>
      </c>
      <c r="M16" s="33" t="e">
        <f>SUM(J$3:J16)/L16</f>
        <v>#REF!</v>
      </c>
      <c r="N16" s="3" t="e">
        <f>MIN(O5:O15)</f>
        <v>#REF!</v>
      </c>
    </row>
    <row r="17" spans="1:26" x14ac:dyDescent="0.2">
      <c r="A17" s="2">
        <f>[1]ArdiData!A17</f>
        <v>15</v>
      </c>
      <c r="B17" s="36" t="e">
        <f>ROUND(#REF!/10,0)</f>
        <v>#REF!</v>
      </c>
      <c r="C17" s="51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36" t="e">
        <f t="shared" si="7"/>
        <v>#REF!</v>
      </c>
      <c r="I17" s="36" t="e">
        <f t="shared" si="0"/>
        <v>#REF!</v>
      </c>
      <c r="J17" s="35" t="e">
        <f t="shared" si="1"/>
        <v>#REF!</v>
      </c>
      <c r="K17" s="35" t="e">
        <f t="shared" si="2"/>
        <v>#REF!</v>
      </c>
      <c r="L17" s="33" t="e">
        <f>AVERAGE($K$3:K17)</f>
        <v>#REF!</v>
      </c>
      <c r="M17" s="33" t="e">
        <f>SUM(J$3:J17)/L17</f>
        <v>#REF!</v>
      </c>
      <c r="N17" s="44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[1]ArdiData!A18</f>
        <v>16</v>
      </c>
      <c r="B18" s="36" t="e">
        <f>ROUND(#REF!/10,0)</f>
        <v>#REF!</v>
      </c>
      <c r="C18" s="51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36" t="e">
        <f t="shared" si="7"/>
        <v>#REF!</v>
      </c>
      <c r="I18" s="36" t="e">
        <f t="shared" si="0"/>
        <v>#REF!</v>
      </c>
      <c r="J18" s="35" t="e">
        <f t="shared" si="1"/>
        <v>#REF!</v>
      </c>
      <c r="K18" s="35" t="e">
        <f t="shared" si="2"/>
        <v>#REF!</v>
      </c>
      <c r="L18" s="33" t="e">
        <f>AVERAGE($K$3:K18)</f>
        <v>#REF!</v>
      </c>
      <c r="M18" s="33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[1]ArdiData!A19</f>
        <v>17</v>
      </c>
      <c r="B19" s="36" t="e">
        <f>ROUND(#REF!/10,0)</f>
        <v>#REF!</v>
      </c>
      <c r="C19" s="51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36" t="e">
        <f t="shared" si="7"/>
        <v>#REF!</v>
      </c>
      <c r="I19" s="36" t="e">
        <f t="shared" si="0"/>
        <v>#REF!</v>
      </c>
      <c r="J19" s="35" t="e">
        <f t="shared" si="1"/>
        <v>#REF!</v>
      </c>
      <c r="K19" s="35" t="e">
        <f t="shared" si="2"/>
        <v>#REF!</v>
      </c>
      <c r="L19" s="33" t="e">
        <f>AVERAGE($K$3:K19)</f>
        <v>#REF!</v>
      </c>
      <c r="M19" s="33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[1]ArdiData!A20</f>
        <v>18</v>
      </c>
      <c r="B20" s="36" t="e">
        <f>ROUND(#REF!/10,0)</f>
        <v>#REF!</v>
      </c>
      <c r="C20" s="51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36" t="e">
        <f t="shared" si="7"/>
        <v>#REF!</v>
      </c>
      <c r="I20" s="36" t="e">
        <f t="shared" si="0"/>
        <v>#REF!</v>
      </c>
      <c r="J20" s="35" t="e">
        <f t="shared" si="1"/>
        <v>#REF!</v>
      </c>
      <c r="K20" s="35" t="e">
        <f t="shared" si="2"/>
        <v>#REF!</v>
      </c>
      <c r="L20" s="33" t="e">
        <f>AVERAGE($K$3:K20)</f>
        <v>#REF!</v>
      </c>
      <c r="M20" s="33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[1]ArdiData!A21</f>
        <v>19</v>
      </c>
      <c r="B21" s="36" t="e">
        <f>ROUND(#REF!/10,0)</f>
        <v>#REF!</v>
      </c>
      <c r="C21" s="51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36" t="e">
        <f t="shared" si="7"/>
        <v>#REF!</v>
      </c>
      <c r="I21" s="36" t="e">
        <f t="shared" si="0"/>
        <v>#REF!</v>
      </c>
      <c r="J21" s="35" t="e">
        <f t="shared" si="1"/>
        <v>#REF!</v>
      </c>
      <c r="K21" s="35" t="e">
        <f t="shared" si="2"/>
        <v>#REF!</v>
      </c>
      <c r="L21" s="33" t="e">
        <f>AVERAGE($K$3:K21)</f>
        <v>#REF!</v>
      </c>
      <c r="M21" s="33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[1]ArdiData!A22</f>
        <v>20</v>
      </c>
      <c r="B22" s="36" t="e">
        <f>ROUND(#REF!/10,0)</f>
        <v>#REF!</v>
      </c>
      <c r="C22" s="51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36" t="e">
        <f t="shared" si="7"/>
        <v>#REF!</v>
      </c>
      <c r="I22" s="36" t="e">
        <f t="shared" si="0"/>
        <v>#REF!</v>
      </c>
      <c r="J22" s="35" t="e">
        <f t="shared" si="1"/>
        <v>#REF!</v>
      </c>
      <c r="K22" s="35" t="e">
        <f t="shared" si="2"/>
        <v>#REF!</v>
      </c>
      <c r="L22" s="33" t="e">
        <f>AVERAGE($K$3:K22)</f>
        <v>#REF!</v>
      </c>
      <c r="M22" s="33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[1]ArdiData!A23</f>
        <v>21</v>
      </c>
      <c r="B23" s="36" t="e">
        <f>ROUND(#REF!/10,0)</f>
        <v>#REF!</v>
      </c>
      <c r="C23" s="51" t="e">
        <f t="shared" si="3"/>
        <v>#REF!</v>
      </c>
      <c r="D23" s="6" t="e">
        <f t="shared" si="4"/>
        <v>#REF!</v>
      </c>
      <c r="E23" s="6" t="e">
        <f t="shared" si="5"/>
        <v>#REF!</v>
      </c>
      <c r="F23" s="50" t="e">
        <f>AVERAGE($E$4:E23)</f>
        <v>#REF!</v>
      </c>
      <c r="G23" s="3" t="e">
        <f t="shared" si="6"/>
        <v>#REF!</v>
      </c>
      <c r="H23" s="36" t="e">
        <f t="shared" si="7"/>
        <v>#REF!</v>
      </c>
      <c r="I23" s="36" t="e">
        <f t="shared" si="0"/>
        <v>#REF!</v>
      </c>
      <c r="J23" s="35" t="e">
        <f t="shared" si="1"/>
        <v>#REF!</v>
      </c>
      <c r="K23" s="35" t="e">
        <f t="shared" si="2"/>
        <v>#REF!</v>
      </c>
      <c r="L23" s="33" t="e">
        <f>AVERAGE($K$3:K23)</f>
        <v>#REF!</v>
      </c>
      <c r="M23" s="33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70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49" t="e">
        <f>MIN(O18:Y28)</f>
        <v>#REF!</v>
      </c>
    </row>
    <row r="30" spans="1:26" x14ac:dyDescent="0.2">
      <c r="G30" s="8" t="s">
        <v>69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4" sqref="F4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68" t="s">
        <v>85</v>
      </c>
      <c r="B1" s="4">
        <v>1</v>
      </c>
      <c r="C1" s="67">
        <v>8000</v>
      </c>
    </row>
    <row r="2" spans="1:7" x14ac:dyDescent="0.25">
      <c r="A2" s="56" t="s">
        <v>84</v>
      </c>
      <c r="B2" s="5">
        <v>2</v>
      </c>
      <c r="C2" s="59">
        <v>13000</v>
      </c>
    </row>
    <row r="3" spans="1:7" x14ac:dyDescent="0.25">
      <c r="A3" s="56" t="s">
        <v>83</v>
      </c>
      <c r="B3" s="5">
        <v>3</v>
      </c>
      <c r="C3" s="59">
        <v>23000</v>
      </c>
      <c r="D3">
        <f t="shared" ref="D3:D10" si="0">(C1+2*(C2+C3+C4)+C5)/8</f>
        <v>19750</v>
      </c>
      <c r="E3" s="58">
        <f t="shared" ref="E3:E10" si="1">C3/D3</f>
        <v>1.1645569620253164</v>
      </c>
      <c r="F3" s="63">
        <f>C3/D3</f>
        <v>1.1645569620253164</v>
      </c>
    </row>
    <row r="4" spans="1:7" x14ac:dyDescent="0.25">
      <c r="A4" s="56" t="s">
        <v>82</v>
      </c>
      <c r="B4" s="5">
        <v>4</v>
      </c>
      <c r="C4" s="59">
        <v>34000</v>
      </c>
      <c r="D4">
        <f t="shared" si="0"/>
        <v>20625</v>
      </c>
      <c r="E4" s="58">
        <f t="shared" si="1"/>
        <v>1.6484848484848484</v>
      </c>
      <c r="F4" s="61">
        <f t="shared" ref="F4:F10" si="2">C4/D4</f>
        <v>1.6484848484848484</v>
      </c>
      <c r="G4" s="66">
        <f>(F4+F8)/2</f>
        <v>1.682999486389317</v>
      </c>
    </row>
    <row r="5" spans="1:7" x14ac:dyDescent="0.25">
      <c r="A5" s="56" t="s">
        <v>81</v>
      </c>
      <c r="B5" s="5">
        <v>5</v>
      </c>
      <c r="C5" s="59">
        <v>10000</v>
      </c>
      <c r="D5">
        <f t="shared" si="0"/>
        <v>21250</v>
      </c>
      <c r="E5" s="58">
        <f t="shared" si="1"/>
        <v>0.47058823529411764</v>
      </c>
      <c r="F5" s="60">
        <f t="shared" si="2"/>
        <v>0.47058823529411764</v>
      </c>
      <c r="G5" s="65">
        <f>(F5+F9)/2</f>
        <v>0.50048748781280472</v>
      </c>
    </row>
    <row r="6" spans="1:7" x14ac:dyDescent="0.25">
      <c r="A6" s="56" t="s">
        <v>80</v>
      </c>
      <c r="B6" s="5">
        <v>6</v>
      </c>
      <c r="C6" s="59">
        <v>18000</v>
      </c>
      <c r="D6">
        <f t="shared" si="0"/>
        <v>21750</v>
      </c>
      <c r="E6" s="58">
        <f t="shared" si="1"/>
        <v>0.82758620689655171</v>
      </c>
      <c r="F6" s="57">
        <f t="shared" si="2"/>
        <v>0.82758620689655171</v>
      </c>
      <c r="G6" s="64">
        <f>(F6+F10)/2</f>
        <v>0.68322315526174737</v>
      </c>
    </row>
    <row r="7" spans="1:7" x14ac:dyDescent="0.25">
      <c r="A7" s="56" t="s">
        <v>79</v>
      </c>
      <c r="B7" s="5">
        <v>7</v>
      </c>
      <c r="C7" s="59">
        <v>23000</v>
      </c>
      <c r="D7">
        <f t="shared" si="0"/>
        <v>22500</v>
      </c>
      <c r="E7" s="58">
        <f t="shared" si="1"/>
        <v>1.0222222222222221</v>
      </c>
      <c r="F7" s="63">
        <f t="shared" si="2"/>
        <v>1.0222222222222221</v>
      </c>
      <c r="G7" s="62">
        <f>(F7+F3)/2</f>
        <v>1.0933895921237693</v>
      </c>
    </row>
    <row r="8" spans="1:7" x14ac:dyDescent="0.25">
      <c r="A8" s="56" t="s">
        <v>78</v>
      </c>
      <c r="B8" s="5">
        <v>8</v>
      </c>
      <c r="C8" s="59">
        <v>38000</v>
      </c>
      <c r="D8">
        <f t="shared" si="0"/>
        <v>22125</v>
      </c>
      <c r="E8" s="58">
        <f t="shared" si="1"/>
        <v>1.7175141242937852</v>
      </c>
      <c r="F8" s="61">
        <f t="shared" si="2"/>
        <v>1.7175141242937852</v>
      </c>
    </row>
    <row r="9" spans="1:7" x14ac:dyDescent="0.25">
      <c r="A9" s="56" t="s">
        <v>77</v>
      </c>
      <c r="B9" s="5">
        <v>9</v>
      </c>
      <c r="C9" s="59">
        <v>12000</v>
      </c>
      <c r="D9">
        <f t="shared" si="0"/>
        <v>22625</v>
      </c>
      <c r="E9" s="58">
        <f t="shared" si="1"/>
        <v>0.53038674033149169</v>
      </c>
      <c r="F9" s="60">
        <f t="shared" si="2"/>
        <v>0.53038674033149169</v>
      </c>
    </row>
    <row r="10" spans="1:7" x14ac:dyDescent="0.25">
      <c r="A10" s="56" t="s">
        <v>76</v>
      </c>
      <c r="B10" s="5">
        <v>10</v>
      </c>
      <c r="C10" s="59">
        <v>13000</v>
      </c>
      <c r="D10">
        <f t="shared" si="0"/>
        <v>24125</v>
      </c>
      <c r="E10" s="58">
        <f t="shared" si="1"/>
        <v>0.53886010362694303</v>
      </c>
      <c r="F10" s="57">
        <f t="shared" si="2"/>
        <v>0.53886010362694303</v>
      </c>
    </row>
    <row r="11" spans="1:7" x14ac:dyDescent="0.25">
      <c r="A11" s="56" t="s">
        <v>75</v>
      </c>
      <c r="B11" s="5">
        <v>11</v>
      </c>
      <c r="C11" s="55">
        <v>32000</v>
      </c>
    </row>
    <row r="12" spans="1:7" ht="15.75" thickBot="1" x14ac:dyDescent="0.3">
      <c r="A12" s="54" t="s">
        <v>74</v>
      </c>
      <c r="B12" s="7">
        <v>12</v>
      </c>
      <c r="C12" s="53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5282-E34B-47FC-A905-1F89C5D9C65C}">
  <dimension ref="A1:AQ181"/>
  <sheetViews>
    <sheetView zoomScale="96" zoomScaleNormal="96" workbookViewId="0">
      <selection activeCell="S12" sqref="S12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16384" width="9.140625" style="85"/>
  </cols>
  <sheetData>
    <row r="1" spans="1:2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</row>
    <row r="2" spans="1:2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14 - 21</v>
      </c>
      <c r="G2" s="164">
        <f>Y4</f>
        <v>14</v>
      </c>
      <c r="H2" s="96">
        <f t="shared" ref="H2:H14" si="1">G2+$Y$3</f>
        <v>21</v>
      </c>
      <c r="I2" s="137">
        <f t="shared" ref="I2:I14" si="2">COUNTIF($B$3:$B$86, "&lt;"&amp;H2)</f>
        <v>1</v>
      </c>
      <c r="J2" s="97">
        <f>I2</f>
        <v>1</v>
      </c>
      <c r="K2" s="98">
        <f t="shared" ref="K2:K14" si="3">J2/$J$15</f>
        <v>3.5714285714285712E-2</v>
      </c>
      <c r="L2" s="99">
        <f t="shared" ref="L2:L14" si="4">I2/$J$15</f>
        <v>3.5714285714285712E-2</v>
      </c>
      <c r="N2" s="163" t="s">
        <v>12</v>
      </c>
      <c r="O2" s="162">
        <f>AVERAGE($B$3:$B$86)</f>
        <v>47.214285714285715</v>
      </c>
      <c r="P2" s="162">
        <f>AVERAGE($B$3:$B$86)</f>
        <v>47.214285714285715</v>
      </c>
      <c r="Q2" s="162">
        <f>AVERAGE($B$3:$B$86)</f>
        <v>47.214285714285715</v>
      </c>
      <c r="R2" s="162">
        <f>AVERAGE($D$3:$D$86)</f>
        <v>47.214285714285715</v>
      </c>
      <c r="V2" s="85" t="s">
        <v>94</v>
      </c>
      <c r="Y2" s="85">
        <f>ROUND(O6/10,0)</f>
        <v>7</v>
      </c>
    </row>
    <row r="3" spans="1:25" ht="17.25" thickBot="1" x14ac:dyDescent="0.35">
      <c r="A3" s="9">
        <v>1</v>
      </c>
      <c r="B3" s="100">
        <v>65</v>
      </c>
      <c r="C3" s="101">
        <v>20</v>
      </c>
      <c r="D3" s="102">
        <v>20</v>
      </c>
      <c r="E3" s="142">
        <v>42</v>
      </c>
      <c r="F3" s="104" t="str">
        <f t="shared" si="0"/>
        <v>21 - 28</v>
      </c>
      <c r="G3" s="105">
        <f t="shared" ref="G3:G14" si="5">H2</f>
        <v>21</v>
      </c>
      <c r="H3" s="106">
        <f t="shared" si="1"/>
        <v>28</v>
      </c>
      <c r="I3" s="137">
        <f t="shared" si="2"/>
        <v>3</v>
      </c>
      <c r="J3" s="157">
        <f t="shared" ref="J3:J14" si="6">I3-I2</f>
        <v>2</v>
      </c>
      <c r="K3" s="130">
        <f t="shared" si="3"/>
        <v>7.1428571428571425E-2</v>
      </c>
      <c r="L3" s="109">
        <f t="shared" si="4"/>
        <v>0.10714285714285714</v>
      </c>
      <c r="N3" s="133" t="s">
        <v>91</v>
      </c>
      <c r="O3" s="135">
        <f>MEDIAN(B$3:B$86)</f>
        <v>45</v>
      </c>
      <c r="P3" s="135">
        <f>MEDIAN(C$3:C$86)</f>
        <v>45</v>
      </c>
      <c r="Q3" s="135">
        <f>MEDIAN(D$3:D$86)</f>
        <v>45</v>
      </c>
      <c r="R3" s="135">
        <f>MEDIAN(E$3:E$86)</f>
        <v>45</v>
      </c>
      <c r="V3" s="85" t="s">
        <v>95</v>
      </c>
      <c r="Y3" s="85">
        <f>ROUND(Y2,-LEN(Y2)+1)</f>
        <v>7</v>
      </c>
    </row>
    <row r="4" spans="1:25" ht="17.25" thickBot="1" x14ac:dyDescent="0.35">
      <c r="A4" s="9">
        <v>2</v>
      </c>
      <c r="B4" s="100">
        <v>31</v>
      </c>
      <c r="C4" s="101">
        <v>21</v>
      </c>
      <c r="D4" s="102">
        <v>33</v>
      </c>
      <c r="E4" s="142">
        <v>73</v>
      </c>
      <c r="F4" s="104" t="str">
        <f t="shared" si="0"/>
        <v>28 - 35</v>
      </c>
      <c r="G4" s="105">
        <f t="shared" si="5"/>
        <v>28</v>
      </c>
      <c r="H4" s="106">
        <f t="shared" si="1"/>
        <v>35</v>
      </c>
      <c r="I4" s="137">
        <f t="shared" si="2"/>
        <v>7</v>
      </c>
      <c r="J4" s="157">
        <f t="shared" si="6"/>
        <v>4</v>
      </c>
      <c r="K4" s="130">
        <f t="shared" si="3"/>
        <v>0.14285714285714285</v>
      </c>
      <c r="L4" s="109">
        <f t="shared" si="4"/>
        <v>0.25</v>
      </c>
      <c r="N4" s="161" t="s">
        <v>13</v>
      </c>
      <c r="O4" s="160">
        <f>MAX(B$3:B$86)</f>
        <v>92</v>
      </c>
      <c r="P4" s="160">
        <f>MAX(C$3:C$86)</f>
        <v>92</v>
      </c>
      <c r="Q4" s="160">
        <f>MAX(D$3:D$86)</f>
        <v>92</v>
      </c>
      <c r="R4" s="160">
        <f>MAX(E$3:E$86)</f>
        <v>92</v>
      </c>
      <c r="V4" s="85" t="s">
        <v>96</v>
      </c>
      <c r="Y4" s="85">
        <f>Y3*INT(O5/Y3)</f>
        <v>14</v>
      </c>
    </row>
    <row r="5" spans="1:25" ht="17.25" thickBot="1" x14ac:dyDescent="0.35">
      <c r="A5" s="9">
        <v>3</v>
      </c>
      <c r="B5" s="100">
        <v>37</v>
      </c>
      <c r="C5" s="101">
        <v>27</v>
      </c>
      <c r="D5" s="102">
        <v>42</v>
      </c>
      <c r="E5" s="142">
        <v>46</v>
      </c>
      <c r="F5" s="104" t="str">
        <f t="shared" si="0"/>
        <v>35 - 42</v>
      </c>
      <c r="G5" s="105">
        <f t="shared" si="5"/>
        <v>35</v>
      </c>
      <c r="H5" s="106">
        <f t="shared" si="1"/>
        <v>42</v>
      </c>
      <c r="I5" s="137">
        <f t="shared" si="2"/>
        <v>12</v>
      </c>
      <c r="J5" s="157">
        <f t="shared" si="6"/>
        <v>5</v>
      </c>
      <c r="K5" s="130">
        <f t="shared" si="3"/>
        <v>0.17857142857142858</v>
      </c>
      <c r="L5" s="109">
        <f t="shared" si="4"/>
        <v>0.42857142857142855</v>
      </c>
      <c r="N5" s="161" t="s">
        <v>14</v>
      </c>
      <c r="O5" s="160">
        <f>MIN(B$3:B$84)</f>
        <v>20</v>
      </c>
      <c r="P5" s="160">
        <f>MIN(C$3:C$84)</f>
        <v>20</v>
      </c>
      <c r="Q5" s="160">
        <f>MIN(D$3:D$84)</f>
        <v>20</v>
      </c>
      <c r="R5" s="160">
        <f>MIN(E$3:E$84)</f>
        <v>20</v>
      </c>
      <c r="V5" s="85" t="s">
        <v>93</v>
      </c>
      <c r="Y5" s="85">
        <f>ROUNDUP(O4/Y3,0)</f>
        <v>14</v>
      </c>
    </row>
    <row r="6" spans="1:25" ht="17.25" thickBot="1" x14ac:dyDescent="0.35">
      <c r="A6" s="9">
        <v>4</v>
      </c>
      <c r="B6" s="100">
        <v>59</v>
      </c>
      <c r="C6" s="101">
        <v>31</v>
      </c>
      <c r="D6" s="102">
        <v>21</v>
      </c>
      <c r="E6" s="142">
        <v>44</v>
      </c>
      <c r="F6" s="104" t="str">
        <f t="shared" si="0"/>
        <v>42 - 49</v>
      </c>
      <c r="G6" s="105">
        <f t="shared" si="5"/>
        <v>42</v>
      </c>
      <c r="H6" s="106">
        <f t="shared" si="1"/>
        <v>49</v>
      </c>
      <c r="I6" s="137">
        <f t="shared" si="2"/>
        <v>16</v>
      </c>
      <c r="J6" s="157">
        <f t="shared" si="6"/>
        <v>4</v>
      </c>
      <c r="K6" s="130">
        <f t="shared" si="3"/>
        <v>0.14285714285714285</v>
      </c>
      <c r="L6" s="109">
        <f t="shared" si="4"/>
        <v>0.5714285714285714</v>
      </c>
      <c r="N6" s="161" t="s">
        <v>5</v>
      </c>
      <c r="O6" s="160">
        <f>O4-O5</f>
        <v>72</v>
      </c>
      <c r="P6" s="160">
        <f>P4-P5</f>
        <v>72</v>
      </c>
      <c r="Q6" s="160">
        <f>Q4-Q5</f>
        <v>72</v>
      </c>
      <c r="R6" s="160">
        <f>R4-R5</f>
        <v>72</v>
      </c>
      <c r="V6" s="85" t="s">
        <v>97</v>
      </c>
      <c r="Y6" s="85">
        <f>Y5*Y3</f>
        <v>98</v>
      </c>
    </row>
    <row r="7" spans="1:25" ht="17.25" thickBot="1" x14ac:dyDescent="0.35">
      <c r="A7" s="9">
        <v>5</v>
      </c>
      <c r="B7" s="100">
        <v>42</v>
      </c>
      <c r="C7" s="101">
        <v>33</v>
      </c>
      <c r="D7" s="102">
        <v>37</v>
      </c>
      <c r="E7" s="142">
        <v>21</v>
      </c>
      <c r="F7" s="104" t="str">
        <f t="shared" si="0"/>
        <v>49 - 56</v>
      </c>
      <c r="G7" s="105">
        <f t="shared" si="5"/>
        <v>49</v>
      </c>
      <c r="H7" s="106">
        <f t="shared" si="1"/>
        <v>56</v>
      </c>
      <c r="I7" s="137">
        <f t="shared" si="2"/>
        <v>20</v>
      </c>
      <c r="J7" s="157">
        <f t="shared" si="6"/>
        <v>4</v>
      </c>
      <c r="K7" s="130">
        <f t="shared" si="3"/>
        <v>0.14285714285714285</v>
      </c>
      <c r="L7" s="109">
        <f t="shared" si="4"/>
        <v>0.7142857142857143</v>
      </c>
      <c r="N7" s="161" t="s">
        <v>15</v>
      </c>
      <c r="O7" s="160">
        <f>_xlfn.STDEV.S(B$3:B$86)</f>
        <v>17.012755874162842</v>
      </c>
      <c r="P7" s="160">
        <f>_xlfn.STDEV.S(C$3:C$86)</f>
        <v>17.012755874162842</v>
      </c>
      <c r="Q7" s="160">
        <f>_xlfn.STDEV.S(D$3:D$86)</f>
        <v>17.012755874162842</v>
      </c>
      <c r="R7" s="160">
        <f>_xlfn.STDEV.S(E$3:E$86)</f>
        <v>17.012755874162842</v>
      </c>
      <c r="V7" s="85" t="s">
        <v>98</v>
      </c>
      <c r="Y7" s="85">
        <v>4</v>
      </c>
    </row>
    <row r="8" spans="1:25" ht="17.25" thickBot="1" x14ac:dyDescent="0.35">
      <c r="A8" s="9">
        <v>6</v>
      </c>
      <c r="B8" s="100">
        <v>47</v>
      </c>
      <c r="C8" s="101">
        <v>33</v>
      </c>
      <c r="D8" s="102">
        <v>37</v>
      </c>
      <c r="E8" s="142">
        <v>65</v>
      </c>
      <c r="F8" s="104" t="str">
        <f t="shared" si="0"/>
        <v>56 - 63</v>
      </c>
      <c r="G8" s="105">
        <f t="shared" si="5"/>
        <v>56</v>
      </c>
      <c r="H8" s="106">
        <f t="shared" si="1"/>
        <v>63</v>
      </c>
      <c r="I8" s="137">
        <f t="shared" si="2"/>
        <v>23</v>
      </c>
      <c r="J8" s="157">
        <f t="shared" si="6"/>
        <v>3</v>
      </c>
      <c r="K8" s="130">
        <f t="shared" si="3"/>
        <v>0.10714285714285714</v>
      </c>
      <c r="L8" s="109">
        <f t="shared" si="4"/>
        <v>0.8214285714285714</v>
      </c>
      <c r="N8" s="161" t="s">
        <v>16</v>
      </c>
      <c r="O8" s="160">
        <f>O7/O2</f>
        <v>0.36033068417288922</v>
      </c>
      <c r="P8" s="160">
        <f>P7/P2</f>
        <v>0.36033068417288922</v>
      </c>
      <c r="Q8" s="160">
        <f>Q7/Q2</f>
        <v>0.36033068417288922</v>
      </c>
      <c r="R8" s="160">
        <f>R7/R2</f>
        <v>0.36033068417288922</v>
      </c>
    </row>
    <row r="9" spans="1:25" ht="17.25" thickBot="1" x14ac:dyDescent="0.35">
      <c r="A9" s="9">
        <v>7</v>
      </c>
      <c r="B9" s="100">
        <v>33</v>
      </c>
      <c r="C9" s="101">
        <v>34</v>
      </c>
      <c r="D9" s="102">
        <v>53</v>
      </c>
      <c r="E9" s="142">
        <v>47</v>
      </c>
      <c r="F9" s="104" t="str">
        <f t="shared" si="0"/>
        <v>63 - 70</v>
      </c>
      <c r="G9" s="105">
        <f t="shared" si="5"/>
        <v>63</v>
      </c>
      <c r="H9" s="106">
        <f t="shared" si="1"/>
        <v>70</v>
      </c>
      <c r="I9" s="137">
        <f t="shared" si="2"/>
        <v>25</v>
      </c>
      <c r="J9" s="157">
        <f t="shared" si="6"/>
        <v>2</v>
      </c>
      <c r="K9" s="130">
        <f t="shared" si="3"/>
        <v>7.1428571428571425E-2</v>
      </c>
      <c r="L9" s="109">
        <f t="shared" si="4"/>
        <v>0.8928571428571429</v>
      </c>
      <c r="N9" s="133" t="s">
        <v>92</v>
      </c>
      <c r="O9" s="134">
        <f>O2/O3</f>
        <v>1.0492063492063493</v>
      </c>
      <c r="P9" s="134">
        <f>P2/P3</f>
        <v>1.0492063492063493</v>
      </c>
      <c r="Q9" s="134">
        <f>Q2/Q3</f>
        <v>1.0492063492063493</v>
      </c>
      <c r="R9" s="134">
        <f>R2/R3</f>
        <v>1.0492063492063493</v>
      </c>
    </row>
    <row r="10" spans="1:25" ht="17.25" thickBot="1" x14ac:dyDescent="0.35">
      <c r="A10" s="9">
        <v>8</v>
      </c>
      <c r="B10" s="100">
        <v>46</v>
      </c>
      <c r="C10" s="101">
        <v>37</v>
      </c>
      <c r="D10" s="102">
        <v>33</v>
      </c>
      <c r="E10" s="142">
        <v>38</v>
      </c>
      <c r="F10" s="104" t="str">
        <f t="shared" si="0"/>
        <v>70 - 77</v>
      </c>
      <c r="G10" s="105">
        <f t="shared" si="5"/>
        <v>70</v>
      </c>
      <c r="H10" s="106">
        <f t="shared" si="1"/>
        <v>77</v>
      </c>
      <c r="I10" s="137">
        <f t="shared" si="2"/>
        <v>26</v>
      </c>
      <c r="J10" s="157">
        <f t="shared" si="6"/>
        <v>1</v>
      </c>
      <c r="K10" s="130">
        <f t="shared" si="3"/>
        <v>3.5714285714285712E-2</v>
      </c>
      <c r="L10" s="109">
        <f t="shared" si="4"/>
        <v>0.9285714285714286</v>
      </c>
      <c r="N10" s="159" t="s">
        <v>90</v>
      </c>
      <c r="O10" s="158">
        <f>O6/O2</f>
        <v>1.5249621785173979</v>
      </c>
      <c r="P10" s="158">
        <f>P6/P2</f>
        <v>1.5249621785173979</v>
      </c>
      <c r="Q10" s="158">
        <f>Q6/Q2</f>
        <v>1.5249621785173979</v>
      </c>
      <c r="R10" s="158">
        <f>R6/R2</f>
        <v>1.5249621785173979</v>
      </c>
    </row>
    <row r="11" spans="1:25" ht="17.25" thickBot="1" x14ac:dyDescent="0.35">
      <c r="A11" s="9">
        <v>9</v>
      </c>
      <c r="B11" s="100">
        <v>21</v>
      </c>
      <c r="C11" s="101">
        <v>37</v>
      </c>
      <c r="D11" s="102">
        <v>41</v>
      </c>
      <c r="E11" s="142">
        <v>31</v>
      </c>
      <c r="F11" s="104" t="str">
        <f t="shared" si="0"/>
        <v>77 - 84</v>
      </c>
      <c r="G11" s="105">
        <f t="shared" si="5"/>
        <v>77</v>
      </c>
      <c r="H11" s="106">
        <f t="shared" si="1"/>
        <v>84</v>
      </c>
      <c r="I11" s="137">
        <f t="shared" si="2"/>
        <v>27</v>
      </c>
      <c r="J11" s="157">
        <f t="shared" si="6"/>
        <v>1</v>
      </c>
      <c r="K11" s="130">
        <f t="shared" si="3"/>
        <v>3.5714285714285712E-2</v>
      </c>
      <c r="L11" s="109">
        <f t="shared" si="4"/>
        <v>0.9642857142857143</v>
      </c>
    </row>
    <row r="12" spans="1:25" ht="17.25" thickBot="1" x14ac:dyDescent="0.35">
      <c r="A12" s="9">
        <v>10</v>
      </c>
      <c r="B12" s="100">
        <v>20</v>
      </c>
      <c r="C12" s="101">
        <v>38</v>
      </c>
      <c r="D12" s="102">
        <v>47</v>
      </c>
      <c r="E12" s="142">
        <v>49</v>
      </c>
      <c r="F12" s="104" t="str">
        <f t="shared" si="0"/>
        <v>84 - 91</v>
      </c>
      <c r="G12" s="105">
        <f t="shared" si="5"/>
        <v>84</v>
      </c>
      <c r="H12" s="106">
        <f t="shared" si="1"/>
        <v>91</v>
      </c>
      <c r="I12" s="137">
        <f t="shared" si="2"/>
        <v>27</v>
      </c>
      <c r="J12" s="157">
        <f t="shared" si="6"/>
        <v>0</v>
      </c>
      <c r="K12" s="130">
        <f t="shared" si="3"/>
        <v>0</v>
      </c>
      <c r="L12" s="109">
        <f t="shared" si="4"/>
        <v>0.9642857142857143</v>
      </c>
    </row>
    <row r="13" spans="1:25" ht="17.25" thickBot="1" x14ac:dyDescent="0.35">
      <c r="A13" s="9">
        <v>11</v>
      </c>
      <c r="B13" s="100">
        <v>38</v>
      </c>
      <c r="C13" s="101">
        <v>38</v>
      </c>
      <c r="D13" s="102">
        <v>58</v>
      </c>
      <c r="E13" s="142">
        <v>50</v>
      </c>
      <c r="F13" s="104" t="str">
        <f t="shared" si="0"/>
        <v>91 - 98</v>
      </c>
      <c r="G13" s="105">
        <f t="shared" si="5"/>
        <v>91</v>
      </c>
      <c r="H13" s="106">
        <f t="shared" si="1"/>
        <v>98</v>
      </c>
      <c r="I13" s="137">
        <f t="shared" si="2"/>
        <v>28</v>
      </c>
      <c r="J13" s="157">
        <f t="shared" si="6"/>
        <v>1</v>
      </c>
      <c r="K13" s="130">
        <f t="shared" si="3"/>
        <v>3.5714285714285712E-2</v>
      </c>
      <c r="L13" s="109">
        <f t="shared" si="4"/>
        <v>1</v>
      </c>
    </row>
    <row r="14" spans="1:25" ht="17.25" thickBot="1" x14ac:dyDescent="0.35">
      <c r="A14" s="9">
        <v>12</v>
      </c>
      <c r="B14" s="100">
        <v>33</v>
      </c>
      <c r="C14" s="101">
        <v>41</v>
      </c>
      <c r="D14" s="102">
        <v>27</v>
      </c>
      <c r="E14" s="142">
        <v>37</v>
      </c>
      <c r="F14" s="111" t="str">
        <f t="shared" si="0"/>
        <v>98 - 105</v>
      </c>
      <c r="G14" s="112">
        <f t="shared" si="5"/>
        <v>98</v>
      </c>
      <c r="H14" s="113">
        <f t="shared" si="1"/>
        <v>105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</row>
    <row r="15" spans="1:25" ht="16.5" x14ac:dyDescent="0.3">
      <c r="A15" s="9">
        <v>13</v>
      </c>
      <c r="B15" s="100">
        <v>41</v>
      </c>
      <c r="C15" s="101">
        <v>42</v>
      </c>
      <c r="D15" s="102">
        <v>50</v>
      </c>
      <c r="E15" s="142">
        <v>27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 s="130"/>
    </row>
    <row r="16" spans="1:25" ht="16.5" x14ac:dyDescent="0.3">
      <c r="A16" s="9">
        <v>14</v>
      </c>
      <c r="B16" s="100">
        <v>58</v>
      </c>
      <c r="C16" s="101">
        <v>44</v>
      </c>
      <c r="D16" s="102">
        <v>46</v>
      </c>
      <c r="E16" s="142">
        <v>63</v>
      </c>
    </row>
    <row r="17" spans="1:43" ht="16.5" x14ac:dyDescent="0.3">
      <c r="A17" s="9">
        <v>15</v>
      </c>
      <c r="B17" s="100">
        <v>63</v>
      </c>
      <c r="C17" s="101">
        <v>46</v>
      </c>
      <c r="D17" s="102">
        <v>53</v>
      </c>
      <c r="E17" s="142">
        <v>92</v>
      </c>
      <c r="J17" s="118"/>
      <c r="K17" s="118"/>
    </row>
    <row r="18" spans="1:43" ht="16.5" x14ac:dyDescent="0.3">
      <c r="A18" s="9">
        <v>16</v>
      </c>
      <c r="B18" s="100">
        <v>49</v>
      </c>
      <c r="C18" s="101">
        <v>47</v>
      </c>
      <c r="D18" s="102">
        <v>38</v>
      </c>
      <c r="E18" s="142">
        <v>38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</row>
    <row r="19" spans="1:43" ht="16.5" x14ac:dyDescent="0.3">
      <c r="A19" s="9">
        <v>17</v>
      </c>
      <c r="B19" s="100">
        <v>53</v>
      </c>
      <c r="C19" s="101">
        <v>49</v>
      </c>
      <c r="D19" s="102">
        <v>44</v>
      </c>
      <c r="E19" s="142">
        <v>34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</row>
    <row r="20" spans="1:43" ht="16.5" x14ac:dyDescent="0.3">
      <c r="A20" s="9">
        <v>18</v>
      </c>
      <c r="B20" s="100">
        <v>50</v>
      </c>
      <c r="C20" s="101">
        <v>50</v>
      </c>
      <c r="D20" s="102">
        <v>60</v>
      </c>
      <c r="E20" s="142">
        <v>58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</row>
    <row r="21" spans="1:43" ht="16.5" x14ac:dyDescent="0.3">
      <c r="A21" s="9">
        <v>19</v>
      </c>
      <c r="B21" s="100">
        <v>73</v>
      </c>
      <c r="C21" s="101">
        <v>53</v>
      </c>
      <c r="D21" s="102">
        <v>65</v>
      </c>
      <c r="E21" s="142">
        <v>53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</row>
    <row r="22" spans="1:43" ht="16.5" x14ac:dyDescent="0.3">
      <c r="A22" s="9">
        <v>20</v>
      </c>
      <c r="B22" s="100">
        <v>44</v>
      </c>
      <c r="C22" s="101">
        <v>53</v>
      </c>
      <c r="D22" s="102">
        <v>31</v>
      </c>
      <c r="E22" s="142">
        <v>41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</row>
    <row r="23" spans="1:43" ht="16.5" x14ac:dyDescent="0.3">
      <c r="A23" s="9">
        <v>21</v>
      </c>
      <c r="B23" s="100">
        <v>34</v>
      </c>
      <c r="C23" s="101">
        <v>58</v>
      </c>
      <c r="D23" s="102">
        <v>34</v>
      </c>
      <c r="E23" s="142">
        <v>20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</row>
    <row r="24" spans="1:43" ht="16.5" x14ac:dyDescent="0.3">
      <c r="A24" s="9">
        <v>22</v>
      </c>
      <c r="B24" s="100">
        <v>60</v>
      </c>
      <c r="C24" s="101">
        <v>59</v>
      </c>
      <c r="D24" s="102">
        <v>63</v>
      </c>
      <c r="E24" s="142">
        <v>60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</row>
    <row r="25" spans="1:43" ht="16.5" x14ac:dyDescent="0.3">
      <c r="A25" s="9">
        <v>23</v>
      </c>
      <c r="B25" s="100">
        <v>92</v>
      </c>
      <c r="C25" s="101">
        <v>60</v>
      </c>
      <c r="D25" s="102">
        <v>73</v>
      </c>
      <c r="E25" s="142">
        <v>59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</row>
    <row r="26" spans="1:43" ht="16.5" x14ac:dyDescent="0.3">
      <c r="A26" s="9">
        <v>24</v>
      </c>
      <c r="B26" s="100">
        <v>78</v>
      </c>
      <c r="C26" s="101">
        <v>63</v>
      </c>
      <c r="D26" s="102">
        <v>49</v>
      </c>
      <c r="E26" s="142">
        <v>33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</row>
    <row r="27" spans="1:43" ht="16.5" x14ac:dyDescent="0.3">
      <c r="A27" s="9">
        <v>25</v>
      </c>
      <c r="B27" s="100">
        <v>27</v>
      </c>
      <c r="C27" s="101">
        <v>65</v>
      </c>
      <c r="D27" s="102">
        <v>38</v>
      </c>
      <c r="E27" s="142">
        <v>33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</row>
    <row r="28" spans="1:43" ht="16.5" x14ac:dyDescent="0.3">
      <c r="A28" s="9">
        <v>26</v>
      </c>
      <c r="B28" s="100">
        <v>38</v>
      </c>
      <c r="C28" s="101">
        <v>73</v>
      </c>
      <c r="D28" s="102">
        <v>78</v>
      </c>
      <c r="E28" s="142">
        <v>53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</row>
    <row r="29" spans="1:43" ht="16.5" x14ac:dyDescent="0.3">
      <c r="A29" s="9">
        <v>27</v>
      </c>
      <c r="B29" s="100">
        <v>37</v>
      </c>
      <c r="C29" s="101">
        <v>78</v>
      </c>
      <c r="D29" s="102">
        <v>92</v>
      </c>
      <c r="E29" s="142">
        <v>78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</row>
    <row r="30" spans="1:43" ht="16.5" x14ac:dyDescent="0.3">
      <c r="A30" s="9">
        <v>28</v>
      </c>
      <c r="B30" s="100">
        <v>53</v>
      </c>
      <c r="C30" s="101">
        <v>92</v>
      </c>
      <c r="D30" s="102">
        <v>59</v>
      </c>
      <c r="E30" s="142">
        <v>37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</row>
    <row r="31" spans="1:4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</row>
    <row r="32" spans="1:4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</row>
    <row r="33" spans="1:4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</row>
    <row r="34" spans="1:4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</row>
    <row r="35" spans="1:4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</row>
    <row r="36" spans="1:4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</row>
    <row r="37" spans="1:4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</row>
    <row r="38" spans="1:4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</row>
    <row r="39" spans="1:4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</row>
    <row r="40" spans="1:4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</row>
    <row r="41" spans="1:4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</row>
    <row r="42" spans="1:4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</row>
    <row r="43" spans="1:4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</row>
    <row r="44" spans="1:4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</row>
    <row r="45" spans="1:4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</row>
    <row r="46" spans="1:4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</row>
    <row r="47" spans="1:4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</row>
    <row r="48" spans="1:4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</row>
    <row r="49" spans="1:4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</row>
    <row r="50" spans="1:4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</row>
    <row r="51" spans="1:4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</row>
    <row r="52" spans="1:4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</row>
    <row r="53" spans="1:4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</row>
    <row r="54" spans="1:4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</row>
    <row r="55" spans="1:4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</row>
    <row r="56" spans="1:4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</row>
    <row r="57" spans="1:4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</row>
    <row r="58" spans="1:43" ht="16.5" x14ac:dyDescent="0.3">
      <c r="A58" s="9"/>
      <c r="B58" s="100"/>
      <c r="C58" s="101"/>
      <c r="D58" s="102"/>
      <c r="E58" s="142"/>
      <c r="AN58"/>
      <c r="AO58"/>
      <c r="AP58"/>
      <c r="AQ58"/>
    </row>
    <row r="59" spans="1:43" ht="16.5" x14ac:dyDescent="0.3">
      <c r="A59" s="9"/>
      <c r="B59" s="100"/>
      <c r="C59" s="101"/>
      <c r="D59" s="102"/>
      <c r="E59" s="142"/>
      <c r="AN59"/>
      <c r="AO59"/>
      <c r="AP59"/>
      <c r="AQ59"/>
    </row>
    <row r="60" spans="1:43" ht="16.5" x14ac:dyDescent="0.3">
      <c r="A60" s="9"/>
      <c r="B60" s="100"/>
      <c r="C60" s="101"/>
      <c r="D60" s="102"/>
      <c r="E60" s="142"/>
      <c r="AN60"/>
      <c r="AO60"/>
      <c r="AP60"/>
      <c r="AQ60"/>
    </row>
    <row r="61" spans="1:43" ht="16.5" x14ac:dyDescent="0.3">
      <c r="A61" s="9"/>
      <c r="B61" s="100"/>
      <c r="C61" s="101"/>
      <c r="D61" s="102"/>
      <c r="E61" s="142"/>
      <c r="AN61"/>
      <c r="AO61"/>
      <c r="AP61"/>
      <c r="AQ61"/>
    </row>
    <row r="62" spans="1:43" ht="16.5" x14ac:dyDescent="0.3">
      <c r="A62" s="9"/>
      <c r="B62" s="100"/>
      <c r="C62" s="101"/>
      <c r="D62" s="102"/>
      <c r="E62" s="142"/>
      <c r="AN62"/>
      <c r="AO62"/>
      <c r="AP62"/>
      <c r="AQ62"/>
    </row>
    <row r="63" spans="1:43" ht="16.5" x14ac:dyDescent="0.3">
      <c r="A63" s="9"/>
      <c r="B63" s="100"/>
      <c r="C63" s="101"/>
      <c r="D63" s="102"/>
      <c r="E63" s="142"/>
      <c r="AN63"/>
      <c r="AO63"/>
      <c r="AP63"/>
      <c r="AQ63"/>
    </row>
    <row r="64" spans="1:43" ht="16.5" x14ac:dyDescent="0.3">
      <c r="A64" s="9"/>
      <c r="B64" s="100"/>
      <c r="C64" s="101"/>
      <c r="D64" s="102"/>
      <c r="E64" s="142"/>
      <c r="AN64"/>
      <c r="AO64"/>
      <c r="AP64"/>
      <c r="AQ64"/>
    </row>
    <row r="65" spans="1:43" ht="16.5" x14ac:dyDescent="0.3">
      <c r="A65" s="9"/>
      <c r="B65" s="100"/>
      <c r="C65" s="101"/>
      <c r="D65" s="102"/>
      <c r="E65" s="142"/>
      <c r="AN65"/>
      <c r="AO65"/>
      <c r="AP65"/>
      <c r="AQ65"/>
    </row>
    <row r="66" spans="1:43" ht="16.5" x14ac:dyDescent="0.3">
      <c r="A66" s="9"/>
      <c r="B66" s="100"/>
      <c r="C66" s="101"/>
      <c r="D66" s="102"/>
      <c r="E66" s="142"/>
      <c r="AN66"/>
      <c r="AO66"/>
      <c r="AP66"/>
      <c r="AQ66"/>
    </row>
    <row r="67" spans="1:43" ht="16.5" x14ac:dyDescent="0.3">
      <c r="A67" s="9"/>
      <c r="B67" s="100"/>
      <c r="C67" s="101"/>
      <c r="D67" s="102"/>
      <c r="E67" s="142"/>
      <c r="AN67"/>
      <c r="AO67"/>
      <c r="AP67"/>
      <c r="AQ67"/>
    </row>
    <row r="68" spans="1:43" ht="16.5" x14ac:dyDescent="0.3">
      <c r="A68" s="9"/>
      <c r="B68" s="100"/>
      <c r="C68" s="101"/>
      <c r="D68" s="102"/>
      <c r="E68" s="142"/>
      <c r="AN68"/>
      <c r="AO68"/>
      <c r="AP68"/>
      <c r="AQ68"/>
    </row>
    <row r="69" spans="1:43" ht="16.5" x14ac:dyDescent="0.3">
      <c r="A69" s="9"/>
      <c r="B69" s="100"/>
      <c r="C69" s="101"/>
      <c r="D69" s="102"/>
      <c r="E69" s="142"/>
      <c r="AN69"/>
      <c r="AO69"/>
      <c r="AP69"/>
      <c r="AQ69"/>
    </row>
    <row r="70" spans="1:43" ht="16.5" x14ac:dyDescent="0.3">
      <c r="A70" s="9"/>
      <c r="B70" s="100"/>
      <c r="C70" s="101"/>
      <c r="D70" s="102"/>
      <c r="E70" s="142"/>
      <c r="AN70"/>
      <c r="AO70"/>
      <c r="AP70"/>
      <c r="AQ70"/>
    </row>
    <row r="71" spans="1:43" ht="16.5" x14ac:dyDescent="0.3">
      <c r="A71" s="9"/>
      <c r="B71" s="100"/>
      <c r="C71" s="101"/>
      <c r="D71" s="102"/>
      <c r="E71" s="142"/>
      <c r="AN71"/>
      <c r="AO71"/>
      <c r="AP71"/>
      <c r="AQ71"/>
    </row>
    <row r="72" spans="1:43" ht="16.5" x14ac:dyDescent="0.3">
      <c r="A72" s="9"/>
      <c r="B72" s="100"/>
      <c r="C72" s="101"/>
      <c r="D72" s="102"/>
      <c r="E72" s="142"/>
      <c r="AN72"/>
      <c r="AO72"/>
      <c r="AP72"/>
      <c r="AQ72"/>
    </row>
    <row r="73" spans="1:43" ht="16.5" x14ac:dyDescent="0.3">
      <c r="A73" s="9"/>
      <c r="B73" s="100"/>
      <c r="C73" s="101"/>
      <c r="D73" s="102"/>
      <c r="E73" s="142"/>
      <c r="AN73"/>
      <c r="AO73"/>
      <c r="AP73"/>
      <c r="AQ73"/>
    </row>
    <row r="74" spans="1:43" ht="16.5" x14ac:dyDescent="0.3">
      <c r="A74" s="9"/>
      <c r="B74" s="100"/>
      <c r="C74" s="101"/>
      <c r="D74" s="102"/>
      <c r="E74" s="142"/>
      <c r="AN74"/>
      <c r="AO74"/>
      <c r="AP74"/>
      <c r="AQ74"/>
    </row>
    <row r="75" spans="1:43" ht="16.5" x14ac:dyDescent="0.3">
      <c r="A75" s="9"/>
      <c r="B75" s="100"/>
      <c r="C75" s="101"/>
      <c r="D75" s="102"/>
      <c r="E75" s="142"/>
      <c r="AN75"/>
      <c r="AO75"/>
      <c r="AP75"/>
      <c r="AQ75"/>
    </row>
    <row r="76" spans="1:43" ht="16.5" x14ac:dyDescent="0.3">
      <c r="A76" s="9"/>
      <c r="B76" s="100"/>
      <c r="C76" s="101"/>
      <c r="D76" s="102"/>
      <c r="E76" s="142"/>
      <c r="AN76"/>
      <c r="AO76"/>
      <c r="AP76"/>
      <c r="AQ76"/>
    </row>
    <row r="77" spans="1:43" ht="16.5" x14ac:dyDescent="0.3">
      <c r="A77" s="9"/>
      <c r="B77" s="100"/>
      <c r="C77" s="101"/>
      <c r="D77" s="102"/>
      <c r="E77" s="142"/>
      <c r="AN77"/>
      <c r="AO77"/>
      <c r="AP77"/>
      <c r="AQ77"/>
    </row>
    <row r="78" spans="1:4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</row>
    <row r="79" spans="1:4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</row>
    <row r="80" spans="1:4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</row>
    <row r="81" spans="1:4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</row>
    <row r="82" spans="1:4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</row>
    <row r="83" spans="1:4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</row>
    <row r="84" spans="1:4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</row>
    <row r="85" spans="1:4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</row>
    <row r="86" spans="1:4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</row>
    <row r="87" spans="1:4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</row>
    <row r="88" spans="1:43" ht="16.5" x14ac:dyDescent="0.3">
      <c r="A88"/>
      <c r="B88" s="100">
        <f>SUM(B3:B86)</f>
        <v>1322</v>
      </c>
      <c r="C88" s="100">
        <f>SUM(C3:C86)</f>
        <v>1322</v>
      </c>
      <c r="D88" s="100">
        <f>SUM(D3:D86)</f>
        <v>1322</v>
      </c>
      <c r="E88" s="100">
        <f>SUM(E3:E86)</f>
        <v>1322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</row>
    <row r="89" spans="1:43" ht="16.5" x14ac:dyDescent="0.3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69">
        <f t="shared" ref="A98:A125" si="7">A3</f>
        <v>1</v>
      </c>
      <c r="B98" s="69">
        <f>SUM(B$3:B3)</f>
        <v>65</v>
      </c>
      <c r="C98" s="69">
        <f>SUM(C$3:C3)</f>
        <v>20</v>
      </c>
      <c r="D98" s="69">
        <f>SUM(D$3:D3)</f>
        <v>20</v>
      </c>
      <c r="E98" s="69">
        <f>SUM(E$3:E3)</f>
        <v>42</v>
      </c>
    </row>
    <row r="99" spans="1:5" ht="16.5" x14ac:dyDescent="0.3">
      <c r="A99" s="69">
        <f t="shared" si="7"/>
        <v>2</v>
      </c>
      <c r="B99" s="69">
        <f>SUM(B$3:B4)</f>
        <v>96</v>
      </c>
      <c r="C99" s="69">
        <f>SUM(C$3:C4)</f>
        <v>41</v>
      </c>
      <c r="D99" s="69">
        <f>SUM(D$3:D4)</f>
        <v>53</v>
      </c>
      <c r="E99" s="69">
        <f>SUM(E$3:E4)</f>
        <v>115</v>
      </c>
    </row>
    <row r="100" spans="1:5" ht="16.5" x14ac:dyDescent="0.3">
      <c r="A100" s="69">
        <f t="shared" si="7"/>
        <v>3</v>
      </c>
      <c r="B100" s="69">
        <f>SUM(B$3:B5)</f>
        <v>133</v>
      </c>
      <c r="C100" s="69">
        <f>SUM(C$3:C5)</f>
        <v>68</v>
      </c>
      <c r="D100" s="69">
        <f>SUM(D$3:D5)</f>
        <v>95</v>
      </c>
      <c r="E100" s="69">
        <f>SUM(E$3:E5)</f>
        <v>161</v>
      </c>
    </row>
    <row r="101" spans="1:5" ht="16.5" x14ac:dyDescent="0.3">
      <c r="A101" s="69">
        <f t="shared" si="7"/>
        <v>4</v>
      </c>
      <c r="B101" s="69">
        <f>SUM(B$3:B6)</f>
        <v>192</v>
      </c>
      <c r="C101" s="69">
        <f>SUM(C$3:C6)</f>
        <v>99</v>
      </c>
      <c r="D101" s="69">
        <f>SUM(D$3:D6)</f>
        <v>116</v>
      </c>
      <c r="E101" s="69">
        <f>SUM(E$3:E6)</f>
        <v>205</v>
      </c>
    </row>
    <row r="102" spans="1:5" ht="16.5" x14ac:dyDescent="0.3">
      <c r="A102" s="69">
        <f t="shared" si="7"/>
        <v>5</v>
      </c>
      <c r="B102" s="69">
        <f>SUM(B$3:B7)</f>
        <v>234</v>
      </c>
      <c r="C102" s="69">
        <f>SUM(C$3:C7)</f>
        <v>132</v>
      </c>
      <c r="D102" s="69">
        <f>SUM(D$3:D7)</f>
        <v>153</v>
      </c>
      <c r="E102" s="69">
        <f>SUM(E$3:E7)</f>
        <v>226</v>
      </c>
    </row>
    <row r="103" spans="1:5" ht="16.5" x14ac:dyDescent="0.3">
      <c r="A103" s="69">
        <f t="shared" si="7"/>
        <v>6</v>
      </c>
      <c r="B103" s="69">
        <f>SUM(B$3:B8)</f>
        <v>281</v>
      </c>
      <c r="C103" s="69">
        <f>SUM(C$3:C8)</f>
        <v>165</v>
      </c>
      <c r="D103" s="69">
        <f>SUM(D$3:D8)</f>
        <v>190</v>
      </c>
      <c r="E103" s="69">
        <f>SUM(E$3:E8)</f>
        <v>291</v>
      </c>
    </row>
    <row r="104" spans="1:5" ht="16.5" x14ac:dyDescent="0.3">
      <c r="A104" s="69">
        <f t="shared" si="7"/>
        <v>7</v>
      </c>
      <c r="B104" s="69">
        <f>SUM(B$3:B9)</f>
        <v>314</v>
      </c>
      <c r="C104" s="69">
        <f>SUM(C$3:C9)</f>
        <v>199</v>
      </c>
      <c r="D104" s="69">
        <f>SUM(D$3:D9)</f>
        <v>243</v>
      </c>
      <c r="E104" s="69">
        <f>SUM(E$3:E9)</f>
        <v>338</v>
      </c>
    </row>
    <row r="105" spans="1:5" ht="16.5" x14ac:dyDescent="0.3">
      <c r="A105" s="69">
        <f t="shared" si="7"/>
        <v>8</v>
      </c>
      <c r="B105" s="69">
        <f>SUM(B$3:B10)</f>
        <v>360</v>
      </c>
      <c r="C105" s="69">
        <f>SUM(C$3:C10)</f>
        <v>236</v>
      </c>
      <c r="D105" s="69">
        <f>SUM(D$3:D10)</f>
        <v>276</v>
      </c>
      <c r="E105" s="69">
        <f>SUM(E$3:E10)</f>
        <v>376</v>
      </c>
    </row>
    <row r="106" spans="1:5" ht="16.5" x14ac:dyDescent="0.3">
      <c r="A106" s="69">
        <f t="shared" si="7"/>
        <v>9</v>
      </c>
      <c r="B106" s="69">
        <f>SUM(B$3:B11)</f>
        <v>381</v>
      </c>
      <c r="C106" s="69">
        <f>SUM(C$3:C11)</f>
        <v>273</v>
      </c>
      <c r="D106" s="69">
        <f>SUM(D$3:D11)</f>
        <v>317</v>
      </c>
      <c r="E106" s="69">
        <f>SUM(E$3:E11)</f>
        <v>407</v>
      </c>
    </row>
    <row r="107" spans="1:5" ht="16.5" x14ac:dyDescent="0.3">
      <c r="A107" s="69">
        <f t="shared" si="7"/>
        <v>10</v>
      </c>
      <c r="B107" s="69">
        <f>SUM(B$3:B12)</f>
        <v>401</v>
      </c>
      <c r="C107" s="69">
        <f>SUM(C$3:C12)</f>
        <v>311</v>
      </c>
      <c r="D107" s="69">
        <f>SUM(D$3:D12)</f>
        <v>364</v>
      </c>
      <c r="E107" s="69">
        <f>SUM(E$3:E12)</f>
        <v>456</v>
      </c>
    </row>
    <row r="108" spans="1:5" ht="16.5" x14ac:dyDescent="0.3">
      <c r="A108" s="69">
        <f t="shared" si="7"/>
        <v>11</v>
      </c>
      <c r="B108" s="69">
        <f>SUM(B$3:B13)</f>
        <v>439</v>
      </c>
      <c r="C108" s="69">
        <f>SUM(C$3:C13)</f>
        <v>349</v>
      </c>
      <c r="D108" s="69">
        <f>SUM(D$3:D13)</f>
        <v>422</v>
      </c>
      <c r="E108" s="69">
        <f>SUM(E$3:E13)</f>
        <v>506</v>
      </c>
    </row>
    <row r="109" spans="1:5" ht="16.5" x14ac:dyDescent="0.3">
      <c r="A109" s="69">
        <f t="shared" si="7"/>
        <v>12</v>
      </c>
      <c r="B109" s="69">
        <f>SUM(B$3:B14)</f>
        <v>472</v>
      </c>
      <c r="C109" s="69">
        <f>SUM(C$3:C14)</f>
        <v>390</v>
      </c>
      <c r="D109" s="69">
        <f>SUM(D$3:D14)</f>
        <v>449</v>
      </c>
      <c r="E109" s="69">
        <f>SUM(E$3:E14)</f>
        <v>543</v>
      </c>
    </row>
    <row r="110" spans="1:5" ht="16.5" x14ac:dyDescent="0.3">
      <c r="A110" s="69">
        <f t="shared" si="7"/>
        <v>13</v>
      </c>
      <c r="B110" s="69">
        <f>SUM(B$3:B15)</f>
        <v>513</v>
      </c>
      <c r="C110" s="69">
        <f>SUM(C$3:C15)</f>
        <v>432</v>
      </c>
      <c r="D110" s="69">
        <f>SUM(D$3:D15)</f>
        <v>499</v>
      </c>
      <c r="E110" s="69">
        <f>SUM(E$3:E15)</f>
        <v>570</v>
      </c>
    </row>
    <row r="111" spans="1:5" ht="16.5" x14ac:dyDescent="0.3">
      <c r="A111" s="69">
        <f t="shared" si="7"/>
        <v>14</v>
      </c>
      <c r="B111" s="69">
        <f>SUM(B$3:B16)</f>
        <v>571</v>
      </c>
      <c r="C111" s="69">
        <f>SUM(C$3:C16)</f>
        <v>476</v>
      </c>
      <c r="D111" s="69">
        <f>SUM(D$3:D16)</f>
        <v>545</v>
      </c>
      <c r="E111" s="69">
        <f>SUM(E$3:E16)</f>
        <v>633</v>
      </c>
    </row>
    <row r="112" spans="1:5" ht="16.5" x14ac:dyDescent="0.3">
      <c r="A112" s="69">
        <f t="shared" si="7"/>
        <v>15</v>
      </c>
      <c r="B112" s="69">
        <f>SUM(B$3:B17)</f>
        <v>634</v>
      </c>
      <c r="C112" s="69">
        <f>SUM(C$3:C17)</f>
        <v>522</v>
      </c>
      <c r="D112" s="69">
        <f>SUM(D$3:D17)</f>
        <v>598</v>
      </c>
      <c r="E112" s="69">
        <f>SUM(E$3:E17)</f>
        <v>725</v>
      </c>
    </row>
    <row r="113" spans="1:5" ht="16.5" x14ac:dyDescent="0.3">
      <c r="A113" s="69">
        <f t="shared" si="7"/>
        <v>16</v>
      </c>
      <c r="B113" s="69">
        <f>SUM(B$3:B18)</f>
        <v>683</v>
      </c>
      <c r="C113" s="69">
        <f>SUM(C$3:C18)</f>
        <v>569</v>
      </c>
      <c r="D113" s="69">
        <f>SUM(D$3:D18)</f>
        <v>636</v>
      </c>
      <c r="E113" s="69">
        <f>SUM(E$3:E18)</f>
        <v>763</v>
      </c>
    </row>
    <row r="114" spans="1:5" ht="16.5" x14ac:dyDescent="0.3">
      <c r="A114" s="69">
        <f t="shared" si="7"/>
        <v>17</v>
      </c>
      <c r="B114" s="69">
        <f>SUM(B$3:B19)</f>
        <v>736</v>
      </c>
      <c r="C114" s="69">
        <f>SUM(C$3:C19)</f>
        <v>618</v>
      </c>
      <c r="D114" s="69">
        <f>SUM(D$3:D19)</f>
        <v>680</v>
      </c>
      <c r="E114" s="69">
        <f>SUM(E$3:E19)</f>
        <v>797</v>
      </c>
    </row>
    <row r="115" spans="1:5" ht="16.5" x14ac:dyDescent="0.3">
      <c r="A115" s="69">
        <f t="shared" si="7"/>
        <v>18</v>
      </c>
      <c r="B115" s="69">
        <f>SUM(B$3:B20)</f>
        <v>786</v>
      </c>
      <c r="C115" s="69">
        <f>SUM(C$3:C20)</f>
        <v>668</v>
      </c>
      <c r="D115" s="69">
        <f>SUM(D$3:D20)</f>
        <v>740</v>
      </c>
      <c r="E115" s="69">
        <f>SUM(E$3:E20)</f>
        <v>855</v>
      </c>
    </row>
    <row r="116" spans="1:5" ht="16.5" x14ac:dyDescent="0.3">
      <c r="A116" s="69">
        <f t="shared" si="7"/>
        <v>19</v>
      </c>
      <c r="B116" s="69">
        <f>SUM(B$3:B21)</f>
        <v>859</v>
      </c>
      <c r="C116" s="69">
        <f>SUM(C$3:C21)</f>
        <v>721</v>
      </c>
      <c r="D116" s="69">
        <f>SUM(D$3:D21)</f>
        <v>805</v>
      </c>
      <c r="E116" s="69">
        <f>SUM(E$3:E21)</f>
        <v>908</v>
      </c>
    </row>
    <row r="117" spans="1:5" ht="16.5" x14ac:dyDescent="0.3">
      <c r="A117" s="69">
        <f t="shared" si="7"/>
        <v>20</v>
      </c>
      <c r="B117" s="69">
        <f>SUM(B$3:B22)</f>
        <v>903</v>
      </c>
      <c r="C117" s="69">
        <f>SUM(C$3:C22)</f>
        <v>774</v>
      </c>
      <c r="D117" s="69">
        <f>SUM(D$3:D22)</f>
        <v>836</v>
      </c>
      <c r="E117" s="69">
        <f>SUM(E$3:E22)</f>
        <v>949</v>
      </c>
    </row>
    <row r="118" spans="1:5" ht="16.5" x14ac:dyDescent="0.3">
      <c r="A118" s="69">
        <f t="shared" si="7"/>
        <v>21</v>
      </c>
      <c r="B118" s="69">
        <f>SUM(B$3:B23)</f>
        <v>937</v>
      </c>
      <c r="C118" s="69">
        <f>SUM(C$3:C23)</f>
        <v>832</v>
      </c>
      <c r="D118" s="69">
        <f>SUM(D$3:D23)</f>
        <v>870</v>
      </c>
      <c r="E118" s="69">
        <f>SUM(E$3:E23)</f>
        <v>969</v>
      </c>
    </row>
    <row r="119" spans="1:5" ht="16.5" x14ac:dyDescent="0.3">
      <c r="A119" s="69">
        <f t="shared" si="7"/>
        <v>22</v>
      </c>
      <c r="B119" s="69">
        <f>SUM(B$3:B24)</f>
        <v>997</v>
      </c>
      <c r="C119" s="69">
        <f>SUM(C$3:C24)</f>
        <v>891</v>
      </c>
      <c r="D119" s="69">
        <f>SUM(D$3:D24)</f>
        <v>933</v>
      </c>
      <c r="E119" s="69">
        <f>SUM(E$3:E24)</f>
        <v>1029</v>
      </c>
    </row>
    <row r="120" spans="1:5" ht="16.5" x14ac:dyDescent="0.3">
      <c r="A120" s="69">
        <f t="shared" si="7"/>
        <v>23</v>
      </c>
      <c r="B120" s="69">
        <f>SUM(B$3:B25)</f>
        <v>1089</v>
      </c>
      <c r="C120" s="69">
        <f>SUM(C$3:C25)</f>
        <v>951</v>
      </c>
      <c r="D120" s="69">
        <f>SUM(D$3:D25)</f>
        <v>1006</v>
      </c>
      <c r="E120" s="69">
        <f>SUM(E$3:E25)</f>
        <v>1088</v>
      </c>
    </row>
    <row r="121" spans="1:5" ht="16.5" x14ac:dyDescent="0.3">
      <c r="A121" s="69">
        <f t="shared" si="7"/>
        <v>24</v>
      </c>
      <c r="B121" s="69">
        <f>SUM(B$3:B26)</f>
        <v>1167</v>
      </c>
      <c r="C121" s="69">
        <f>SUM(C$3:C26)</f>
        <v>1014</v>
      </c>
      <c r="D121" s="69">
        <f>SUM(D$3:D26)</f>
        <v>1055</v>
      </c>
      <c r="E121" s="69">
        <f>SUM(E$3:E26)</f>
        <v>1121</v>
      </c>
    </row>
    <row r="122" spans="1:5" ht="16.5" x14ac:dyDescent="0.3">
      <c r="A122" s="69">
        <f t="shared" si="7"/>
        <v>25</v>
      </c>
      <c r="B122" s="69">
        <f>SUM(B$3:B27)</f>
        <v>1194</v>
      </c>
      <c r="C122" s="69">
        <f>SUM(C$3:C27)</f>
        <v>1079</v>
      </c>
      <c r="D122" s="69">
        <f>SUM(D$3:D27)</f>
        <v>1093</v>
      </c>
      <c r="E122" s="69">
        <f>SUM(E$3:E27)</f>
        <v>1154</v>
      </c>
    </row>
    <row r="123" spans="1:5" ht="16.5" x14ac:dyDescent="0.3">
      <c r="A123" s="69">
        <f t="shared" si="7"/>
        <v>26</v>
      </c>
      <c r="B123" s="69">
        <f>SUM(B$3:B28)</f>
        <v>1232</v>
      </c>
      <c r="C123" s="69">
        <f>SUM(C$3:C28)</f>
        <v>1152</v>
      </c>
      <c r="D123" s="69">
        <f>SUM(D$3:D28)</f>
        <v>1171</v>
      </c>
      <c r="E123" s="69">
        <f>SUM(E$3:E28)</f>
        <v>1207</v>
      </c>
    </row>
    <row r="124" spans="1:5" ht="16.5" x14ac:dyDescent="0.3">
      <c r="A124" s="69">
        <f t="shared" si="7"/>
        <v>27</v>
      </c>
      <c r="B124" s="69">
        <f>SUM(B$3:B29)</f>
        <v>1269</v>
      </c>
      <c r="C124" s="69">
        <f>SUM(C$3:C29)</f>
        <v>1230</v>
      </c>
      <c r="D124" s="69">
        <f>SUM(D$3:D29)</f>
        <v>1263</v>
      </c>
      <c r="E124" s="69">
        <f>SUM(E$3:E29)</f>
        <v>1285</v>
      </c>
    </row>
    <row r="125" spans="1:5" ht="16.5" x14ac:dyDescent="0.3">
      <c r="A125" s="69">
        <f t="shared" si="7"/>
        <v>28</v>
      </c>
      <c r="B125" s="69">
        <f>SUM(B$3:B30)</f>
        <v>1322</v>
      </c>
      <c r="C125" s="69">
        <f>SUM(C$3:C30)</f>
        <v>1322</v>
      </c>
      <c r="D125" s="69">
        <f>SUM(D$3:D30)</f>
        <v>1322</v>
      </c>
      <c r="E125" s="69">
        <f>SUM(E$3:E30)</f>
        <v>1322</v>
      </c>
    </row>
    <row r="126" spans="1:5" ht="16.5" x14ac:dyDescent="0.3">
      <c r="A126" s="69"/>
      <c r="B126" s="69"/>
      <c r="C126" s="69"/>
      <c r="D126" s="69"/>
      <c r="E126" s="69"/>
    </row>
    <row r="127" spans="1:5" ht="16.5" x14ac:dyDescent="0.3">
      <c r="A127" s="69"/>
      <c r="B127" s="69"/>
      <c r="C127" s="69"/>
      <c r="D127" s="69"/>
      <c r="E127" s="69"/>
    </row>
    <row r="128" spans="1:5" ht="16.5" x14ac:dyDescent="0.3">
      <c r="A128" s="69"/>
      <c r="B128" s="69"/>
      <c r="C128" s="69"/>
      <c r="D128" s="69"/>
      <c r="E128" s="69"/>
    </row>
    <row r="129" spans="1:5" ht="16.5" x14ac:dyDescent="0.3">
      <c r="A129" s="69"/>
      <c r="B129" s="69"/>
      <c r="C129" s="69"/>
      <c r="D129" s="69"/>
      <c r="E129" s="69"/>
    </row>
    <row r="130" spans="1:5" ht="16.5" x14ac:dyDescent="0.3">
      <c r="A130" s="69"/>
      <c r="B130" s="69"/>
      <c r="C130" s="69"/>
      <c r="D130" s="69"/>
      <c r="E130" s="69"/>
    </row>
    <row r="131" spans="1:5" ht="16.5" x14ac:dyDescent="0.3">
      <c r="A131" s="69"/>
      <c r="B131" s="69"/>
      <c r="C131" s="69"/>
      <c r="D131" s="69"/>
      <c r="E131" s="69"/>
    </row>
    <row r="132" spans="1:5" ht="16.5" x14ac:dyDescent="0.3">
      <c r="A132" s="69"/>
      <c r="B132" s="69"/>
      <c r="C132" s="69"/>
      <c r="D132" s="69"/>
      <c r="E132" s="69"/>
    </row>
    <row r="133" spans="1:5" ht="16.5" x14ac:dyDescent="0.3">
      <c r="A133" s="69"/>
      <c r="B133" s="69"/>
      <c r="C133" s="69"/>
      <c r="D133" s="69"/>
      <c r="E133" s="69"/>
    </row>
    <row r="134" spans="1:5" ht="16.5" x14ac:dyDescent="0.3">
      <c r="A134" s="69"/>
      <c r="B134" s="69"/>
      <c r="C134" s="69"/>
      <c r="D134" s="69"/>
      <c r="E134" s="69"/>
    </row>
    <row r="135" spans="1:5" ht="16.5" x14ac:dyDescent="0.3">
      <c r="A135" s="69"/>
      <c r="B135" s="69"/>
      <c r="C135" s="69"/>
      <c r="D135" s="69"/>
      <c r="E135" s="69"/>
    </row>
    <row r="136" spans="1:5" ht="16.5" x14ac:dyDescent="0.3">
      <c r="A136" s="69"/>
      <c r="B136" s="69"/>
      <c r="C136" s="69"/>
      <c r="D136" s="69"/>
      <c r="E136" s="69"/>
    </row>
    <row r="137" spans="1:5" ht="16.5" x14ac:dyDescent="0.3">
      <c r="A137" s="69"/>
      <c r="B137" s="69"/>
      <c r="C137" s="69"/>
      <c r="D137" s="69"/>
      <c r="E137" s="69"/>
    </row>
    <row r="138" spans="1:5" ht="16.5" x14ac:dyDescent="0.3">
      <c r="A138" s="69"/>
      <c r="B138" s="69"/>
      <c r="C138" s="69"/>
      <c r="D138" s="69"/>
      <c r="E138" s="69"/>
    </row>
    <row r="139" spans="1:5" ht="16.5" x14ac:dyDescent="0.3">
      <c r="A139" s="69"/>
      <c r="B139" s="69"/>
      <c r="C139" s="69"/>
      <c r="D139" s="69"/>
      <c r="E139" s="69"/>
    </row>
    <row r="140" spans="1:5" ht="16.5" x14ac:dyDescent="0.3">
      <c r="A140" s="69"/>
      <c r="B140" s="69"/>
      <c r="C140" s="69"/>
      <c r="D140" s="69"/>
      <c r="E140" s="69"/>
    </row>
    <row r="141" spans="1:5" ht="16.5" x14ac:dyDescent="0.3">
      <c r="A141" s="69"/>
      <c r="B141" s="69"/>
      <c r="C141" s="69"/>
      <c r="D141" s="69"/>
      <c r="E141" s="69"/>
    </row>
    <row r="142" spans="1:5" ht="16.5" x14ac:dyDescent="0.3">
      <c r="A142" s="69"/>
      <c r="B142" s="69"/>
      <c r="C142" s="69"/>
      <c r="D142" s="69"/>
      <c r="E142" s="69"/>
    </row>
    <row r="143" spans="1:5" ht="16.5" x14ac:dyDescent="0.3">
      <c r="A143" s="69"/>
      <c r="B143" s="69"/>
      <c r="C143" s="69"/>
      <c r="D143" s="69"/>
      <c r="E143" s="69"/>
    </row>
    <row r="144" spans="1:5" ht="16.5" x14ac:dyDescent="0.3">
      <c r="A144" s="69"/>
      <c r="B144" s="69"/>
      <c r="C144" s="69"/>
      <c r="D144" s="69"/>
      <c r="E144" s="69"/>
    </row>
    <row r="145" spans="1:5" ht="16.5" x14ac:dyDescent="0.3">
      <c r="A145" s="69"/>
      <c r="B145" s="69"/>
      <c r="C145" s="69"/>
      <c r="D145" s="69"/>
      <c r="E145" s="69"/>
    </row>
    <row r="146" spans="1:5" ht="16.5" x14ac:dyDescent="0.3">
      <c r="A146" s="69"/>
      <c r="B146" s="69"/>
      <c r="C146" s="69"/>
      <c r="D146" s="69"/>
      <c r="E146" s="69"/>
    </row>
    <row r="147" spans="1:5" ht="16.5" x14ac:dyDescent="0.3">
      <c r="A147" s="69"/>
      <c r="B147" s="69"/>
      <c r="C147" s="69"/>
      <c r="D147" s="69"/>
      <c r="E147" s="69"/>
    </row>
    <row r="148" spans="1:5" ht="16.5" x14ac:dyDescent="0.3">
      <c r="A148" s="69"/>
      <c r="B148" s="69"/>
      <c r="C148" s="69"/>
      <c r="D148" s="69"/>
      <c r="E148" s="69"/>
    </row>
    <row r="149" spans="1:5" ht="16.5" x14ac:dyDescent="0.3">
      <c r="A149" s="69"/>
      <c r="B149" s="69"/>
      <c r="C149" s="69"/>
      <c r="D149" s="69"/>
      <c r="E149" s="69"/>
    </row>
    <row r="150" spans="1:5" ht="16.5" x14ac:dyDescent="0.3">
      <c r="A150" s="69"/>
      <c r="B150" s="69"/>
      <c r="C150" s="69"/>
      <c r="D150" s="69"/>
      <c r="E150" s="69"/>
    </row>
    <row r="151" spans="1:5" ht="16.5" x14ac:dyDescent="0.3">
      <c r="A151" s="69"/>
      <c r="B151" s="69"/>
      <c r="C151" s="69"/>
      <c r="D151" s="69"/>
      <c r="E151" s="69"/>
    </row>
    <row r="152" spans="1:5" ht="16.5" x14ac:dyDescent="0.3">
      <c r="A152" s="69"/>
      <c r="B152" s="69"/>
      <c r="C152" s="69"/>
      <c r="D152" s="69"/>
      <c r="E152" s="69"/>
    </row>
    <row r="153" spans="1:5" ht="16.5" x14ac:dyDescent="0.3">
      <c r="A153" s="69"/>
      <c r="B153" s="69"/>
      <c r="C153" s="69"/>
      <c r="D153" s="69"/>
      <c r="E153" s="69"/>
    </row>
    <row r="154" spans="1:5" ht="16.5" x14ac:dyDescent="0.3">
      <c r="A154" s="69"/>
      <c r="B154" s="69"/>
      <c r="C154" s="69"/>
      <c r="D154" s="69"/>
      <c r="E154" s="69"/>
    </row>
    <row r="155" spans="1:5" ht="16.5" x14ac:dyDescent="0.3">
      <c r="A155" s="69"/>
      <c r="B155" s="69"/>
      <c r="C155" s="69"/>
      <c r="D155" s="69"/>
      <c r="E155" s="69"/>
    </row>
    <row r="156" spans="1:5" ht="16.5" x14ac:dyDescent="0.3">
      <c r="A156" s="69"/>
      <c r="B156" s="69"/>
      <c r="C156" s="69"/>
      <c r="D156" s="69"/>
      <c r="E156" s="69"/>
    </row>
    <row r="157" spans="1:5" ht="16.5" x14ac:dyDescent="0.3">
      <c r="A157" s="69"/>
      <c r="B157" s="69"/>
      <c r="C157" s="69"/>
      <c r="D157" s="69"/>
      <c r="E157" s="69"/>
    </row>
    <row r="158" spans="1:5" ht="16.5" x14ac:dyDescent="0.3">
      <c r="A158" s="69"/>
      <c r="B158" s="69"/>
      <c r="C158" s="69"/>
      <c r="D158" s="69"/>
      <c r="E158" s="69"/>
    </row>
    <row r="159" spans="1:5" ht="16.5" x14ac:dyDescent="0.3">
      <c r="A159" s="69"/>
      <c r="B159" s="69"/>
      <c r="C159" s="69"/>
      <c r="D159" s="69"/>
      <c r="E159" s="69"/>
    </row>
    <row r="160" spans="1:5" ht="16.5" x14ac:dyDescent="0.3">
      <c r="A160" s="69"/>
      <c r="B160" s="69"/>
      <c r="C160" s="69"/>
      <c r="D160" s="69"/>
      <c r="E160" s="69"/>
    </row>
    <row r="161" spans="1:5" ht="16.5" x14ac:dyDescent="0.3">
      <c r="A161" s="69"/>
      <c r="B161" s="69"/>
      <c r="C161" s="69"/>
      <c r="D161" s="69"/>
      <c r="E161" s="69"/>
    </row>
    <row r="162" spans="1:5" ht="16.5" x14ac:dyDescent="0.3">
      <c r="A162" s="69"/>
      <c r="B162" s="69"/>
      <c r="C162" s="69"/>
      <c r="D162" s="69"/>
      <c r="E162" s="69"/>
    </row>
    <row r="163" spans="1:5" ht="16.5" x14ac:dyDescent="0.3">
      <c r="A163" s="69"/>
      <c r="B163" s="69"/>
      <c r="C163" s="69"/>
      <c r="D163" s="69"/>
      <c r="E163" s="69"/>
    </row>
    <row r="164" spans="1:5" ht="16.5" x14ac:dyDescent="0.3">
      <c r="A164" s="69"/>
      <c r="B164" s="69"/>
      <c r="C164" s="69"/>
      <c r="D164" s="69"/>
      <c r="E164" s="69"/>
    </row>
    <row r="165" spans="1:5" ht="16.5" x14ac:dyDescent="0.3">
      <c r="A165" s="69"/>
      <c r="B165" s="69"/>
      <c r="C165" s="69"/>
      <c r="D165" s="69"/>
      <c r="E165" s="69"/>
    </row>
    <row r="166" spans="1:5" ht="16.5" x14ac:dyDescent="0.3">
      <c r="A166" s="69"/>
      <c r="B166" s="69"/>
      <c r="C166" s="69"/>
      <c r="D166" s="69"/>
      <c r="E166" s="69"/>
    </row>
    <row r="167" spans="1:5" ht="16.5" x14ac:dyDescent="0.3">
      <c r="A167" s="69"/>
      <c r="B167" s="69"/>
      <c r="C167" s="69"/>
      <c r="D167" s="69"/>
      <c r="E167" s="69"/>
    </row>
    <row r="168" spans="1:5" ht="16.5" x14ac:dyDescent="0.3">
      <c r="A168" s="69"/>
      <c r="B168" s="69"/>
      <c r="C168" s="69"/>
      <c r="D168" s="69"/>
      <c r="E168" s="69"/>
    </row>
    <row r="169" spans="1:5" ht="16.5" x14ac:dyDescent="0.3">
      <c r="A169" s="69"/>
      <c r="B169" s="69"/>
      <c r="C169" s="69"/>
      <c r="D169" s="69"/>
      <c r="E169" s="69"/>
    </row>
    <row r="170" spans="1:5" ht="16.5" x14ac:dyDescent="0.3">
      <c r="A170" s="69"/>
      <c r="B170" s="69"/>
      <c r="C170" s="69"/>
      <c r="D170" s="69"/>
      <c r="E170" s="69"/>
    </row>
    <row r="171" spans="1:5" ht="16.5" x14ac:dyDescent="0.3">
      <c r="A171" s="69"/>
      <c r="B171" s="69"/>
      <c r="C171" s="69"/>
      <c r="D171" s="69"/>
      <c r="E171" s="69"/>
    </row>
    <row r="172" spans="1:5" ht="16.5" x14ac:dyDescent="0.3">
      <c r="A172" s="69"/>
      <c r="B172" s="69"/>
      <c r="C172" s="69"/>
      <c r="D172" s="69"/>
      <c r="E172" s="69"/>
    </row>
    <row r="173" spans="1:5" ht="16.5" x14ac:dyDescent="0.3">
      <c r="A173" s="69"/>
      <c r="B173" s="69"/>
      <c r="C173" s="69"/>
      <c r="D173" s="69"/>
      <c r="E173" s="69"/>
    </row>
    <row r="174" spans="1:5" ht="16.5" x14ac:dyDescent="0.3">
      <c r="A174" s="69"/>
      <c r="B174" s="69"/>
      <c r="C174" s="69"/>
      <c r="D174" s="69"/>
      <c r="E174" s="69"/>
    </row>
    <row r="175" spans="1:5" ht="16.5" x14ac:dyDescent="0.3">
      <c r="A175" s="69"/>
      <c r="B175" s="69"/>
      <c r="C175" s="69"/>
      <c r="D175" s="69"/>
      <c r="E175" s="69"/>
    </row>
    <row r="176" spans="1:5" ht="16.5" x14ac:dyDescent="0.3">
      <c r="A176" s="69"/>
      <c r="B176" s="69"/>
      <c r="C176" s="69"/>
      <c r="D176" s="69"/>
      <c r="E176" s="69"/>
    </row>
    <row r="177" spans="1:5" ht="16.5" x14ac:dyDescent="0.3">
      <c r="A177" s="69"/>
      <c r="B177" s="69"/>
      <c r="C177" s="69"/>
      <c r="D177" s="69"/>
      <c r="E177" s="69"/>
    </row>
    <row r="178" spans="1:5" ht="16.5" x14ac:dyDescent="0.3">
      <c r="A178" s="69"/>
      <c r="B178" s="69"/>
      <c r="C178" s="69"/>
      <c r="D178" s="69"/>
      <c r="E178" s="69"/>
    </row>
    <row r="179" spans="1:5" ht="16.5" x14ac:dyDescent="0.3">
      <c r="A179" s="69"/>
      <c r="B179" s="69"/>
      <c r="C179" s="69"/>
      <c r="D179" s="69"/>
      <c r="E179" s="69"/>
    </row>
    <row r="180" spans="1:5" ht="16.5" x14ac:dyDescent="0.3">
      <c r="A180" s="69"/>
      <c r="B180" s="69"/>
      <c r="C180" s="69"/>
      <c r="D180" s="69"/>
      <c r="E180" s="69"/>
    </row>
    <row r="181" spans="1:5" ht="16.5" x14ac:dyDescent="0.3">
      <c r="A181" s="69"/>
      <c r="B181" s="69"/>
      <c r="C181" s="69"/>
      <c r="D181" s="69"/>
      <c r="E181" s="69"/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D61F-FCCC-44E1-AC01-8138BF06AE29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21 - 28</v>
      </c>
      <c r="G2" s="164">
        <f>Y4</f>
        <v>21</v>
      </c>
      <c r="H2" s="96">
        <f t="shared" ref="H2:H14" si="1">G2+$Y$3</f>
        <v>28</v>
      </c>
      <c r="I2" s="137">
        <f t="shared" ref="I2:I14" si="2">COUNTIF($B$3:$B$86, "&lt;"&amp;H2)</f>
        <v>1</v>
      </c>
      <c r="J2" s="97">
        <f>I2</f>
        <v>1</v>
      </c>
      <c r="K2" s="98">
        <f t="shared" ref="K2:K14" si="3">J2/$J$15</f>
        <v>3.5714285714285712E-2</v>
      </c>
      <c r="L2" s="99">
        <f t="shared" ref="L2:L14" si="4">I2/$J$15</f>
        <v>3.5714285714285712E-2</v>
      </c>
      <c r="N2" s="163" t="s">
        <v>12</v>
      </c>
      <c r="O2" s="162">
        <f>AVERAGE($B$3:$B$86)</f>
        <v>48.642857142857146</v>
      </c>
      <c r="P2" s="162">
        <f>AVERAGE($B$3:$B$86)</f>
        <v>48.642857142857146</v>
      </c>
      <c r="Q2" s="162">
        <f>AVERAGE($B$3:$B$86)</f>
        <v>48.642857142857146</v>
      </c>
      <c r="R2" s="162">
        <f>AVERAGE($D$3:$D$86)</f>
        <v>48.642857142857146</v>
      </c>
      <c r="V2" s="85" t="s">
        <v>94</v>
      </c>
      <c r="Y2" s="85">
        <f>ROUND(O6/10,0)</f>
        <v>7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63</v>
      </c>
      <c r="C3" s="101">
        <v>21</v>
      </c>
      <c r="D3" s="102">
        <v>32</v>
      </c>
      <c r="E3" s="142">
        <v>34</v>
      </c>
      <c r="F3" s="104" t="str">
        <f t="shared" si="0"/>
        <v>28 - 35</v>
      </c>
      <c r="G3" s="105">
        <f t="shared" ref="G3:G14" si="5">H2</f>
        <v>28</v>
      </c>
      <c r="H3" s="106">
        <f t="shared" si="1"/>
        <v>35</v>
      </c>
      <c r="I3" s="137">
        <f t="shared" si="2"/>
        <v>4</v>
      </c>
      <c r="J3" s="157">
        <f t="shared" ref="J3:J14" si="6">I3-I2</f>
        <v>3</v>
      </c>
      <c r="K3" s="130">
        <f t="shared" si="3"/>
        <v>0.10714285714285714</v>
      </c>
      <c r="L3" s="109">
        <f t="shared" si="4"/>
        <v>0.14285714285714285</v>
      </c>
      <c r="N3" s="133" t="s">
        <v>91</v>
      </c>
      <c r="O3" s="135">
        <f>MEDIAN(B$3:B$86)</f>
        <v>44.5</v>
      </c>
      <c r="P3" s="135">
        <f>MEDIAN(C$3:C$86)</f>
        <v>44.5</v>
      </c>
      <c r="Q3" s="135">
        <f>MEDIAN(D$3:D$86)</f>
        <v>44.5</v>
      </c>
      <c r="R3" s="135">
        <f>MEDIAN(E$3:E$86)</f>
        <v>44.5</v>
      </c>
      <c r="V3" s="85" t="s">
        <v>95</v>
      </c>
      <c r="Y3" s="85">
        <f>ROUND(Y2,-LEN(Y2)+1)</f>
        <v>7</v>
      </c>
      <c r="AN3" s="88">
        <v>1</v>
      </c>
      <c r="AO3" s="88">
        <f t="shared" ref="AO3:AO30" ca="1" si="7">ABS(_xlfn.NORM.INV(RAND(),$AQ$1,$AS$1))</f>
        <v>27.745910315863384</v>
      </c>
      <c r="AP3" s="88">
        <f ca="1">SMALL($AO$3:$AO$30,ROWS(AO$3:AO3))</f>
        <v>14.678507733493893</v>
      </c>
      <c r="AQ3" s="110">
        <f t="shared" ref="AQ3:AQ30" ca="1" si="8">AR3+RAND()</f>
        <v>1.0007436767709983</v>
      </c>
      <c r="AR3" s="110">
        <v>1</v>
      </c>
      <c r="AS3" s="78">
        <f t="shared" ref="AS3:AS30" ca="1" si="9">ROUNDUP(AP3*AQ3,0)</f>
        <v>15</v>
      </c>
      <c r="AT3" s="78">
        <f t="shared" ref="AT3:AT30" ca="1" si="10">RAND()</f>
        <v>0.68513295997950097</v>
      </c>
      <c r="AU3" s="78">
        <f ca="1">INDEX($AS$3:$AS$30,MATCH(SMALL($AT$3:$AT$30,ROWS(AT$3:AT3)),$AT$3:$AT$30,0))</f>
        <v>47</v>
      </c>
      <c r="AV3" s="78">
        <f ca="1">SMALL($AS$3:$AS$30,ROWS(AV$3:AV3))</f>
        <v>15</v>
      </c>
      <c r="AW3" s="85">
        <f ca="1">VLOOKUP(SMALL($BB$3:$BB$16,AX3),$BB$3:$BC$30,2,0)</f>
        <v>36</v>
      </c>
      <c r="AX3" s="85">
        <v>1</v>
      </c>
      <c r="BA3" s="85">
        <v>1</v>
      </c>
      <c r="BB3" s="85">
        <f t="shared" ref="BB3:BB30" ca="1" si="11">RAND()</f>
        <v>0.48461636633835259</v>
      </c>
      <c r="BC3" s="85">
        <f t="shared" ref="BC3:BC30" ca="1" si="12">AV3</f>
        <v>15</v>
      </c>
    </row>
    <row r="4" spans="1:55" ht="17.25" thickBot="1" x14ac:dyDescent="0.35">
      <c r="A4" s="9">
        <v>2</v>
      </c>
      <c r="B4" s="100">
        <v>36</v>
      </c>
      <c r="C4" s="101">
        <v>28</v>
      </c>
      <c r="D4" s="102">
        <v>40</v>
      </c>
      <c r="E4" s="142">
        <v>82</v>
      </c>
      <c r="F4" s="104" t="str">
        <f t="shared" si="0"/>
        <v>35 - 42</v>
      </c>
      <c r="G4" s="105">
        <f t="shared" si="5"/>
        <v>35</v>
      </c>
      <c r="H4" s="106">
        <f t="shared" si="1"/>
        <v>42</v>
      </c>
      <c r="I4" s="137">
        <f t="shared" si="2"/>
        <v>11</v>
      </c>
      <c r="J4" s="157">
        <f t="shared" si="6"/>
        <v>7</v>
      </c>
      <c r="K4" s="130">
        <f t="shared" si="3"/>
        <v>0.25</v>
      </c>
      <c r="L4" s="109">
        <f t="shared" si="4"/>
        <v>0.39285714285714285</v>
      </c>
      <c r="N4" s="161" t="s">
        <v>13</v>
      </c>
      <c r="O4" s="160">
        <f>MAX(B$3:B$86)</f>
        <v>88</v>
      </c>
      <c r="P4" s="160">
        <f>MAX(C$3:C$86)</f>
        <v>88</v>
      </c>
      <c r="Q4" s="160">
        <f>MAX(D$3:D$86)</f>
        <v>88</v>
      </c>
      <c r="R4" s="160">
        <f>MAX(E$3:E$86)</f>
        <v>88</v>
      </c>
      <c r="V4" s="85" t="s">
        <v>96</v>
      </c>
      <c r="Y4" s="85">
        <f>Y3*INT(O5/Y3)</f>
        <v>21</v>
      </c>
      <c r="AN4" s="88">
        <v>2</v>
      </c>
      <c r="AO4" s="88">
        <f t="shared" ca="1" si="7"/>
        <v>21.750737392122062</v>
      </c>
      <c r="AP4" s="88">
        <f ca="1">SMALL($AO$3:$AO$30,ROWS(AO$3:AO4))</f>
        <v>18.776167473946977</v>
      </c>
      <c r="AQ4" s="110">
        <f t="shared" ca="1" si="8"/>
        <v>1.9658416576943023</v>
      </c>
      <c r="AR4" s="110">
        <v>1.5</v>
      </c>
      <c r="AS4" s="78">
        <f t="shared" ca="1" si="9"/>
        <v>37</v>
      </c>
      <c r="AT4" s="78">
        <f t="shared" ca="1" si="10"/>
        <v>0.69789488965987145</v>
      </c>
      <c r="AU4" s="78">
        <f ca="1">INDEX($AS$3:$AS$30,MATCH(SMALL($AT$3:$AT$30,ROWS(AT$3:AT4)),$AT$3:$AT$30,0))</f>
        <v>84</v>
      </c>
      <c r="AV4" s="78">
        <f ca="1">SMALL($AS$3:$AS$30,ROWS(AV$3:AV4))</f>
        <v>22</v>
      </c>
      <c r="AW4" s="85">
        <f ca="1">VLOOKUP(SMALL($BB$17:$BB$30,AX4),$BB$17:$BC$30,2,0)</f>
        <v>54</v>
      </c>
      <c r="AX4" s="85">
        <v>1</v>
      </c>
      <c r="BA4" s="85">
        <v>2</v>
      </c>
      <c r="BB4" s="85">
        <f t="shared" ca="1" si="11"/>
        <v>0.84648725747544018</v>
      </c>
      <c r="BC4" s="85">
        <f t="shared" ca="1" si="12"/>
        <v>22</v>
      </c>
    </row>
    <row r="5" spans="1:55" ht="17.25" thickBot="1" x14ac:dyDescent="0.35">
      <c r="A5" s="9">
        <v>3</v>
      </c>
      <c r="B5" s="100">
        <v>54</v>
      </c>
      <c r="C5" s="101">
        <v>32</v>
      </c>
      <c r="D5" s="102">
        <v>44</v>
      </c>
      <c r="E5" s="142">
        <v>88</v>
      </c>
      <c r="F5" s="104" t="str">
        <f t="shared" si="0"/>
        <v>42 - 49</v>
      </c>
      <c r="G5" s="105">
        <f t="shared" si="5"/>
        <v>42</v>
      </c>
      <c r="H5" s="106">
        <f t="shared" si="1"/>
        <v>49</v>
      </c>
      <c r="I5" s="137">
        <f t="shared" si="2"/>
        <v>17</v>
      </c>
      <c r="J5" s="157">
        <f t="shared" si="6"/>
        <v>6</v>
      </c>
      <c r="K5" s="130">
        <f t="shared" si="3"/>
        <v>0.21428571428571427</v>
      </c>
      <c r="L5" s="109">
        <f t="shared" si="4"/>
        <v>0.6071428571428571</v>
      </c>
      <c r="N5" s="161" t="s">
        <v>14</v>
      </c>
      <c r="O5" s="160">
        <f>MIN(B$3:B$84)</f>
        <v>21</v>
      </c>
      <c r="P5" s="160">
        <f>MIN(C$3:C$84)</f>
        <v>21</v>
      </c>
      <c r="Q5" s="160">
        <f>MIN(D$3:D$84)</f>
        <v>21</v>
      </c>
      <c r="R5" s="160">
        <f>MIN(E$3:E$84)</f>
        <v>21</v>
      </c>
      <c r="V5" s="85" t="s">
        <v>93</v>
      </c>
      <c r="Y5" s="85">
        <f>ROUNDUP(O4/Y3,0)</f>
        <v>13</v>
      </c>
      <c r="AN5" s="88">
        <v>3</v>
      </c>
      <c r="AO5" s="88">
        <f t="shared" ca="1" si="7"/>
        <v>33.854666858108942</v>
      </c>
      <c r="AP5" s="88">
        <f ca="1">SMALL($AO$3:$AO$30,ROWS(AO$3:AO5))</f>
        <v>18.88890766078238</v>
      </c>
      <c r="AQ5" s="110">
        <f t="shared" ca="1" si="8"/>
        <v>2.3880267745664887</v>
      </c>
      <c r="AR5" s="110">
        <v>2</v>
      </c>
      <c r="AS5" s="78">
        <f t="shared" ca="1" si="9"/>
        <v>46</v>
      </c>
      <c r="AT5" s="78">
        <f t="shared" ca="1" si="10"/>
        <v>0.28166764517164344</v>
      </c>
      <c r="AU5" s="78">
        <f ca="1">INDEX($AS$3:$AS$30,MATCH(SMALL($AT$3:$AT$30,ROWS(AT$3:AT5)),$AT$3:$AT$30,0))</f>
        <v>23</v>
      </c>
      <c r="AV5" s="78">
        <f ca="1">SMALL($AS$3:$AS$30,ROWS(AV$3:AV5))</f>
        <v>23</v>
      </c>
      <c r="AW5" s="85">
        <f ca="1">VLOOKUP(SMALL($BB$17:$BB$30,AX5),$BB$17:$BC$30,2,0)</f>
        <v>84</v>
      </c>
      <c r="AX5" s="85">
        <v>2</v>
      </c>
      <c r="BA5" s="85">
        <v>3</v>
      </c>
      <c r="BB5" s="85">
        <f t="shared" ca="1" si="11"/>
        <v>0.62334926853193084</v>
      </c>
      <c r="BC5" s="85">
        <f t="shared" ca="1" si="12"/>
        <v>23</v>
      </c>
    </row>
    <row r="6" spans="1:55" ht="17.25" thickBot="1" x14ac:dyDescent="0.35">
      <c r="A6" s="9">
        <v>4</v>
      </c>
      <c r="B6" s="100">
        <v>50</v>
      </c>
      <c r="C6" s="101">
        <v>34</v>
      </c>
      <c r="D6" s="102">
        <v>21</v>
      </c>
      <c r="E6" s="142">
        <v>21</v>
      </c>
      <c r="F6" s="104" t="str">
        <f t="shared" si="0"/>
        <v>49 - 56</v>
      </c>
      <c r="G6" s="105">
        <f t="shared" si="5"/>
        <v>49</v>
      </c>
      <c r="H6" s="106">
        <f t="shared" si="1"/>
        <v>56</v>
      </c>
      <c r="I6" s="137">
        <f t="shared" si="2"/>
        <v>21</v>
      </c>
      <c r="J6" s="157">
        <f t="shared" si="6"/>
        <v>4</v>
      </c>
      <c r="K6" s="130">
        <f t="shared" si="3"/>
        <v>0.14285714285714285</v>
      </c>
      <c r="L6" s="109">
        <f t="shared" si="4"/>
        <v>0.75</v>
      </c>
      <c r="N6" s="161" t="s">
        <v>5</v>
      </c>
      <c r="O6" s="160">
        <f>O4-O5</f>
        <v>67</v>
      </c>
      <c r="P6" s="160">
        <f>P4-P5</f>
        <v>67</v>
      </c>
      <c r="Q6" s="160">
        <f>Q4-Q5</f>
        <v>67</v>
      </c>
      <c r="R6" s="160">
        <f>R4-R5</f>
        <v>67</v>
      </c>
      <c r="V6" s="85" t="s">
        <v>97</v>
      </c>
      <c r="Y6" s="85">
        <f>Y5*Y3</f>
        <v>91</v>
      </c>
      <c r="AN6" s="88">
        <v>4</v>
      </c>
      <c r="AO6" s="88">
        <f t="shared" ca="1" si="7"/>
        <v>20.606398346965371</v>
      </c>
      <c r="AP6" s="88">
        <f ca="1">SMALL($AO$3:$AO$30,ROWS(AO$3:AO6))</f>
        <v>18.904914640454955</v>
      </c>
      <c r="AQ6" s="110">
        <f t="shared" ca="1" si="8"/>
        <v>1.1161703394622688</v>
      </c>
      <c r="AR6" s="110">
        <v>1</v>
      </c>
      <c r="AS6" s="78">
        <f t="shared" ca="1" si="9"/>
        <v>22</v>
      </c>
      <c r="AT6" s="78">
        <f t="shared" ca="1" si="10"/>
        <v>0.14436769785429693</v>
      </c>
      <c r="AU6" s="78">
        <f ca="1">INDEX($AS$3:$AS$30,MATCH(SMALL($AT$3:$AT$30,ROWS(AT$3:AT6)),$AT$3:$AT$30,0))</f>
        <v>32</v>
      </c>
      <c r="AV6" s="78">
        <f ca="1">SMALL($AS$3:$AS$30,ROWS(AV$3:AV6))</f>
        <v>24</v>
      </c>
      <c r="AW6" s="85">
        <f ca="1">VLOOKUP(SMALL($BB$3:$BB$16,AX6),$BB$3:$BC$30,2,0)</f>
        <v>30</v>
      </c>
      <c r="AX6" s="85">
        <v>2</v>
      </c>
      <c r="BA6" s="85">
        <v>4</v>
      </c>
      <c r="BB6" s="85">
        <f t="shared" ca="1" si="11"/>
        <v>0.97201549791420705</v>
      </c>
      <c r="BC6" s="85">
        <f t="shared" ca="1" si="12"/>
        <v>24</v>
      </c>
    </row>
    <row r="7" spans="1:55" ht="17.25" thickBot="1" x14ac:dyDescent="0.35">
      <c r="A7" s="9">
        <v>5</v>
      </c>
      <c r="B7" s="100">
        <v>40</v>
      </c>
      <c r="C7" s="101">
        <v>36</v>
      </c>
      <c r="D7" s="102">
        <v>34</v>
      </c>
      <c r="E7" s="142">
        <v>28</v>
      </c>
      <c r="F7" s="104" t="str">
        <f t="shared" si="0"/>
        <v>56 - 63</v>
      </c>
      <c r="G7" s="105">
        <f t="shared" si="5"/>
        <v>56</v>
      </c>
      <c r="H7" s="106">
        <f t="shared" si="1"/>
        <v>63</v>
      </c>
      <c r="I7" s="137">
        <f t="shared" si="2"/>
        <v>23</v>
      </c>
      <c r="J7" s="157">
        <f t="shared" si="6"/>
        <v>2</v>
      </c>
      <c r="K7" s="130">
        <f t="shared" si="3"/>
        <v>7.1428571428571425E-2</v>
      </c>
      <c r="L7" s="109">
        <f t="shared" si="4"/>
        <v>0.8214285714285714</v>
      </c>
      <c r="N7" s="161" t="s">
        <v>15</v>
      </c>
      <c r="O7" s="160">
        <f>_xlfn.STDEV.S(B$3:B$86)</f>
        <v>15.568758569206576</v>
      </c>
      <c r="P7" s="160">
        <f>_xlfn.STDEV.S(C$3:C$86)</f>
        <v>15.568758569206576</v>
      </c>
      <c r="Q7" s="160">
        <f>_xlfn.STDEV.S(D$3:D$86)</f>
        <v>15.568758569206576</v>
      </c>
      <c r="R7" s="160">
        <f>_xlfn.STDEV.S(E$3:E$86)</f>
        <v>15.568758569206576</v>
      </c>
      <c r="V7" s="85" t="s">
        <v>98</v>
      </c>
      <c r="Y7" s="85">
        <v>4</v>
      </c>
      <c r="AN7" s="88">
        <v>5</v>
      </c>
      <c r="AO7" s="88">
        <f t="shared" ca="1" si="7"/>
        <v>19.029994799608644</v>
      </c>
      <c r="AP7" s="88">
        <f ca="1">SMALL($AO$3:$AO$30,ROWS(AO$3:AO7))</f>
        <v>19.029994799608644</v>
      </c>
      <c r="AQ7" s="110">
        <f t="shared" ca="1" si="8"/>
        <v>1.2474493739337671</v>
      </c>
      <c r="AR7" s="110">
        <f t="shared" ref="AR7:AR30" si="13">AR3</f>
        <v>1</v>
      </c>
      <c r="AS7" s="78">
        <f t="shared" ca="1" si="9"/>
        <v>24</v>
      </c>
      <c r="AT7" s="78">
        <f t="shared" ca="1" si="10"/>
        <v>0.92162456858033182</v>
      </c>
      <c r="AU7" s="78">
        <f ca="1">INDEX($AS$3:$AS$30,MATCH(SMALL($AT$3:$AT$30,ROWS(AT$3:AT7)),$AT$3:$AT$30,0))</f>
        <v>22</v>
      </c>
      <c r="AV7" s="78">
        <f ca="1">SMALL($AS$3:$AS$30,ROWS(AV$3:AV7))</f>
        <v>27</v>
      </c>
      <c r="AW7" s="85">
        <f ca="1">VLOOKUP(SMALL($BB$3:$BB$16,AX7),$BB$3:$BC$30,2,0)</f>
        <v>15</v>
      </c>
      <c r="AX7" s="85">
        <f t="shared" ref="AX7:AX30" si="14">2+AX3</f>
        <v>3</v>
      </c>
      <c r="BA7" s="85">
        <v>5</v>
      </c>
      <c r="BB7" s="85">
        <f t="shared" ca="1" si="11"/>
        <v>0.73700476957819772</v>
      </c>
      <c r="BC7" s="85">
        <f t="shared" ca="1" si="12"/>
        <v>27</v>
      </c>
    </row>
    <row r="8" spans="1:55" ht="17.25" thickBot="1" x14ac:dyDescent="0.35">
      <c r="A8" s="9">
        <v>6</v>
      </c>
      <c r="B8" s="100">
        <v>44</v>
      </c>
      <c r="C8" s="101">
        <v>37</v>
      </c>
      <c r="D8" s="102">
        <v>37</v>
      </c>
      <c r="E8" s="142">
        <v>54</v>
      </c>
      <c r="F8" s="104" t="str">
        <f t="shared" si="0"/>
        <v>63 - 70</v>
      </c>
      <c r="G8" s="105">
        <f t="shared" si="5"/>
        <v>63</v>
      </c>
      <c r="H8" s="106">
        <f t="shared" si="1"/>
        <v>70</v>
      </c>
      <c r="I8" s="137">
        <f t="shared" si="2"/>
        <v>24</v>
      </c>
      <c r="J8" s="157">
        <f t="shared" si="6"/>
        <v>1</v>
      </c>
      <c r="K8" s="130">
        <f t="shared" si="3"/>
        <v>3.5714285714285712E-2</v>
      </c>
      <c r="L8" s="109">
        <f t="shared" si="4"/>
        <v>0.8571428571428571</v>
      </c>
      <c r="N8" s="161" t="s">
        <v>16</v>
      </c>
      <c r="O8" s="160">
        <f>O7/O2</f>
        <v>0.32006258438897511</v>
      </c>
      <c r="P8" s="160">
        <f>P7/P2</f>
        <v>0.32006258438897511</v>
      </c>
      <c r="Q8" s="160">
        <f>Q7/Q2</f>
        <v>0.32006258438897511</v>
      </c>
      <c r="R8" s="160">
        <f>R7/R2</f>
        <v>0.32006258438897511</v>
      </c>
      <c r="AN8" s="88">
        <v>6</v>
      </c>
      <c r="AO8" s="88">
        <f t="shared" ca="1" si="7"/>
        <v>20.82137699097315</v>
      </c>
      <c r="AP8" s="88">
        <f ca="1">SMALL($AO$3:$AO$30,ROWS(AO$3:AO8))</f>
        <v>19.355571493785483</v>
      </c>
      <c r="AQ8" s="110">
        <f t="shared" ca="1" si="8"/>
        <v>1.5774914237221092</v>
      </c>
      <c r="AR8" s="110">
        <f t="shared" si="13"/>
        <v>1.5</v>
      </c>
      <c r="AS8" s="78">
        <f t="shared" ca="1" si="9"/>
        <v>31</v>
      </c>
      <c r="AT8" s="78">
        <f t="shared" ca="1" si="10"/>
        <v>0.92166736885664291</v>
      </c>
      <c r="AU8" s="78">
        <f ca="1">INDEX($AS$3:$AS$30,MATCH(SMALL($AT$3:$AT$30,ROWS(AT$3:AT8)),$AT$3:$AT$30,0))</f>
        <v>41</v>
      </c>
      <c r="AV8" s="78">
        <f ca="1">SMALL($AS$3:$AS$30,ROWS(AV$3:AV8))</f>
        <v>30</v>
      </c>
      <c r="AW8" s="85">
        <f ca="1">VLOOKUP(SMALL($BB$17:$BB$30,AX8),$BB$17:$BC$30,2,0)</f>
        <v>44</v>
      </c>
      <c r="AX8" s="85">
        <f t="shared" si="14"/>
        <v>3</v>
      </c>
      <c r="BA8" s="85">
        <v>6</v>
      </c>
      <c r="BB8" s="85">
        <f t="shared" ca="1" si="11"/>
        <v>0.39217732123747517</v>
      </c>
      <c r="BC8" s="85">
        <f t="shared" ca="1" si="12"/>
        <v>30</v>
      </c>
    </row>
    <row r="9" spans="1:55" ht="17.25" thickBot="1" x14ac:dyDescent="0.35">
      <c r="A9" s="9">
        <v>7</v>
      </c>
      <c r="B9" s="100">
        <v>58</v>
      </c>
      <c r="C9" s="101">
        <v>39</v>
      </c>
      <c r="D9" s="102">
        <v>55</v>
      </c>
      <c r="E9" s="142">
        <v>46</v>
      </c>
      <c r="F9" s="104" t="str">
        <f t="shared" si="0"/>
        <v>70 - 77</v>
      </c>
      <c r="G9" s="105">
        <f t="shared" si="5"/>
        <v>70</v>
      </c>
      <c r="H9" s="106">
        <f t="shared" si="1"/>
        <v>77</v>
      </c>
      <c r="I9" s="137">
        <f t="shared" si="2"/>
        <v>26</v>
      </c>
      <c r="J9" s="157">
        <f t="shared" si="6"/>
        <v>2</v>
      </c>
      <c r="K9" s="130">
        <f t="shared" si="3"/>
        <v>7.1428571428571425E-2</v>
      </c>
      <c r="L9" s="109">
        <f t="shared" si="4"/>
        <v>0.9285714285714286</v>
      </c>
      <c r="N9" s="133" t="s">
        <v>92</v>
      </c>
      <c r="O9" s="134">
        <f>O2/O3</f>
        <v>1.0930979133226324</v>
      </c>
      <c r="P9" s="134">
        <f>P2/P3</f>
        <v>1.0930979133226324</v>
      </c>
      <c r="Q9" s="134">
        <f>Q2/Q3</f>
        <v>1.0930979133226324</v>
      </c>
      <c r="R9" s="134">
        <f>R2/R3</f>
        <v>1.0930979133226324</v>
      </c>
      <c r="AN9" s="88">
        <v>8</v>
      </c>
      <c r="AO9" s="88">
        <f t="shared" ca="1" si="7"/>
        <v>26.351538805563436</v>
      </c>
      <c r="AP9" s="88">
        <f ca="1">SMALL($AO$3:$AO$30,ROWS(AO$3:AO9))</f>
        <v>19.577801626355971</v>
      </c>
      <c r="AQ9" s="110">
        <f t="shared" ca="1" si="8"/>
        <v>2.2053654162601011</v>
      </c>
      <c r="AR9" s="110">
        <f t="shared" si="13"/>
        <v>2</v>
      </c>
      <c r="AS9" s="78">
        <f t="shared" ca="1" si="9"/>
        <v>44</v>
      </c>
      <c r="AT9" s="78">
        <f t="shared" ca="1" si="10"/>
        <v>0.38929792194516288</v>
      </c>
      <c r="AU9" s="78">
        <f ca="1">INDEX($AS$3:$AS$30,MATCH(SMALL($AT$3:$AT$30,ROWS(AT$3:AT9)),$AT$3:$AT$30,0))</f>
        <v>27</v>
      </c>
      <c r="AV9" s="78">
        <f ca="1">SMALL($AS$3:$AS$30,ROWS(AV$3:AV9))</f>
        <v>31</v>
      </c>
      <c r="AW9" s="85">
        <f ca="1">VLOOKUP(SMALL($BB$17:$BB$30,AX9),$BB$17:$BC$30,2,0)</f>
        <v>59</v>
      </c>
      <c r="AX9" s="85">
        <f t="shared" si="14"/>
        <v>4</v>
      </c>
      <c r="BA9" s="85">
        <v>7</v>
      </c>
      <c r="BB9" s="85">
        <f t="shared" ca="1" si="11"/>
        <v>0.60654894670877424</v>
      </c>
      <c r="BC9" s="85">
        <f t="shared" ca="1" si="12"/>
        <v>31</v>
      </c>
    </row>
    <row r="10" spans="1:55" ht="17.25" thickBot="1" x14ac:dyDescent="0.35">
      <c r="A10" s="9">
        <v>8</v>
      </c>
      <c r="B10" s="100">
        <v>21</v>
      </c>
      <c r="C10" s="101">
        <v>40</v>
      </c>
      <c r="D10" s="102">
        <v>36</v>
      </c>
      <c r="E10" s="142">
        <v>43</v>
      </c>
      <c r="F10" s="104" t="str">
        <f t="shared" si="0"/>
        <v>77 - 84</v>
      </c>
      <c r="G10" s="105">
        <f t="shared" si="5"/>
        <v>77</v>
      </c>
      <c r="H10" s="106">
        <f t="shared" si="1"/>
        <v>84</v>
      </c>
      <c r="I10" s="137">
        <f t="shared" si="2"/>
        <v>27</v>
      </c>
      <c r="J10" s="157">
        <f t="shared" si="6"/>
        <v>1</v>
      </c>
      <c r="K10" s="130">
        <f t="shared" si="3"/>
        <v>3.5714285714285712E-2</v>
      </c>
      <c r="L10" s="109">
        <f t="shared" si="4"/>
        <v>0.9642857142857143</v>
      </c>
      <c r="N10" s="159" t="s">
        <v>90</v>
      </c>
      <c r="O10" s="158">
        <f>O6/O2</f>
        <v>1.3773861967694565</v>
      </c>
      <c r="P10" s="158">
        <f>P6/P2</f>
        <v>1.3773861967694565</v>
      </c>
      <c r="Q10" s="158">
        <f>Q6/Q2</f>
        <v>1.3773861967694565</v>
      </c>
      <c r="R10" s="158">
        <f>R6/R2</f>
        <v>1.3773861967694565</v>
      </c>
      <c r="AN10" s="88">
        <v>7</v>
      </c>
      <c r="AO10" s="88">
        <f t="shared" ca="1" si="7"/>
        <v>28.778071573267859</v>
      </c>
      <c r="AP10" s="88">
        <f ca="1">SMALL($AO$3:$AO$30,ROWS(AO$3:AO10))</f>
        <v>19.887423040287203</v>
      </c>
      <c r="AQ10" s="110">
        <f t="shared" ca="1" si="8"/>
        <v>1.486113795616496</v>
      </c>
      <c r="AR10" s="110">
        <f t="shared" si="13"/>
        <v>1</v>
      </c>
      <c r="AS10" s="78">
        <f t="shared" ca="1" si="9"/>
        <v>30</v>
      </c>
      <c r="AT10" s="78">
        <f t="shared" ca="1" si="10"/>
        <v>0.92387588426748379</v>
      </c>
      <c r="AU10" s="78">
        <f ca="1">INDEX($AS$3:$AS$30,MATCH(SMALL($AT$3:$AT$30,ROWS(AT$3:AT10)),$AT$3:$AT$30,0))</f>
        <v>46</v>
      </c>
      <c r="AV10" s="78">
        <f ca="1">SMALL($AS$3:$AS$30,ROWS(AV$3:AV10))</f>
        <v>32</v>
      </c>
      <c r="AW10" s="85">
        <f ca="1">VLOOKUP(SMALL($BB$3:$BB$16,AX10),$BB$3:$BC$30,2,0)</f>
        <v>41</v>
      </c>
      <c r="AX10" s="85">
        <f t="shared" si="14"/>
        <v>4</v>
      </c>
      <c r="BA10" s="85">
        <v>8</v>
      </c>
      <c r="BB10" s="85">
        <f t="shared" ca="1" si="11"/>
        <v>0.87307614225562979</v>
      </c>
      <c r="BC10" s="85">
        <f t="shared" ca="1" si="12"/>
        <v>32</v>
      </c>
    </row>
    <row r="11" spans="1:55" ht="17.25" thickBot="1" x14ac:dyDescent="0.35">
      <c r="A11" s="9">
        <v>9</v>
      </c>
      <c r="B11" s="100">
        <v>46</v>
      </c>
      <c r="C11" s="101">
        <v>40</v>
      </c>
      <c r="D11" s="102">
        <v>40</v>
      </c>
      <c r="E11" s="142">
        <v>36</v>
      </c>
      <c r="F11" s="104" t="str">
        <f t="shared" si="0"/>
        <v>84 - 91</v>
      </c>
      <c r="G11" s="105">
        <f t="shared" si="5"/>
        <v>84</v>
      </c>
      <c r="H11" s="106">
        <f t="shared" si="1"/>
        <v>91</v>
      </c>
      <c r="I11" s="137">
        <f t="shared" si="2"/>
        <v>28</v>
      </c>
      <c r="J11" s="157">
        <f t="shared" si="6"/>
        <v>1</v>
      </c>
      <c r="K11" s="130">
        <f t="shared" si="3"/>
        <v>3.5714285714285712E-2</v>
      </c>
      <c r="L11" s="109">
        <f t="shared" si="4"/>
        <v>1</v>
      </c>
      <c r="AN11" s="88">
        <v>12</v>
      </c>
      <c r="AO11" s="88">
        <f t="shared" ca="1" si="7"/>
        <v>22.950337820869489</v>
      </c>
      <c r="AP11" s="88">
        <f ca="1">SMALL($AO$3:$AO$30,ROWS(AO$3:AO11))</f>
        <v>20.606398346965371</v>
      </c>
      <c r="AQ11" s="110">
        <f t="shared" ca="1" si="8"/>
        <v>1.5520251311038236</v>
      </c>
      <c r="AR11" s="110">
        <f t="shared" si="13"/>
        <v>1</v>
      </c>
      <c r="AS11" s="78">
        <f t="shared" ca="1" si="9"/>
        <v>32</v>
      </c>
      <c r="AT11" s="78">
        <f t="shared" ca="1" si="10"/>
        <v>0.13548080003266316</v>
      </c>
      <c r="AU11" s="78">
        <f ca="1">INDEX($AS$3:$AS$30,MATCH(SMALL($AT$3:$AT$30,ROWS(AT$3:AT11)),$AT$3:$AT$30,0))</f>
        <v>65</v>
      </c>
      <c r="AV11" s="78">
        <f ca="1">SMALL($AS$3:$AS$30,ROWS(AV$3:AV11))</f>
        <v>32</v>
      </c>
      <c r="AW11" s="85">
        <f ca="1">VLOOKUP(SMALL($BB$3:$BB$16,AX11),$BB$3:$BC$30,2,0)</f>
        <v>40</v>
      </c>
      <c r="AX11" s="85">
        <f t="shared" si="14"/>
        <v>5</v>
      </c>
      <c r="BA11" s="85">
        <v>9</v>
      </c>
      <c r="BB11" s="85">
        <f t="shared" ca="1" si="11"/>
        <v>0.69368922732745286</v>
      </c>
      <c r="BC11" s="85">
        <f t="shared" ca="1" si="12"/>
        <v>32</v>
      </c>
    </row>
    <row r="12" spans="1:55" ht="17.25" thickBot="1" x14ac:dyDescent="0.35">
      <c r="A12" s="9">
        <v>10</v>
      </c>
      <c r="B12" s="100">
        <v>39</v>
      </c>
      <c r="C12" s="101">
        <v>40</v>
      </c>
      <c r="D12" s="102">
        <v>50</v>
      </c>
      <c r="E12" s="142">
        <v>60</v>
      </c>
      <c r="F12" s="104" t="str">
        <f t="shared" si="0"/>
        <v>91 - 98</v>
      </c>
      <c r="G12" s="105">
        <f t="shared" si="5"/>
        <v>91</v>
      </c>
      <c r="H12" s="106">
        <f t="shared" si="1"/>
        <v>98</v>
      </c>
      <c r="I12" s="137">
        <f t="shared" si="2"/>
        <v>28</v>
      </c>
      <c r="J12" s="157">
        <f t="shared" si="6"/>
        <v>0</v>
      </c>
      <c r="K12" s="130">
        <f t="shared" si="3"/>
        <v>0</v>
      </c>
      <c r="L12" s="109">
        <f t="shared" si="4"/>
        <v>1</v>
      </c>
      <c r="AN12" s="88">
        <v>9</v>
      </c>
      <c r="AO12" s="88">
        <f t="shared" ca="1" si="7"/>
        <v>19.577801626355971</v>
      </c>
      <c r="AP12" s="88">
        <f ca="1">SMALL($AO$3:$AO$30,ROWS(AO$3:AO12))</f>
        <v>20.82137699097315</v>
      </c>
      <c r="AQ12" s="110">
        <f t="shared" ca="1" si="8"/>
        <v>1.6165597925637576</v>
      </c>
      <c r="AR12" s="110">
        <f t="shared" si="13"/>
        <v>1.5</v>
      </c>
      <c r="AS12" s="78">
        <f t="shared" ca="1" si="9"/>
        <v>34</v>
      </c>
      <c r="AT12" s="78">
        <f t="shared" ca="1" si="10"/>
        <v>0.82405766829241478</v>
      </c>
      <c r="AU12" s="78">
        <f ca="1">INDEX($AS$3:$AS$30,MATCH(SMALL($AT$3:$AT$30,ROWS(AT$3:AT12)),$AT$3:$AT$30,0))</f>
        <v>36</v>
      </c>
      <c r="AV12" s="78">
        <f ca="1">SMALL($AS$3:$AS$30,ROWS(AV$3:AV12))</f>
        <v>34</v>
      </c>
      <c r="AW12" s="85">
        <f ca="1">VLOOKUP(SMALL($BB$17:$BB$30,AX12),$BB$17:$BC$30,2,0)</f>
        <v>69</v>
      </c>
      <c r="AX12" s="85">
        <f t="shared" si="14"/>
        <v>5</v>
      </c>
      <c r="BA12" s="85">
        <v>10</v>
      </c>
      <c r="BB12" s="85">
        <f t="shared" ca="1" si="11"/>
        <v>0.99525205608018696</v>
      </c>
      <c r="BC12" s="85">
        <f t="shared" ca="1" si="12"/>
        <v>34</v>
      </c>
    </row>
    <row r="13" spans="1:55" ht="17.25" thickBot="1" x14ac:dyDescent="0.35">
      <c r="A13" s="9">
        <v>11</v>
      </c>
      <c r="B13" s="100">
        <v>32</v>
      </c>
      <c r="C13" s="101">
        <v>41</v>
      </c>
      <c r="D13" s="102">
        <v>60</v>
      </c>
      <c r="E13" s="142">
        <v>63</v>
      </c>
      <c r="F13" s="104" t="str">
        <f t="shared" si="0"/>
        <v>98 - 105</v>
      </c>
      <c r="G13" s="105">
        <f t="shared" si="5"/>
        <v>98</v>
      </c>
      <c r="H13" s="106">
        <f t="shared" si="1"/>
        <v>105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24.816848537297002</v>
      </c>
      <c r="AP13" s="88">
        <f ca="1">SMALL($AO$3:$AO$30,ROWS(AO$3:AO13))</f>
        <v>21.142575184744178</v>
      </c>
      <c r="AQ13" s="110">
        <f t="shared" ca="1" si="8"/>
        <v>2.4956320780301877</v>
      </c>
      <c r="AR13" s="110">
        <f t="shared" si="13"/>
        <v>2</v>
      </c>
      <c r="AS13" s="78">
        <f t="shared" ca="1" si="9"/>
        <v>53</v>
      </c>
      <c r="AT13" s="78">
        <f t="shared" ca="1" si="10"/>
        <v>0.47032189155978144</v>
      </c>
      <c r="AU13" s="78">
        <f ca="1">INDEX($AS$3:$AS$30,MATCH(SMALL($AT$3:$AT$30,ROWS(AT$3:AT13)),$AT$3:$AT$30,0))</f>
        <v>59</v>
      </c>
      <c r="AV13" s="78">
        <f ca="1">SMALL($AS$3:$AS$30,ROWS(AV$3:AV13))</f>
        <v>36</v>
      </c>
      <c r="AW13" s="85">
        <f ca="1">VLOOKUP(SMALL($BB$17:$BB$30,AX13),$BB$17:$BC$30,2,0)</f>
        <v>47</v>
      </c>
      <c r="AX13" s="85">
        <f t="shared" si="14"/>
        <v>6</v>
      </c>
      <c r="BA13" s="85">
        <v>11</v>
      </c>
      <c r="BB13" s="85">
        <f t="shared" ca="1" si="11"/>
        <v>4.3988190024845109E-2</v>
      </c>
      <c r="BC13" s="85">
        <f t="shared" ca="1" si="12"/>
        <v>36</v>
      </c>
    </row>
    <row r="14" spans="1:55" ht="17.25" thickBot="1" x14ac:dyDescent="0.35">
      <c r="A14" s="9">
        <v>12</v>
      </c>
      <c r="B14" s="100">
        <v>70</v>
      </c>
      <c r="C14" s="101">
        <v>43</v>
      </c>
      <c r="D14" s="102">
        <v>39</v>
      </c>
      <c r="E14" s="142">
        <v>39</v>
      </c>
      <c r="F14" s="111" t="str">
        <f t="shared" si="0"/>
        <v>105 - 112</v>
      </c>
      <c r="G14" s="112">
        <f t="shared" si="5"/>
        <v>105</v>
      </c>
      <c r="H14" s="113">
        <f t="shared" si="1"/>
        <v>112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27.198724392535819</v>
      </c>
      <c r="AP14" s="88">
        <f ca="1">SMALL($AO$3:$AO$30,ROWS(AO$3:AO14))</f>
        <v>21.750737392122062</v>
      </c>
      <c r="AQ14" s="110">
        <f t="shared" ca="1" si="8"/>
        <v>1.2204478989049719</v>
      </c>
      <c r="AR14" s="110">
        <f t="shared" si="13"/>
        <v>1</v>
      </c>
      <c r="AS14" s="78">
        <f t="shared" ca="1" si="9"/>
        <v>27</v>
      </c>
      <c r="AT14" s="78">
        <f t="shared" ca="1" si="10"/>
        <v>0.19383781894011842</v>
      </c>
      <c r="AU14" s="78">
        <f ca="1">INDEX($AS$3:$AS$30,MATCH(SMALL($AT$3:$AT$30,ROWS(AT$3:AT14)),$AT$3:$AT$30,0))</f>
        <v>44</v>
      </c>
      <c r="AV14" s="78">
        <f ca="1">SMALL($AS$3:$AS$30,ROWS(AV$3:AV14))</f>
        <v>37</v>
      </c>
      <c r="AW14" s="85">
        <f ca="1">VLOOKUP(SMALL($BB$3:$BB$16,AX14),$BB$3:$BC$30,2,0)</f>
        <v>31</v>
      </c>
      <c r="AX14" s="85">
        <f t="shared" si="14"/>
        <v>6</v>
      </c>
      <c r="BA14" s="85">
        <v>12</v>
      </c>
      <c r="BB14" s="85">
        <f t="shared" ca="1" si="11"/>
        <v>0.98955021564684187</v>
      </c>
      <c r="BC14" s="85">
        <f t="shared" ca="1" si="12"/>
        <v>37</v>
      </c>
    </row>
    <row r="15" spans="1:55" ht="16.5" x14ac:dyDescent="0.3">
      <c r="A15" s="9">
        <v>13</v>
      </c>
      <c r="B15" s="100">
        <v>45</v>
      </c>
      <c r="C15" s="101">
        <v>44</v>
      </c>
      <c r="D15" s="102">
        <v>44</v>
      </c>
      <c r="E15" s="142">
        <v>44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0.99999999999999989</v>
      </c>
      <c r="L15" s="130"/>
      <c r="O15" s="85" t="s">
        <v>148</v>
      </c>
      <c r="AN15" s="88">
        <v>14</v>
      </c>
      <c r="AO15" s="88">
        <f t="shared" ca="1" si="7"/>
        <v>29.461976608442257</v>
      </c>
      <c r="AP15" s="88">
        <f ca="1">SMALL($AO$3:$AO$30,ROWS(AO$3:AO15))</f>
        <v>22.950337820869489</v>
      </c>
      <c r="AQ15" s="110">
        <f t="shared" ca="1" si="8"/>
        <v>1.0020769335064037</v>
      </c>
      <c r="AR15" s="110">
        <f t="shared" si="13"/>
        <v>1</v>
      </c>
      <c r="AS15" s="78">
        <f t="shared" ca="1" si="9"/>
        <v>23</v>
      </c>
      <c r="AT15" s="78">
        <f t="shared" ca="1" si="10"/>
        <v>8.2737631226819319E-2</v>
      </c>
      <c r="AU15" s="78">
        <f ca="1">INDEX($AS$3:$AS$30,MATCH(SMALL($AT$3:$AT$30,ROWS(AT$3:AT15)),$AT$3:$AT$30,0))</f>
        <v>32</v>
      </c>
      <c r="AV15" s="78">
        <f ca="1">SMALL($AS$3:$AS$30,ROWS(AV$3:AV15))</f>
        <v>40</v>
      </c>
      <c r="AW15" s="85">
        <f ca="1">VLOOKUP(SMALL($BB$3:$BB$16,AX15),$BB$3:$BC$30,2,0)</f>
        <v>23</v>
      </c>
      <c r="AX15" s="85">
        <f t="shared" si="14"/>
        <v>7</v>
      </c>
      <c r="BA15" s="85">
        <v>13</v>
      </c>
      <c r="BB15" s="85">
        <f t="shared" ca="1" si="11"/>
        <v>0.59270629092177873</v>
      </c>
      <c r="BC15" s="85">
        <f t="shared" ca="1" si="12"/>
        <v>40</v>
      </c>
    </row>
    <row r="16" spans="1:55" ht="16.5" x14ac:dyDescent="0.3">
      <c r="A16" s="9">
        <v>14</v>
      </c>
      <c r="B16" s="100">
        <v>48</v>
      </c>
      <c r="C16" s="101">
        <v>44</v>
      </c>
      <c r="D16" s="102">
        <v>54</v>
      </c>
      <c r="E16" s="142">
        <v>70</v>
      </c>
      <c r="AN16" s="88">
        <v>16</v>
      </c>
      <c r="AO16" s="88">
        <f t="shared" ca="1" si="7"/>
        <v>28.396953703656731</v>
      </c>
      <c r="AP16" s="88">
        <f ca="1">SMALL($AO$3:$AO$30,ROWS(AO$3:AO16))</f>
        <v>23.021594757099543</v>
      </c>
      <c r="AQ16" s="110">
        <f t="shared" ca="1" si="8"/>
        <v>2.0189042471994529</v>
      </c>
      <c r="AR16" s="110">
        <f t="shared" si="13"/>
        <v>1.5</v>
      </c>
      <c r="AS16" s="78">
        <f t="shared" ca="1" si="9"/>
        <v>47</v>
      </c>
      <c r="AT16" s="78">
        <f t="shared" ca="1" si="10"/>
        <v>1.6426351464714939E-2</v>
      </c>
      <c r="AU16" s="78">
        <f ca="1">INDEX($AS$3:$AS$30,MATCH(SMALL($AT$3:$AT$30,ROWS(AT$3:AT16)),$AT$3:$AT$30,0))</f>
        <v>88</v>
      </c>
      <c r="AV16" s="78">
        <f ca="1">SMALL($AS$3:$AS$30,ROWS(AV$3:AV16))</f>
        <v>41</v>
      </c>
      <c r="AW16" s="85">
        <f ca="1">VLOOKUP(SMALL($BB$17:$BB$30,AX16),$BB$17:$BC$30,2,0)</f>
        <v>70</v>
      </c>
      <c r="AX16" s="85">
        <f t="shared" si="14"/>
        <v>7</v>
      </c>
      <c r="BA16" s="85">
        <v>14</v>
      </c>
      <c r="BB16" s="85">
        <f t="shared" ca="1" si="11"/>
        <v>0.59091212056917619</v>
      </c>
      <c r="BC16" s="85">
        <f t="shared" ca="1" si="12"/>
        <v>41</v>
      </c>
    </row>
    <row r="17" spans="1:63" ht="16.5" x14ac:dyDescent="0.3">
      <c r="A17" s="9">
        <v>15</v>
      </c>
      <c r="B17" s="100">
        <v>43</v>
      </c>
      <c r="C17" s="101">
        <v>45</v>
      </c>
      <c r="D17" s="102">
        <v>58</v>
      </c>
      <c r="E17" s="142">
        <v>55</v>
      </c>
      <c r="J17" s="118"/>
      <c r="K17" s="118"/>
      <c r="AN17" s="88">
        <v>18</v>
      </c>
      <c r="AO17" s="88">
        <f t="shared" ca="1" si="7"/>
        <v>30.813162327906809</v>
      </c>
      <c r="AP17" s="88">
        <f ca="1">SMALL($AO$3:$AO$30,ROWS(AO$3:AO17))</f>
        <v>24.816848537297002</v>
      </c>
      <c r="AQ17" s="110">
        <f t="shared" ca="1" si="8"/>
        <v>2.1800516149989719</v>
      </c>
      <c r="AR17" s="110">
        <f t="shared" si="13"/>
        <v>2</v>
      </c>
      <c r="AS17" s="78">
        <f t="shared" ca="1" si="9"/>
        <v>55</v>
      </c>
      <c r="AT17" s="78">
        <f t="shared" ca="1" si="10"/>
        <v>0.65914846183651921</v>
      </c>
      <c r="AU17" s="78">
        <f ca="1">INDEX($AS$3:$AS$30,MATCH(SMALL($AT$3:$AT$30,ROWS(AT$3:AT17)),$AT$3:$AT$30,0))</f>
        <v>53</v>
      </c>
      <c r="AV17" s="78">
        <f ca="1">SMALL($AS$3:$AS$30,ROWS(AV$3:AV17))</f>
        <v>43</v>
      </c>
      <c r="AW17" s="85">
        <f ca="1">VLOOKUP(SMALL($BB$17:$BB$30,AX17),$BB$17:$BC$30,2,0)</f>
        <v>46</v>
      </c>
      <c r="AX17" s="85">
        <f t="shared" si="14"/>
        <v>8</v>
      </c>
      <c r="BA17" s="85">
        <v>15</v>
      </c>
      <c r="BB17" s="85">
        <f t="shared" ca="1" si="11"/>
        <v>0.89598312382093293</v>
      </c>
      <c r="BC17" s="85">
        <f t="shared" ca="1" si="12"/>
        <v>43</v>
      </c>
    </row>
    <row r="18" spans="1:63" ht="16.5" x14ac:dyDescent="0.3">
      <c r="A18" s="9">
        <v>16</v>
      </c>
      <c r="B18" s="100">
        <v>70</v>
      </c>
      <c r="C18" s="101">
        <v>46</v>
      </c>
      <c r="D18" s="102">
        <v>28</v>
      </c>
      <c r="E18" s="142">
        <v>37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27.892341666783278</v>
      </c>
      <c r="AP18" s="88">
        <f ca="1">SMALL($AO$3:$AO$30,ROWS(AO$3:AO18))</f>
        <v>26.351538805563436</v>
      </c>
      <c r="AQ18" s="110">
        <f t="shared" ca="1" si="8"/>
        <v>1.1965512363754511</v>
      </c>
      <c r="AR18" s="110">
        <f t="shared" si="13"/>
        <v>1</v>
      </c>
      <c r="AS18" s="78">
        <f t="shared" ca="1" si="9"/>
        <v>32</v>
      </c>
      <c r="AT18" s="78">
        <f t="shared" ca="1" si="10"/>
        <v>0.43644210142486806</v>
      </c>
      <c r="AU18" s="78">
        <f ca="1">INDEX($AS$3:$AS$30,MATCH(SMALL($AT$3:$AT$30,ROWS(AT$3:AT18)),$AT$3:$AT$30,0))</f>
        <v>54</v>
      </c>
      <c r="AV18" s="78">
        <f ca="1">SMALL($AS$3:$AS$30,ROWS(AV$3:AV18))</f>
        <v>44</v>
      </c>
      <c r="AW18" s="85">
        <f ca="1">VLOOKUP(SMALL($BB$3:$BB$16,AX18),$BB$3:$BC$30,2,0)</f>
        <v>32</v>
      </c>
      <c r="AX18" s="85">
        <f t="shared" si="14"/>
        <v>8</v>
      </c>
      <c r="BA18" s="85">
        <v>16</v>
      </c>
      <c r="BB18" s="85">
        <f t="shared" ca="1" si="11"/>
        <v>0.15266247824047674</v>
      </c>
      <c r="BC18" s="85">
        <f t="shared" ca="1" si="12"/>
        <v>44</v>
      </c>
    </row>
    <row r="19" spans="1:63" ht="16.5" x14ac:dyDescent="0.3">
      <c r="A19" s="9">
        <v>17</v>
      </c>
      <c r="B19" s="100">
        <v>40</v>
      </c>
      <c r="C19" s="101">
        <v>48</v>
      </c>
      <c r="D19" s="102">
        <v>41</v>
      </c>
      <c r="E19" s="142">
        <v>40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30.31986282391248</v>
      </c>
      <c r="AP19" s="88">
        <f ca="1">SMALL($AO$3:$AO$30,ROWS(AO$3:AO19))</f>
        <v>27.198724392535819</v>
      </c>
      <c r="AQ19" s="110">
        <f t="shared" ca="1" si="8"/>
        <v>1.3105828541988571</v>
      </c>
      <c r="AR19" s="110">
        <f t="shared" si="13"/>
        <v>1</v>
      </c>
      <c r="AS19" s="78">
        <f t="shared" ca="1" si="9"/>
        <v>36</v>
      </c>
      <c r="AT19" s="78">
        <f t="shared" ca="1" si="10"/>
        <v>0.35034106597512105</v>
      </c>
      <c r="AU19" s="78">
        <f ca="1">INDEX($AS$3:$AS$30,MATCH(SMALL($AT$3:$AT$30,ROWS(AT$3:AT19)),$AT$3:$AT$30,0))</f>
        <v>46</v>
      </c>
      <c r="AV19" s="78">
        <f ca="1">SMALL($AS$3:$AS$30,ROWS(AV$3:AV19))</f>
        <v>46</v>
      </c>
      <c r="AW19" s="85">
        <f ca="1">VLOOKUP(SMALL($BB$3:$BB$16,AX19),$BB$3:$BC$30,2,0)</f>
        <v>27</v>
      </c>
      <c r="AX19" s="85">
        <f t="shared" si="14"/>
        <v>9</v>
      </c>
      <c r="BA19" s="85">
        <v>17</v>
      </c>
      <c r="BB19" s="85">
        <f t="shared" ca="1" si="11"/>
        <v>0.45083661181454937</v>
      </c>
      <c r="BC19" s="85">
        <f t="shared" ca="1" si="12"/>
        <v>46</v>
      </c>
    </row>
    <row r="20" spans="1:63" ht="16.5" x14ac:dyDescent="0.3">
      <c r="A20" s="9">
        <v>18</v>
      </c>
      <c r="B20" s="100">
        <v>44</v>
      </c>
      <c r="C20" s="101">
        <v>50</v>
      </c>
      <c r="D20" s="102">
        <v>54</v>
      </c>
      <c r="E20" s="142">
        <v>70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18.776167473946977</v>
      </c>
      <c r="AP20" s="88">
        <f ca="1">SMALL($AO$3:$AO$30,ROWS(AO$3:AO20))</f>
        <v>27.518261006173315</v>
      </c>
      <c r="AQ20" s="110">
        <f t="shared" ca="1" si="8"/>
        <v>1.5309795534377777</v>
      </c>
      <c r="AR20" s="110">
        <f t="shared" si="13"/>
        <v>1.5</v>
      </c>
      <c r="AS20" s="78">
        <f t="shared" ca="1" si="9"/>
        <v>43</v>
      </c>
      <c r="AT20" s="78">
        <f t="shared" ca="1" si="10"/>
        <v>0.65286462932191214</v>
      </c>
      <c r="AU20" s="78">
        <f ca="1">INDEX($AS$3:$AS$30,MATCH(SMALL($AT$3:$AT$30,ROWS(AT$3:AT20)),$AT$3:$AT$30,0))</f>
        <v>43</v>
      </c>
      <c r="AV20" s="78">
        <f ca="1">SMALL($AS$3:$AS$30,ROWS(AV$3:AV20))</f>
        <v>46</v>
      </c>
      <c r="AW20" s="85">
        <f ca="1">VLOOKUP(SMALL($BB$17:$BB$30,AX20),$BB$17:$BC$30,2,0)</f>
        <v>88</v>
      </c>
      <c r="AX20" s="85">
        <f t="shared" si="14"/>
        <v>9</v>
      </c>
      <c r="BA20" s="85">
        <v>18</v>
      </c>
      <c r="BB20" s="85">
        <f t="shared" ca="1" si="11"/>
        <v>0.60991643143690166</v>
      </c>
      <c r="BC20" s="85">
        <f t="shared" ca="1" si="12"/>
        <v>46</v>
      </c>
    </row>
    <row r="21" spans="1:63" ht="16.5" x14ac:dyDescent="0.3">
      <c r="A21" s="9">
        <v>19</v>
      </c>
      <c r="B21" s="100">
        <v>60</v>
      </c>
      <c r="C21" s="101">
        <v>54</v>
      </c>
      <c r="D21" s="102">
        <v>70</v>
      </c>
      <c r="E21" s="142">
        <v>58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14.678507733493893</v>
      </c>
      <c r="AP21" s="88">
        <f ca="1">SMALL($AO$3:$AO$30,ROWS(AO$3:AO21))</f>
        <v>27.745910315863384</v>
      </c>
      <c r="AQ21" s="110">
        <f t="shared" ca="1" si="8"/>
        <v>2.4691922295429864</v>
      </c>
      <c r="AR21" s="110">
        <f t="shared" si="13"/>
        <v>2</v>
      </c>
      <c r="AS21" s="78">
        <f t="shared" ca="1" si="9"/>
        <v>69</v>
      </c>
      <c r="AT21" s="78">
        <f t="shared" ca="1" si="10"/>
        <v>0.76150734102916517</v>
      </c>
      <c r="AU21" s="78">
        <f ca="1">INDEX($AS$3:$AS$30,MATCH(SMALL($AT$3:$AT$30,ROWS(AT$3:AT21)),$AT$3:$AT$30,0))</f>
        <v>55</v>
      </c>
      <c r="AV21" s="78">
        <f ca="1">SMALL($AS$3:$AS$30,ROWS(AV$3:AV21))</f>
        <v>47</v>
      </c>
      <c r="AW21" s="85">
        <f ca="1">VLOOKUP(SMALL($BB$17:$BB$30,AX21),$BB$17:$BC$30,2,0)</f>
        <v>65</v>
      </c>
      <c r="AX21" s="85">
        <f t="shared" si="14"/>
        <v>10</v>
      </c>
      <c r="BA21" s="85">
        <v>19</v>
      </c>
      <c r="BB21" s="85">
        <f t="shared" ca="1" si="11"/>
        <v>0.32794485770050308</v>
      </c>
      <c r="BC21" s="85">
        <f t="shared" ca="1" si="12"/>
        <v>47</v>
      </c>
    </row>
    <row r="22" spans="1:63" ht="16.5" x14ac:dyDescent="0.3">
      <c r="A22" s="9">
        <v>20</v>
      </c>
      <c r="B22" s="100">
        <v>28</v>
      </c>
      <c r="C22" s="101">
        <v>54</v>
      </c>
      <c r="D22" s="102">
        <v>46</v>
      </c>
      <c r="E22" s="142">
        <v>40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23.021594757099543</v>
      </c>
      <c r="AP22" s="88">
        <f ca="1">SMALL($AO$3:$AO$30,ROWS(AO$3:AO22))</f>
        <v>27.892341666783278</v>
      </c>
      <c r="AQ22" s="110">
        <f t="shared" ca="1" si="8"/>
        <v>1.4276998464748787</v>
      </c>
      <c r="AR22" s="110">
        <f t="shared" si="13"/>
        <v>1</v>
      </c>
      <c r="AS22" s="78">
        <f t="shared" ca="1" si="9"/>
        <v>40</v>
      </c>
      <c r="AT22" s="78">
        <f t="shared" ca="1" si="10"/>
        <v>0.75445985981303354</v>
      </c>
      <c r="AU22" s="78">
        <f ca="1">INDEX($AS$3:$AS$30,MATCH(SMALL($AT$3:$AT$30,ROWS(AT$3:AT22)),$AT$3:$AT$30,0))</f>
        <v>15</v>
      </c>
      <c r="AV22" s="78">
        <f ca="1">SMALL($AS$3:$AS$30,ROWS(AV$3:AV22))</f>
        <v>53</v>
      </c>
      <c r="AW22" s="85">
        <f ca="1">VLOOKUP(SMALL($BB$3:$BB$16,AX22),$BB$3:$BC$30,2,0)</f>
        <v>22</v>
      </c>
      <c r="AX22" s="85">
        <f t="shared" si="14"/>
        <v>10</v>
      </c>
      <c r="BA22" s="85">
        <v>20</v>
      </c>
      <c r="BB22" s="85">
        <f t="shared" ca="1" si="11"/>
        <v>0.58298162865894121</v>
      </c>
      <c r="BC22" s="85">
        <f t="shared" ca="1" si="12"/>
        <v>53</v>
      </c>
    </row>
    <row r="23" spans="1:63" ht="16.5" x14ac:dyDescent="0.3">
      <c r="A23" s="9">
        <v>21</v>
      </c>
      <c r="B23" s="100">
        <v>37</v>
      </c>
      <c r="C23" s="101">
        <v>55</v>
      </c>
      <c r="D23" s="102">
        <v>43</v>
      </c>
      <c r="E23" s="142">
        <v>40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18.88890766078238</v>
      </c>
      <c r="AP23" s="88">
        <f ca="1">SMALL($AO$3:$AO$30,ROWS(AO$3:AO23))</f>
        <v>28.396953703656731</v>
      </c>
      <c r="AQ23" s="110">
        <f t="shared" ca="1" si="8"/>
        <v>1.8796231985690948</v>
      </c>
      <c r="AR23" s="110">
        <f t="shared" si="13"/>
        <v>1</v>
      </c>
      <c r="AS23" s="78">
        <f t="shared" ca="1" si="9"/>
        <v>54</v>
      </c>
      <c r="AT23" s="78">
        <f t="shared" ca="1" si="10"/>
        <v>0.52742299285545402</v>
      </c>
      <c r="AU23" s="78">
        <f ca="1">INDEX($AS$3:$AS$30,MATCH(SMALL($AT$3:$AT$30,ROWS(AT$3:AT23)),$AT$3:$AT$30,0))</f>
        <v>37</v>
      </c>
      <c r="AV23" s="78">
        <f ca="1">SMALL($AS$3:$AS$30,ROWS(AV$3:AV23))</f>
        <v>54</v>
      </c>
      <c r="AW23" s="85">
        <f ca="1">VLOOKUP(SMALL($BB$3:$BB$16,AX23),$BB$3:$BC$30,2,0)</f>
        <v>32</v>
      </c>
      <c r="AX23" s="85">
        <f t="shared" si="14"/>
        <v>11</v>
      </c>
      <c r="BA23" s="85">
        <v>21</v>
      </c>
      <c r="BB23" s="85">
        <f t="shared" ca="1" si="11"/>
        <v>3.947530205510652E-2</v>
      </c>
      <c r="BC23" s="85">
        <f t="shared" ca="1" si="12"/>
        <v>54</v>
      </c>
    </row>
    <row r="24" spans="1:63" ht="16.5" x14ac:dyDescent="0.3">
      <c r="A24" s="9">
        <v>22</v>
      </c>
      <c r="B24" s="100">
        <v>40</v>
      </c>
      <c r="C24" s="101">
        <v>58</v>
      </c>
      <c r="D24" s="102">
        <v>45</v>
      </c>
      <c r="E24" s="142">
        <v>45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27.518261006173315</v>
      </c>
      <c r="AP24" s="88">
        <f ca="1">SMALL($AO$3:$AO$30,ROWS(AO$3:AO24))</f>
        <v>28.778071573267859</v>
      </c>
      <c r="AQ24" s="110">
        <f t="shared" ca="1" si="8"/>
        <v>2.4200667389235249</v>
      </c>
      <c r="AR24" s="110">
        <f t="shared" si="13"/>
        <v>1.5</v>
      </c>
      <c r="AS24" s="78">
        <f t="shared" ca="1" si="9"/>
        <v>70</v>
      </c>
      <c r="AT24" s="78">
        <f t="shared" ca="1" si="10"/>
        <v>0.80660643695390943</v>
      </c>
      <c r="AU24" s="78">
        <f ca="1">INDEX($AS$3:$AS$30,MATCH(SMALL($AT$3:$AT$30,ROWS(AT$3:AT24)),$AT$3:$AT$30,0))</f>
        <v>40</v>
      </c>
      <c r="AV24" s="78">
        <f ca="1">SMALL($AS$3:$AS$30,ROWS(AV$3:AV24))</f>
        <v>55</v>
      </c>
      <c r="AW24" s="85">
        <f ca="1">VLOOKUP(SMALL($BB$17:$BB$30,AX24),$BB$17:$BC$30,2,0)</f>
        <v>53</v>
      </c>
      <c r="AX24" s="85">
        <f t="shared" si="14"/>
        <v>11</v>
      </c>
      <c r="BA24" s="85">
        <v>22</v>
      </c>
      <c r="BB24" s="85">
        <f t="shared" ca="1" si="11"/>
        <v>0.60026378220558529</v>
      </c>
      <c r="BC24" s="85">
        <f t="shared" ca="1" si="12"/>
        <v>55</v>
      </c>
    </row>
    <row r="25" spans="1:63" ht="16.5" x14ac:dyDescent="0.3">
      <c r="A25" s="9">
        <v>23</v>
      </c>
      <c r="B25" s="100">
        <v>41</v>
      </c>
      <c r="C25" s="101">
        <v>60</v>
      </c>
      <c r="D25" s="102">
        <v>88</v>
      </c>
      <c r="E25" s="142">
        <v>48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30.231634941407144</v>
      </c>
      <c r="AP25" s="88">
        <f ca="1">SMALL($AO$3:$AO$30,ROWS(AO$3:AO25))</f>
        <v>29.461976608442257</v>
      </c>
      <c r="AQ25" s="110">
        <f t="shared" ca="1" si="8"/>
        <v>2.9823087757831512</v>
      </c>
      <c r="AR25" s="110">
        <f t="shared" si="13"/>
        <v>2</v>
      </c>
      <c r="AS25" s="78">
        <f t="shared" ca="1" si="9"/>
        <v>88</v>
      </c>
      <c r="AT25" s="78">
        <f t="shared" ca="1" si="10"/>
        <v>0.45967392103048488</v>
      </c>
      <c r="AU25" s="78">
        <f ca="1">INDEX($AS$3:$AS$30,MATCH(SMALL($AT$3:$AT$30,ROWS(AT$3:AT25)),$AT$3:$AT$30,0))</f>
        <v>69</v>
      </c>
      <c r="AV25" s="78">
        <f ca="1">SMALL($AS$3:$AS$30,ROWS(AV$3:AV25))</f>
        <v>59</v>
      </c>
      <c r="AW25" s="85">
        <f ca="1">VLOOKUP(SMALL($BB$17:$BB$30,AX25),$BB$17:$BC$30,2,0)</f>
        <v>55</v>
      </c>
      <c r="AX25" s="85">
        <f t="shared" si="14"/>
        <v>12</v>
      </c>
      <c r="BA25" s="85">
        <v>23</v>
      </c>
      <c r="BB25" s="85">
        <f t="shared" ca="1" si="11"/>
        <v>0.15365075552542962</v>
      </c>
      <c r="BC25" s="85">
        <f t="shared" ca="1" si="12"/>
        <v>59</v>
      </c>
    </row>
    <row r="26" spans="1:63" ht="16.5" x14ac:dyDescent="0.3">
      <c r="A26" s="9">
        <v>24</v>
      </c>
      <c r="B26" s="100">
        <v>55</v>
      </c>
      <c r="C26" s="101">
        <v>63</v>
      </c>
      <c r="D26" s="102">
        <v>40</v>
      </c>
      <c r="E26" s="142">
        <v>41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19.887423040287203</v>
      </c>
      <c r="AP26" s="88">
        <f ca="1">SMALL($AO$3:$AO$30,ROWS(AO$3:AO26))</f>
        <v>30.231634941407144</v>
      </c>
      <c r="AQ26" s="110">
        <f t="shared" ca="1" si="8"/>
        <v>1.490417546883763</v>
      </c>
      <c r="AR26" s="110">
        <f t="shared" si="13"/>
        <v>1</v>
      </c>
      <c r="AS26" s="78">
        <f t="shared" ca="1" si="9"/>
        <v>46</v>
      </c>
      <c r="AT26" s="78">
        <f t="shared" ca="1" si="10"/>
        <v>0.56715358645416036</v>
      </c>
      <c r="AU26" s="78">
        <f ca="1">INDEX($AS$3:$AS$30,MATCH(SMALL($AT$3:$AT$30,ROWS(AT$3:AT26)),$AT$3:$AT$30,0))</f>
        <v>70</v>
      </c>
      <c r="AV26" s="78">
        <f ca="1">SMALL($AS$3:$AS$30,ROWS(AV$3:AV26))</f>
        <v>65</v>
      </c>
      <c r="AW26" s="85">
        <f ca="1">VLOOKUP(SMALL($BB$3:$BB$16,AX26),$BB$3:$BC$30,2,0)</f>
        <v>24</v>
      </c>
      <c r="AX26" s="85">
        <f t="shared" si="14"/>
        <v>12</v>
      </c>
      <c r="BA26" s="85">
        <v>24</v>
      </c>
      <c r="BB26" s="85">
        <f t="shared" ca="1" si="11"/>
        <v>0.55231532731193111</v>
      </c>
      <c r="BC26" s="85">
        <f t="shared" ca="1" si="12"/>
        <v>65</v>
      </c>
    </row>
    <row r="27" spans="1:63" ht="16.5" x14ac:dyDescent="0.3">
      <c r="A27" s="9">
        <v>25</v>
      </c>
      <c r="B27" s="100">
        <v>34</v>
      </c>
      <c r="C27" s="101">
        <v>70</v>
      </c>
      <c r="D27" s="102">
        <v>48</v>
      </c>
      <c r="E27" s="142">
        <v>44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19.355571493785483</v>
      </c>
      <c r="AP27" s="88">
        <f ca="1">SMALL($AO$3:$AO$30,ROWS(AO$3:AO27))</f>
        <v>30.31986282391248</v>
      </c>
      <c r="AQ27" s="110">
        <f t="shared" ca="1" si="8"/>
        <v>1.3482548197250042</v>
      </c>
      <c r="AR27" s="110">
        <f t="shared" si="13"/>
        <v>1</v>
      </c>
      <c r="AS27" s="78">
        <f t="shared" ca="1" si="9"/>
        <v>41</v>
      </c>
      <c r="AT27" s="78">
        <f t="shared" ca="1" si="10"/>
        <v>0.19115139363041689</v>
      </c>
      <c r="AU27" s="78">
        <f ca="1">INDEX($AS$3:$AS$30,MATCH(SMALL($AT$3:$AT$30,ROWS(AT$3:AT27)),$AT$3:$AT$30,0))</f>
        <v>34</v>
      </c>
      <c r="AV27" s="78">
        <f ca="1">SMALL($AS$3:$AS$30,ROWS(AV$3:AV27))</f>
        <v>69</v>
      </c>
      <c r="AW27" s="85">
        <f ca="1">VLOOKUP(SMALL($BB$3:$BB$16,AX27),$BB$3:$BC$30,2,0)</f>
        <v>37</v>
      </c>
      <c r="AX27" s="85">
        <f t="shared" si="14"/>
        <v>13</v>
      </c>
      <c r="BA27" s="85">
        <v>25</v>
      </c>
      <c r="BB27" s="85">
        <f t="shared" ca="1" si="11"/>
        <v>0.15595901556013725</v>
      </c>
      <c r="BC27" s="85">
        <f t="shared" ca="1" si="12"/>
        <v>69</v>
      </c>
    </row>
    <row r="28" spans="1:63" ht="16.5" x14ac:dyDescent="0.3">
      <c r="A28" s="9">
        <v>26</v>
      </c>
      <c r="B28" s="100">
        <v>82</v>
      </c>
      <c r="C28" s="101">
        <v>70</v>
      </c>
      <c r="D28" s="102">
        <v>63</v>
      </c>
      <c r="E28" s="142">
        <v>50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18.904914640454955</v>
      </c>
      <c r="AP28" s="88">
        <f ca="1">SMALL($AO$3:$AO$30,ROWS(AO$3:AO28))</f>
        <v>30.813162327906809</v>
      </c>
      <c r="AQ28" s="110">
        <f t="shared" ca="1" si="8"/>
        <v>1.884147713691426</v>
      </c>
      <c r="AR28" s="110">
        <f t="shared" si="13"/>
        <v>1.5</v>
      </c>
      <c r="AS28" s="78">
        <f t="shared" ca="1" si="9"/>
        <v>59</v>
      </c>
      <c r="AT28" s="78">
        <f t="shared" ca="1" si="10"/>
        <v>0.35533807375450277</v>
      </c>
      <c r="AU28" s="78">
        <f ca="1">INDEX($AS$3:$AS$30,MATCH(SMALL($AT$3:$AT$30,ROWS(AT$3:AT28)),$AT$3:$AT$30,0))</f>
        <v>24</v>
      </c>
      <c r="AV28" s="78">
        <f ca="1">SMALL($AS$3:$AS$30,ROWS(AV$3:AV28))</f>
        <v>70</v>
      </c>
      <c r="AW28" s="85">
        <f ca="1">VLOOKUP(SMALL($BB$17:$BB$30,AX28),$BB$17:$BC$30,2,0)</f>
        <v>46</v>
      </c>
      <c r="AX28" s="85">
        <f t="shared" si="14"/>
        <v>13</v>
      </c>
      <c r="BA28" s="85">
        <v>26</v>
      </c>
      <c r="BB28" s="85">
        <f t="shared" ca="1" si="11"/>
        <v>0.43194518917924196</v>
      </c>
      <c r="BC28" s="85">
        <f t="shared" ca="1" si="12"/>
        <v>70</v>
      </c>
    </row>
    <row r="29" spans="1:63" ht="16.5" x14ac:dyDescent="0.3">
      <c r="A29" s="9">
        <v>27</v>
      </c>
      <c r="B29" s="100">
        <v>88</v>
      </c>
      <c r="C29" s="101">
        <v>82</v>
      </c>
      <c r="D29" s="102">
        <v>70</v>
      </c>
      <c r="E29" s="142">
        <v>54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21.142575184744178</v>
      </c>
      <c r="AP29" s="88">
        <f ca="1">SMALL($AO$3:$AO$30,ROWS(AO$3:AO29))</f>
        <v>31.150483009248653</v>
      </c>
      <c r="AQ29" s="110">
        <f t="shared" ca="1" si="8"/>
        <v>2.6889314524499119</v>
      </c>
      <c r="AR29" s="110">
        <f t="shared" si="13"/>
        <v>2</v>
      </c>
      <c r="AS29" s="78">
        <f t="shared" ca="1" si="9"/>
        <v>84</v>
      </c>
      <c r="AT29" s="78">
        <f t="shared" ca="1" si="10"/>
        <v>6.5937073456063588E-2</v>
      </c>
      <c r="AU29" s="78">
        <f ca="1">INDEX($AS$3:$AS$30,MATCH(SMALL($AT$3:$AT$30,ROWS(AT$3:AT29)),$AT$3:$AT$30,0))</f>
        <v>31</v>
      </c>
      <c r="AV29" s="78">
        <f ca="1">SMALL($AS$3:$AS$30,ROWS(AV$3:AV29))</f>
        <v>84</v>
      </c>
      <c r="AW29" s="85">
        <f ca="1">VLOOKUP(SMALL($BB$17:$BB$30,AX29),$BB$17:$BC$30,2,0)</f>
        <v>43</v>
      </c>
      <c r="AX29" s="85">
        <f t="shared" si="14"/>
        <v>14</v>
      </c>
      <c r="BA29" s="85">
        <v>27</v>
      </c>
      <c r="BB29" s="85">
        <f t="shared" ca="1" si="11"/>
        <v>0.11699891409383578</v>
      </c>
      <c r="BC29" s="85">
        <f t="shared" ca="1" si="12"/>
        <v>84</v>
      </c>
    </row>
    <row r="30" spans="1:63" ht="16.5" x14ac:dyDescent="0.3">
      <c r="A30" s="9">
        <v>28</v>
      </c>
      <c r="B30" s="100">
        <v>54</v>
      </c>
      <c r="C30" s="101">
        <v>88</v>
      </c>
      <c r="D30" s="102">
        <v>82</v>
      </c>
      <c r="E30" s="142">
        <v>32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31.150483009248653</v>
      </c>
      <c r="AP30" s="88">
        <f ca="1">SMALL($AO$3:$AO$30,ROWS(AO$3:AO30))</f>
        <v>33.854666858108942</v>
      </c>
      <c r="AQ30" s="110">
        <f t="shared" ca="1" si="8"/>
        <v>1.8939440629603177</v>
      </c>
      <c r="AR30" s="110">
        <f t="shared" si="13"/>
        <v>1</v>
      </c>
      <c r="AS30" s="78">
        <f t="shared" ca="1" si="9"/>
        <v>65</v>
      </c>
      <c r="AT30" s="78">
        <f t="shared" ca="1" si="10"/>
        <v>0.34788998233058444</v>
      </c>
      <c r="AU30" s="78">
        <f ca="1">INDEX($AS$3:$AS$30,MATCH(SMALL($AT$3:$AT$30,ROWS(AT$3:AT30)),$AT$3:$AT$30,0))</f>
        <v>30</v>
      </c>
      <c r="AV30" s="78">
        <f ca="1">SMALL($AS$3:$AS$30,ROWS(AV$3:AV30))</f>
        <v>88</v>
      </c>
      <c r="AW30" s="85">
        <f ca="1">VLOOKUP(SMALL($BB$3:$BB$16,AX30),$BB$3:$BC$30,2,0)</f>
        <v>34</v>
      </c>
      <c r="AX30" s="85">
        <f t="shared" si="14"/>
        <v>14</v>
      </c>
      <c r="BA30" s="85">
        <v>28</v>
      </c>
      <c r="BB30" s="85">
        <f t="shared" ca="1" si="11"/>
        <v>0.51199781924056231</v>
      </c>
      <c r="BC30" s="85">
        <f t="shared" ca="1" si="12"/>
        <v>88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1247</v>
      </c>
      <c r="AT32"/>
      <c r="AU32" s="78">
        <f ca="1">SUM(AU3:AU30)</f>
        <v>1247</v>
      </c>
      <c r="AV32" s="78">
        <f ca="1">SUM(AV3:AV30)</f>
        <v>1247</v>
      </c>
      <c r="AW32" s="78">
        <f ca="1">SUM(AW3:AW30)</f>
        <v>1247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1362</v>
      </c>
      <c r="C88" s="100">
        <f>SUM(C3:C86)</f>
        <v>1362</v>
      </c>
      <c r="D88" s="100">
        <f>SUM(D3:D86)</f>
        <v>1362</v>
      </c>
      <c r="E88" s="100">
        <f>SUM(E3:E86)</f>
        <v>1362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2494</v>
      </c>
      <c r="AT88" s="78">
        <f ca="1">SUM(AT3:AT86)</f>
        <v>13.624328017697646</v>
      </c>
      <c r="AU88" s="78">
        <f ca="1">SUM(AU3:AU86)</f>
        <v>2494</v>
      </c>
      <c r="AV88" s="78">
        <f ca="1">SUM(AV3:AV86)</f>
        <v>2494</v>
      </c>
      <c r="AW88" s="78">
        <f ca="1">SUM(AW3:AW86)</f>
        <v>2494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63</v>
      </c>
      <c r="C98" s="69">
        <f>SUM(C$3:C3)</f>
        <v>21</v>
      </c>
      <c r="D98" s="69">
        <f>SUM(D$3:D3)</f>
        <v>32</v>
      </c>
      <c r="E98" s="69">
        <f>SUM(E$3:E3)</f>
        <v>34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99</v>
      </c>
      <c r="C99" s="69">
        <f>SUM(C$3:C4)</f>
        <v>49</v>
      </c>
      <c r="D99" s="69">
        <f>SUM(D$3:D4)</f>
        <v>72</v>
      </c>
      <c r="E99" s="69">
        <f>SUM(E$3:E4)</f>
        <v>116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153</v>
      </c>
      <c r="C100" s="69">
        <f>SUM(C$3:C5)</f>
        <v>81</v>
      </c>
      <c r="D100" s="69">
        <f>SUM(D$3:D5)</f>
        <v>116</v>
      </c>
      <c r="E100" s="69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203</v>
      </c>
      <c r="C101" s="69">
        <f>SUM(C$3:C6)</f>
        <v>115</v>
      </c>
      <c r="D101" s="69">
        <f>SUM(D$3:D6)</f>
        <v>137</v>
      </c>
      <c r="E101" s="69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243</v>
      </c>
      <c r="C102" s="69">
        <f>SUM(C$3:C7)</f>
        <v>151</v>
      </c>
      <c r="D102" s="69">
        <f>SUM(D$3:D7)</f>
        <v>171</v>
      </c>
      <c r="E102" s="69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287</v>
      </c>
      <c r="C103" s="69">
        <f>SUM(C$3:C8)</f>
        <v>188</v>
      </c>
      <c r="D103" s="69">
        <f>SUM(D$3:D8)</f>
        <v>208</v>
      </c>
      <c r="E103" s="69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345</v>
      </c>
      <c r="C104" s="69">
        <f>SUM(C$3:C9)</f>
        <v>227</v>
      </c>
      <c r="D104" s="69">
        <f>SUM(D$3:D9)</f>
        <v>263</v>
      </c>
      <c r="E104" s="69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366</v>
      </c>
      <c r="C105" s="69">
        <f>SUM(C$3:C10)</f>
        <v>267</v>
      </c>
      <c r="D105" s="69">
        <f>SUM(D$3:D10)</f>
        <v>299</v>
      </c>
      <c r="E105" s="69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412</v>
      </c>
      <c r="C106" s="69">
        <f>SUM(C$3:C11)</f>
        <v>307</v>
      </c>
      <c r="D106" s="69">
        <f>SUM(D$3:D11)</f>
        <v>339</v>
      </c>
      <c r="E106" s="69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451</v>
      </c>
      <c r="C107" s="69">
        <f>SUM(C$3:C12)</f>
        <v>347</v>
      </c>
      <c r="D107" s="69">
        <f>SUM(D$3:D12)</f>
        <v>389</v>
      </c>
      <c r="E107" s="69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483</v>
      </c>
      <c r="C108" s="69">
        <f>SUM(C$3:C13)</f>
        <v>388</v>
      </c>
      <c r="D108" s="69">
        <f>SUM(D$3:D13)</f>
        <v>449</v>
      </c>
      <c r="E108" s="69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553</v>
      </c>
      <c r="C109" s="69">
        <f>SUM(C$3:C14)</f>
        <v>431</v>
      </c>
      <c r="D109" s="69">
        <f>SUM(D$3:D14)</f>
        <v>488</v>
      </c>
      <c r="E109" s="69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598</v>
      </c>
      <c r="C110" s="69">
        <f>SUM(C$3:C15)</f>
        <v>475</v>
      </c>
      <c r="D110" s="69">
        <f>SUM(D$3:D15)</f>
        <v>532</v>
      </c>
      <c r="E110" s="69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646</v>
      </c>
      <c r="C111" s="69">
        <f>SUM(C$3:C16)</f>
        <v>519</v>
      </c>
      <c r="D111" s="69">
        <f>SUM(D$3:D16)</f>
        <v>586</v>
      </c>
      <c r="E111" s="69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689</v>
      </c>
      <c r="C112" s="69">
        <f>SUM(C$3:C17)</f>
        <v>564</v>
      </c>
      <c r="D112" s="69">
        <f>SUM(D$3:D17)</f>
        <v>644</v>
      </c>
      <c r="E112" s="69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759</v>
      </c>
      <c r="C113" s="69">
        <f>SUM(C$3:C18)</f>
        <v>610</v>
      </c>
      <c r="D113" s="69">
        <f>SUM(D$3:D18)</f>
        <v>672</v>
      </c>
      <c r="E113" s="69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799</v>
      </c>
      <c r="C114" s="69">
        <f>SUM(C$3:C19)</f>
        <v>658</v>
      </c>
      <c r="D114" s="69">
        <f>SUM(D$3:D19)</f>
        <v>713</v>
      </c>
      <c r="E114" s="69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843</v>
      </c>
      <c r="C115" s="69">
        <f>SUM(C$3:C20)</f>
        <v>708</v>
      </c>
      <c r="D115" s="69">
        <f>SUM(D$3:D20)</f>
        <v>767</v>
      </c>
      <c r="E115" s="69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903</v>
      </c>
      <c r="C116" s="69">
        <f>SUM(C$3:C21)</f>
        <v>762</v>
      </c>
      <c r="D116" s="69">
        <f>SUM(D$3:D21)</f>
        <v>837</v>
      </c>
      <c r="E116" s="69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931</v>
      </c>
      <c r="C117" s="69">
        <f>SUM(C$3:C22)</f>
        <v>816</v>
      </c>
      <c r="D117" s="69">
        <f>SUM(D$3:D22)</f>
        <v>883</v>
      </c>
      <c r="E117" s="69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968</v>
      </c>
      <c r="C118" s="69">
        <f>SUM(C$3:C23)</f>
        <v>871</v>
      </c>
      <c r="D118" s="69">
        <f>SUM(D$3:D23)</f>
        <v>926</v>
      </c>
      <c r="E118" s="69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1008</v>
      </c>
      <c r="C119" s="69">
        <f>SUM(C$3:C24)</f>
        <v>929</v>
      </c>
      <c r="D119" s="69">
        <f>SUM(D$3:D24)</f>
        <v>971</v>
      </c>
      <c r="E119" s="69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1049</v>
      </c>
      <c r="C120" s="69">
        <f>SUM(C$3:C25)</f>
        <v>989</v>
      </c>
      <c r="D120" s="69">
        <f>SUM(D$3:D25)</f>
        <v>1059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1104</v>
      </c>
      <c r="C121" s="69">
        <f>SUM(C$3:C26)</f>
        <v>1052</v>
      </c>
      <c r="D121" s="69">
        <f>SUM(D$3:D26)</f>
        <v>1099</v>
      </c>
      <c r="E121" s="69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1138</v>
      </c>
      <c r="C122" s="69">
        <f>SUM(C$3:C27)</f>
        <v>1122</v>
      </c>
      <c r="D122" s="69">
        <f>SUM(D$3:D27)</f>
        <v>1147</v>
      </c>
      <c r="E122" s="69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1220</v>
      </c>
      <c r="C123" s="69">
        <f>SUM(C$3:C28)</f>
        <v>1192</v>
      </c>
      <c r="D123" s="69">
        <f>SUM(D$3:D28)</f>
        <v>1210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1308</v>
      </c>
      <c r="C124" s="69">
        <f>SUM(C$3:C29)</f>
        <v>1274</v>
      </c>
      <c r="D124" s="69">
        <f>SUM(D$3:D29)</f>
        <v>1280</v>
      </c>
      <c r="E124" s="69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1362</v>
      </c>
      <c r="C125" s="69">
        <f>SUM(C$3:C30)</f>
        <v>1362</v>
      </c>
      <c r="D125" s="69">
        <f>SUM(D$3:D30)</f>
        <v>1362</v>
      </c>
      <c r="E125" s="69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7A62-C566-4AA0-956B-488C52693B4B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24 - 30</v>
      </c>
      <c r="G2" s="164">
        <f>Y4</f>
        <v>24</v>
      </c>
      <c r="H2" s="96">
        <f t="shared" ref="H2:H14" si="1">G2+$Y$3</f>
        <v>30</v>
      </c>
      <c r="I2" s="137">
        <f t="shared" ref="I2:I14" si="2">COUNTIF($B$3:$B$86, "&lt;"&amp;H2)</f>
        <v>2</v>
      </c>
      <c r="J2" s="97">
        <f>I2</f>
        <v>2</v>
      </c>
      <c r="K2" s="98">
        <f t="shared" ref="K2:K14" si="3">J2/$J$15</f>
        <v>7.1428571428571425E-2</v>
      </c>
      <c r="L2" s="99">
        <f t="shared" ref="L2:L14" si="4">I2/$J$15</f>
        <v>7.1428571428571425E-2</v>
      </c>
      <c r="N2" s="163" t="s">
        <v>12</v>
      </c>
      <c r="O2" s="162">
        <f>AVERAGE($B$3:$B$86)</f>
        <v>47.785714285714285</v>
      </c>
      <c r="P2" s="162">
        <f>AVERAGE($B$3:$B$86)</f>
        <v>47.785714285714285</v>
      </c>
      <c r="Q2" s="162">
        <f>AVERAGE($B$3:$B$86)</f>
        <v>47.785714285714285</v>
      </c>
      <c r="R2" s="162">
        <f>AVERAGE($D$3:$D$86)</f>
        <v>47.785714285714285</v>
      </c>
      <c r="V2" s="85" t="s">
        <v>94</v>
      </c>
      <c r="Y2" s="85">
        <f>ROUND(O6/10,0)</f>
        <v>6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32</v>
      </c>
      <c r="C3" s="101">
        <v>25</v>
      </c>
      <c r="D3" s="102">
        <v>32</v>
      </c>
      <c r="E3" s="142">
        <v>41</v>
      </c>
      <c r="F3" s="104" t="str">
        <f t="shared" si="0"/>
        <v>30 - 36</v>
      </c>
      <c r="G3" s="105">
        <f t="shared" ref="G3:G14" si="5">H2</f>
        <v>30</v>
      </c>
      <c r="H3" s="106">
        <f t="shared" si="1"/>
        <v>36</v>
      </c>
      <c r="I3" s="137">
        <f t="shared" si="2"/>
        <v>6</v>
      </c>
      <c r="J3" s="157">
        <f t="shared" ref="J3:J14" si="6">I3-I2</f>
        <v>4</v>
      </c>
      <c r="K3" s="130">
        <f t="shared" si="3"/>
        <v>0.14285714285714285</v>
      </c>
      <c r="L3" s="109">
        <f t="shared" si="4"/>
        <v>0.21428571428571427</v>
      </c>
      <c r="N3" s="133" t="s">
        <v>91</v>
      </c>
      <c r="O3" s="135">
        <f>MEDIAN(B$3:B$86)</f>
        <v>46</v>
      </c>
      <c r="P3" s="135">
        <f>MEDIAN(C$3:C$86)</f>
        <v>46</v>
      </c>
      <c r="Q3" s="135">
        <f>MEDIAN(D$3:D$86)</f>
        <v>46</v>
      </c>
      <c r="R3" s="135">
        <f>MEDIAN(E$3:E$86)</f>
        <v>46</v>
      </c>
      <c r="V3" s="85" t="s">
        <v>95</v>
      </c>
      <c r="Y3" s="85">
        <f>ROUND(Y2,-LEN(Y2)+1)</f>
        <v>6</v>
      </c>
      <c r="AN3" s="88">
        <v>1</v>
      </c>
      <c r="AO3" s="88">
        <f t="shared" ref="AO3:AO30" ca="1" si="7">ABS(_xlfn.NORM.INV(RAND(),$AQ$1,$AS$1))</f>
        <v>21.965386149014872</v>
      </c>
      <c r="AP3" s="88">
        <f ca="1">SMALL($AO$3:$AO$30,ROWS(AO$3:AO3))</f>
        <v>19.71296314083013</v>
      </c>
      <c r="AQ3" s="110">
        <f t="shared" ref="AQ3:AQ30" ca="1" si="8">AR3+RAND()</f>
        <v>1.1549355957430101</v>
      </c>
      <c r="AR3" s="110">
        <v>1</v>
      </c>
      <c r="AS3" s="78">
        <f t="shared" ref="AS3:AS30" ca="1" si="9">ROUNDUP(AP3*AQ3,0)</f>
        <v>23</v>
      </c>
      <c r="AT3" s="78">
        <f t="shared" ref="AT3:AT30" ca="1" si="10">RAND()</f>
        <v>0.63517185683403432</v>
      </c>
      <c r="AU3" s="78">
        <f ca="1">INDEX($AS$3:$AS$30,MATCH(SMALL($AT$3:$AT$30,ROWS(AT$3:AT3)),$AT$3:$AT$30,0))</f>
        <v>51</v>
      </c>
      <c r="AV3" s="78">
        <f ca="1">SMALL($AS$3:$AS$30,ROWS(AV$3:AV3))</f>
        <v>23</v>
      </c>
      <c r="AW3" s="85">
        <f ca="1">VLOOKUP(SMALL($BB$3:$BB$16,AX3),$BB$3:$BC$30,2,0)</f>
        <v>45</v>
      </c>
      <c r="AX3" s="85">
        <v>1</v>
      </c>
      <c r="BA3" s="85">
        <v>1</v>
      </c>
      <c r="BB3" s="85">
        <f t="shared" ref="BB3:BB30" ca="1" si="11">RAND()</f>
        <v>0.20015347461716715</v>
      </c>
      <c r="BC3" s="85">
        <f t="shared" ref="BC3:BC30" ca="1" si="12">AV3</f>
        <v>23</v>
      </c>
    </row>
    <row r="4" spans="1:55" ht="17.25" thickBot="1" x14ac:dyDescent="0.35">
      <c r="A4" s="9">
        <v>2</v>
      </c>
      <c r="B4" s="100">
        <v>46</v>
      </c>
      <c r="C4" s="101">
        <v>28</v>
      </c>
      <c r="D4" s="102">
        <v>38</v>
      </c>
      <c r="E4" s="142">
        <v>52</v>
      </c>
      <c r="F4" s="104" t="str">
        <f t="shared" si="0"/>
        <v>36 - 42</v>
      </c>
      <c r="G4" s="105">
        <f t="shared" si="5"/>
        <v>36</v>
      </c>
      <c r="H4" s="106">
        <f t="shared" si="1"/>
        <v>42</v>
      </c>
      <c r="I4" s="137">
        <f t="shared" si="2"/>
        <v>10</v>
      </c>
      <c r="J4" s="157">
        <f t="shared" si="6"/>
        <v>4</v>
      </c>
      <c r="K4" s="130">
        <f t="shared" si="3"/>
        <v>0.14285714285714285</v>
      </c>
      <c r="L4" s="109">
        <f t="shared" si="4"/>
        <v>0.35714285714285715</v>
      </c>
      <c r="N4" s="161" t="s">
        <v>13</v>
      </c>
      <c r="O4" s="160">
        <f>MAX(B$3:B$86)</f>
        <v>82</v>
      </c>
      <c r="P4" s="160">
        <f>MAX(C$3:C$86)</f>
        <v>82</v>
      </c>
      <c r="Q4" s="160">
        <f>MAX(D$3:D$86)</f>
        <v>82</v>
      </c>
      <c r="R4" s="160">
        <f>MAX(E$3:E$86)</f>
        <v>82</v>
      </c>
      <c r="V4" s="85" t="s">
        <v>96</v>
      </c>
      <c r="Y4" s="85">
        <f>Y3*INT(O5/Y3)</f>
        <v>24</v>
      </c>
      <c r="AN4" s="88">
        <v>2</v>
      </c>
      <c r="AO4" s="88">
        <f t="shared" ca="1" si="7"/>
        <v>23.222941051207673</v>
      </c>
      <c r="AP4" s="88">
        <f ca="1">SMALL($AO$3:$AO$30,ROWS(AO$3:AO4))</f>
        <v>20.413285238025043</v>
      </c>
      <c r="AQ4" s="110">
        <f t="shared" ca="1" si="8"/>
        <v>2.1238813296408203</v>
      </c>
      <c r="AR4" s="110">
        <v>1.5</v>
      </c>
      <c r="AS4" s="78">
        <f t="shared" ca="1" si="9"/>
        <v>44</v>
      </c>
      <c r="AT4" s="78">
        <f t="shared" ca="1" si="10"/>
        <v>0.26227157256566469</v>
      </c>
      <c r="AU4" s="78">
        <f ca="1">INDEX($AS$3:$AS$30,MATCH(SMALL($AT$3:$AT$30,ROWS(AT$3:AT4)),$AT$3:$AT$30,0))</f>
        <v>71</v>
      </c>
      <c r="AV4" s="78">
        <f ca="1">SMALL($AS$3:$AS$30,ROWS(AV$3:AV4))</f>
        <v>23</v>
      </c>
      <c r="AW4" s="85">
        <f ca="1">VLOOKUP(SMALL($BB$17:$BB$30,AX4),$BB$17:$BC$30,2,0)</f>
        <v>69</v>
      </c>
      <c r="AX4" s="85">
        <v>1</v>
      </c>
      <c r="BA4" s="85">
        <v>2</v>
      </c>
      <c r="BB4" s="85">
        <f t="shared" ca="1" si="11"/>
        <v>0.72736972282003154</v>
      </c>
      <c r="BC4" s="85">
        <f t="shared" ca="1" si="12"/>
        <v>23</v>
      </c>
    </row>
    <row r="5" spans="1:55" ht="17.25" thickBot="1" x14ac:dyDescent="0.35">
      <c r="A5" s="9">
        <v>3</v>
      </c>
      <c r="B5" s="100">
        <v>46</v>
      </c>
      <c r="C5" s="101">
        <v>30</v>
      </c>
      <c r="D5" s="102">
        <v>46</v>
      </c>
      <c r="E5" s="142">
        <v>58</v>
      </c>
      <c r="F5" s="104" t="str">
        <f t="shared" si="0"/>
        <v>42 - 48</v>
      </c>
      <c r="G5" s="105">
        <f t="shared" si="5"/>
        <v>42</v>
      </c>
      <c r="H5" s="106">
        <f t="shared" si="1"/>
        <v>48</v>
      </c>
      <c r="I5" s="137">
        <f t="shared" si="2"/>
        <v>16</v>
      </c>
      <c r="J5" s="157">
        <f t="shared" si="6"/>
        <v>6</v>
      </c>
      <c r="K5" s="130">
        <f t="shared" si="3"/>
        <v>0.21428571428571427</v>
      </c>
      <c r="L5" s="109">
        <f t="shared" si="4"/>
        <v>0.5714285714285714</v>
      </c>
      <c r="N5" s="161" t="s">
        <v>14</v>
      </c>
      <c r="O5" s="160">
        <f>MIN(B$3:B$84)</f>
        <v>25</v>
      </c>
      <c r="P5" s="160">
        <f>MIN(C$3:C$84)</f>
        <v>25</v>
      </c>
      <c r="Q5" s="160">
        <f>MIN(D$3:D$84)</f>
        <v>25</v>
      </c>
      <c r="R5" s="160">
        <f>MIN(E$3:E$84)</f>
        <v>25</v>
      </c>
      <c r="V5" s="85" t="s">
        <v>93</v>
      </c>
      <c r="Y5" s="85">
        <f>ROUNDUP(O4/Y3,0)</f>
        <v>14</v>
      </c>
      <c r="AN5" s="88">
        <v>3</v>
      </c>
      <c r="AO5" s="88">
        <f t="shared" ca="1" si="7"/>
        <v>29.734663966163609</v>
      </c>
      <c r="AP5" s="88">
        <f ca="1">SMALL($AO$3:$AO$30,ROWS(AO$3:AO5))</f>
        <v>20.477329885908716</v>
      </c>
      <c r="AQ5" s="110">
        <f t="shared" ca="1" si="8"/>
        <v>2.5845287430624131</v>
      </c>
      <c r="AR5" s="110">
        <v>2</v>
      </c>
      <c r="AS5" s="78">
        <f t="shared" ca="1" si="9"/>
        <v>53</v>
      </c>
      <c r="AT5" s="78">
        <f t="shared" ca="1" si="10"/>
        <v>0.86974695698762872</v>
      </c>
      <c r="AU5" s="78">
        <f ca="1">INDEX($AS$3:$AS$30,MATCH(SMALL($AT$3:$AT$30,ROWS(AT$3:AT5)),$AT$3:$AT$30,0))</f>
        <v>45</v>
      </c>
      <c r="AV5" s="78">
        <f ca="1">SMALL($AS$3:$AS$30,ROWS(AV$3:AV5))</f>
        <v>26</v>
      </c>
      <c r="AW5" s="85">
        <f ca="1">VLOOKUP(SMALL($BB$17:$BB$30,AX5),$BB$17:$BC$30,2,0)</f>
        <v>53</v>
      </c>
      <c r="AX5" s="85">
        <v>2</v>
      </c>
      <c r="BA5" s="85">
        <v>3</v>
      </c>
      <c r="BB5" s="85">
        <f t="shared" ca="1" si="11"/>
        <v>0.91292899358180657</v>
      </c>
      <c r="BC5" s="85">
        <f t="shared" ca="1" si="12"/>
        <v>26</v>
      </c>
    </row>
    <row r="6" spans="1:55" ht="17.25" thickBot="1" x14ac:dyDescent="0.35">
      <c r="A6" s="9">
        <v>4</v>
      </c>
      <c r="B6" s="100">
        <v>46</v>
      </c>
      <c r="C6" s="101">
        <v>32</v>
      </c>
      <c r="D6" s="102">
        <v>33</v>
      </c>
      <c r="E6" s="142">
        <v>32</v>
      </c>
      <c r="F6" s="104" t="str">
        <f t="shared" si="0"/>
        <v>48 - 54</v>
      </c>
      <c r="G6" s="105">
        <f t="shared" si="5"/>
        <v>48</v>
      </c>
      <c r="H6" s="106">
        <f t="shared" si="1"/>
        <v>54</v>
      </c>
      <c r="I6" s="137">
        <f t="shared" si="2"/>
        <v>20</v>
      </c>
      <c r="J6" s="157">
        <f t="shared" si="6"/>
        <v>4</v>
      </c>
      <c r="K6" s="130">
        <f t="shared" si="3"/>
        <v>0.14285714285714285</v>
      </c>
      <c r="L6" s="109">
        <f t="shared" si="4"/>
        <v>0.7142857142857143</v>
      </c>
      <c r="N6" s="161" t="s">
        <v>5</v>
      </c>
      <c r="O6" s="160">
        <f>O4-O5</f>
        <v>57</v>
      </c>
      <c r="P6" s="160">
        <f>P4-P5</f>
        <v>57</v>
      </c>
      <c r="Q6" s="160">
        <f>Q4-Q5</f>
        <v>57</v>
      </c>
      <c r="R6" s="160">
        <f>R4-R5</f>
        <v>57</v>
      </c>
      <c r="V6" s="85" t="s">
        <v>97</v>
      </c>
      <c r="Y6" s="85">
        <f>Y5*Y3</f>
        <v>84</v>
      </c>
      <c r="AN6" s="88">
        <v>4</v>
      </c>
      <c r="AO6" s="88">
        <f t="shared" ca="1" si="7"/>
        <v>27.166684433556259</v>
      </c>
      <c r="AP6" s="88">
        <f ca="1">SMALL($AO$3:$AO$30,ROWS(AO$3:AO6))</f>
        <v>21.098634872525501</v>
      </c>
      <c r="AQ6" s="110">
        <f t="shared" ca="1" si="8"/>
        <v>1.9233032123209055</v>
      </c>
      <c r="AR6" s="110">
        <v>1</v>
      </c>
      <c r="AS6" s="78">
        <f t="shared" ca="1" si="9"/>
        <v>41</v>
      </c>
      <c r="AT6" s="78">
        <f t="shared" ca="1" si="10"/>
        <v>0.19898902457018774</v>
      </c>
      <c r="AU6" s="78">
        <f ca="1">INDEX($AS$3:$AS$30,MATCH(SMALL($AT$3:$AT$30,ROWS(AT$3:AT6)),$AT$3:$AT$30,0))</f>
        <v>23</v>
      </c>
      <c r="AV6" s="78">
        <f ca="1">SMALL($AS$3:$AS$30,ROWS(AV$3:AV6))</f>
        <v>31</v>
      </c>
      <c r="AW6" s="85">
        <f ca="1">VLOOKUP(SMALL($BB$3:$BB$16,AX6),$BB$3:$BC$30,2,0)</f>
        <v>46</v>
      </c>
      <c r="AX6" s="85">
        <v>2</v>
      </c>
      <c r="BA6" s="85">
        <v>4</v>
      </c>
      <c r="BB6" s="85">
        <f t="shared" ca="1" si="11"/>
        <v>0.91563081462881113</v>
      </c>
      <c r="BC6" s="85">
        <f t="shared" ca="1" si="12"/>
        <v>31</v>
      </c>
    </row>
    <row r="7" spans="1:55" ht="17.25" thickBot="1" x14ac:dyDescent="0.35">
      <c r="A7" s="9">
        <v>5</v>
      </c>
      <c r="B7" s="100">
        <v>82</v>
      </c>
      <c r="C7" s="101">
        <v>32</v>
      </c>
      <c r="D7" s="102">
        <v>28</v>
      </c>
      <c r="E7" s="142">
        <v>38</v>
      </c>
      <c r="F7" s="104" t="str">
        <f t="shared" si="0"/>
        <v>54 - 60</v>
      </c>
      <c r="G7" s="105">
        <f t="shared" si="5"/>
        <v>54</v>
      </c>
      <c r="H7" s="106">
        <f t="shared" si="1"/>
        <v>60</v>
      </c>
      <c r="I7" s="137">
        <f t="shared" si="2"/>
        <v>23</v>
      </c>
      <c r="J7" s="157">
        <f t="shared" si="6"/>
        <v>3</v>
      </c>
      <c r="K7" s="130">
        <f t="shared" si="3"/>
        <v>0.10714285714285714</v>
      </c>
      <c r="L7" s="109">
        <f t="shared" si="4"/>
        <v>0.8214285714285714</v>
      </c>
      <c r="N7" s="161" t="s">
        <v>15</v>
      </c>
      <c r="O7" s="160">
        <f>_xlfn.STDEV.S(B$3:B$86)</f>
        <v>14.208388609490759</v>
      </c>
      <c r="P7" s="160">
        <f>_xlfn.STDEV.S(C$3:C$86)</f>
        <v>14.208388609490759</v>
      </c>
      <c r="Q7" s="160">
        <f>_xlfn.STDEV.S(D$3:D$86)</f>
        <v>14.208388609490759</v>
      </c>
      <c r="R7" s="160">
        <f>_xlfn.STDEV.S(E$3:E$86)</f>
        <v>14.208388609490759</v>
      </c>
      <c r="V7" s="85" t="s">
        <v>98</v>
      </c>
      <c r="Y7" s="85">
        <v>4</v>
      </c>
      <c r="AN7" s="88">
        <v>5</v>
      </c>
      <c r="AO7" s="88">
        <f t="shared" ca="1" si="7"/>
        <v>31.213018734178824</v>
      </c>
      <c r="AP7" s="88">
        <f ca="1">SMALL($AO$3:$AO$30,ROWS(AO$3:AO7))</f>
        <v>21.305907061707156</v>
      </c>
      <c r="AQ7" s="110">
        <f t="shared" ca="1" si="8"/>
        <v>1.0511489939946181</v>
      </c>
      <c r="AR7" s="110">
        <f t="shared" ref="AR7:AR30" si="13">AR3</f>
        <v>1</v>
      </c>
      <c r="AS7" s="78">
        <f t="shared" ca="1" si="9"/>
        <v>23</v>
      </c>
      <c r="AT7" s="78">
        <f t="shared" ca="1" si="10"/>
        <v>0.15681888395097421</v>
      </c>
      <c r="AU7" s="78">
        <f ca="1">INDEX($AS$3:$AS$30,MATCH(SMALL($AT$3:$AT$30,ROWS(AT$3:AT7)),$AT$3:$AT$30,0))</f>
        <v>41</v>
      </c>
      <c r="AV7" s="78">
        <f ca="1">SMALL($AS$3:$AS$30,ROWS(AV$3:AV7))</f>
        <v>35</v>
      </c>
      <c r="AW7" s="85">
        <f ca="1">VLOOKUP(SMALL($BB$3:$BB$16,AX7),$BB$3:$BC$30,2,0)</f>
        <v>49</v>
      </c>
      <c r="AX7" s="85">
        <f t="shared" ref="AX7:AX30" si="14">2+AX3</f>
        <v>3</v>
      </c>
      <c r="BA7" s="85">
        <v>5</v>
      </c>
      <c r="BB7" s="85">
        <f t="shared" ca="1" si="11"/>
        <v>0.83425200620211215</v>
      </c>
      <c r="BC7" s="85">
        <f t="shared" ca="1" si="12"/>
        <v>35</v>
      </c>
    </row>
    <row r="8" spans="1:55" ht="17.25" thickBot="1" x14ac:dyDescent="0.35">
      <c r="A8" s="9">
        <v>6</v>
      </c>
      <c r="B8" s="100">
        <v>38</v>
      </c>
      <c r="C8" s="101">
        <v>33</v>
      </c>
      <c r="D8" s="102">
        <v>30</v>
      </c>
      <c r="E8" s="142">
        <v>46</v>
      </c>
      <c r="F8" s="104" t="str">
        <f t="shared" si="0"/>
        <v>60 - 66</v>
      </c>
      <c r="G8" s="105">
        <f t="shared" si="5"/>
        <v>60</v>
      </c>
      <c r="H8" s="106">
        <f t="shared" si="1"/>
        <v>66</v>
      </c>
      <c r="I8" s="137">
        <f t="shared" si="2"/>
        <v>25</v>
      </c>
      <c r="J8" s="157">
        <f t="shared" si="6"/>
        <v>2</v>
      </c>
      <c r="K8" s="130">
        <f t="shared" si="3"/>
        <v>7.1428571428571425E-2</v>
      </c>
      <c r="L8" s="109">
        <f t="shared" si="4"/>
        <v>0.8928571428571429</v>
      </c>
      <c r="N8" s="161" t="s">
        <v>16</v>
      </c>
      <c r="O8" s="160">
        <f>O7/O2</f>
        <v>0.29733548659621917</v>
      </c>
      <c r="P8" s="160">
        <f>P7/P2</f>
        <v>0.29733548659621917</v>
      </c>
      <c r="Q8" s="160">
        <f>Q7/Q2</f>
        <v>0.29733548659621917</v>
      </c>
      <c r="R8" s="160">
        <f>R7/R2</f>
        <v>0.29733548659621917</v>
      </c>
      <c r="AN8" s="88">
        <v>6</v>
      </c>
      <c r="AO8" s="88">
        <f t="shared" ca="1" si="7"/>
        <v>26.879487498518241</v>
      </c>
      <c r="AP8" s="88">
        <f ca="1">SMALL($AO$3:$AO$30,ROWS(AO$3:AO8))</f>
        <v>21.965386149014872</v>
      </c>
      <c r="AQ8" s="110">
        <f t="shared" ca="1" si="8"/>
        <v>2.0331814924487213</v>
      </c>
      <c r="AR8" s="110">
        <f t="shared" si="13"/>
        <v>1.5</v>
      </c>
      <c r="AS8" s="78">
        <f t="shared" ca="1" si="9"/>
        <v>45</v>
      </c>
      <c r="AT8" s="78">
        <f t="shared" ca="1" si="10"/>
        <v>0.86253407581254093</v>
      </c>
      <c r="AU8" s="78">
        <f ca="1">INDEX($AS$3:$AS$30,MATCH(SMALL($AT$3:$AT$30,ROWS(AT$3:AT8)),$AT$3:$AT$30,0))</f>
        <v>43</v>
      </c>
      <c r="AV8" s="78">
        <f ca="1">SMALL($AS$3:$AS$30,ROWS(AV$3:AV8))</f>
        <v>39</v>
      </c>
      <c r="AW8" s="85">
        <f ca="1">VLOOKUP(SMALL($BB$17:$BB$30,AX8),$BB$17:$BC$30,2,0)</f>
        <v>68</v>
      </c>
      <c r="AX8" s="85">
        <f t="shared" si="14"/>
        <v>3</v>
      </c>
      <c r="BA8" s="85">
        <v>6</v>
      </c>
      <c r="BB8" s="85">
        <f t="shared" ca="1" si="11"/>
        <v>0.42865334698484381</v>
      </c>
      <c r="BC8" s="85">
        <f t="shared" ca="1" si="12"/>
        <v>39</v>
      </c>
    </row>
    <row r="9" spans="1:55" ht="17.25" thickBot="1" x14ac:dyDescent="0.35">
      <c r="A9" s="9">
        <v>7</v>
      </c>
      <c r="B9" s="100">
        <v>41</v>
      </c>
      <c r="C9" s="101">
        <v>38</v>
      </c>
      <c r="D9" s="102">
        <v>46</v>
      </c>
      <c r="E9" s="142">
        <v>64</v>
      </c>
      <c r="F9" s="104" t="str">
        <f t="shared" si="0"/>
        <v>66 - 72</v>
      </c>
      <c r="G9" s="105">
        <f t="shared" si="5"/>
        <v>66</v>
      </c>
      <c r="H9" s="106">
        <f t="shared" si="1"/>
        <v>72</v>
      </c>
      <c r="I9" s="137">
        <f t="shared" si="2"/>
        <v>26</v>
      </c>
      <c r="J9" s="157">
        <f t="shared" si="6"/>
        <v>1</v>
      </c>
      <c r="K9" s="130">
        <f t="shared" si="3"/>
        <v>3.5714285714285712E-2</v>
      </c>
      <c r="L9" s="109">
        <f t="shared" si="4"/>
        <v>0.9285714285714286</v>
      </c>
      <c r="N9" s="133" t="s">
        <v>92</v>
      </c>
      <c r="O9" s="134">
        <f>O2/O3</f>
        <v>1.0388198757763976</v>
      </c>
      <c r="P9" s="134">
        <f>P2/P3</f>
        <v>1.0388198757763976</v>
      </c>
      <c r="Q9" s="134">
        <f>Q2/Q3</f>
        <v>1.0388198757763976</v>
      </c>
      <c r="R9" s="134">
        <f>R2/R3</f>
        <v>1.0388198757763976</v>
      </c>
      <c r="AN9" s="88">
        <v>8</v>
      </c>
      <c r="AO9" s="88">
        <f t="shared" ca="1" si="7"/>
        <v>23.154379402657867</v>
      </c>
      <c r="AP9" s="88">
        <f ca="1">SMALL($AO$3:$AO$30,ROWS(AO$3:AO9))</f>
        <v>22.752250741893501</v>
      </c>
      <c r="AQ9" s="110">
        <f t="shared" ca="1" si="8"/>
        <v>2.2236698171654838</v>
      </c>
      <c r="AR9" s="110">
        <f t="shared" si="13"/>
        <v>2</v>
      </c>
      <c r="AS9" s="78">
        <f t="shared" ca="1" si="9"/>
        <v>51</v>
      </c>
      <c r="AT9" s="78">
        <f t="shared" ca="1" si="10"/>
        <v>6.1218125645784438E-3</v>
      </c>
      <c r="AU9" s="78">
        <f ca="1">INDEX($AS$3:$AS$30,MATCH(SMALL($AT$3:$AT$30,ROWS(AT$3:AT9)),$AT$3:$AT$30,0))</f>
        <v>44</v>
      </c>
      <c r="AV9" s="78">
        <f ca="1">SMALL($AS$3:$AS$30,ROWS(AV$3:AV9))</f>
        <v>41</v>
      </c>
      <c r="AW9" s="85">
        <f ca="1">VLOOKUP(SMALL($BB$17:$BB$30,AX9),$BB$17:$BC$30,2,0)</f>
        <v>59</v>
      </c>
      <c r="AX9" s="85">
        <f t="shared" si="14"/>
        <v>4</v>
      </c>
      <c r="BA9" s="85">
        <v>7</v>
      </c>
      <c r="BB9" s="85">
        <f t="shared" ca="1" si="11"/>
        <v>0.88482438399874985</v>
      </c>
      <c r="BC9" s="85">
        <f t="shared" ca="1" si="12"/>
        <v>41</v>
      </c>
    </row>
    <row r="10" spans="1:55" ht="17.25" thickBot="1" x14ac:dyDescent="0.35">
      <c r="A10" s="9">
        <v>8</v>
      </c>
      <c r="B10" s="100">
        <v>33</v>
      </c>
      <c r="C10" s="101">
        <v>38</v>
      </c>
      <c r="D10" s="102">
        <v>25</v>
      </c>
      <c r="E10" s="142">
        <v>43</v>
      </c>
      <c r="F10" s="104" t="str">
        <f t="shared" si="0"/>
        <v>72 - 78</v>
      </c>
      <c r="G10" s="105">
        <f t="shared" si="5"/>
        <v>72</v>
      </c>
      <c r="H10" s="106">
        <f t="shared" si="1"/>
        <v>78</v>
      </c>
      <c r="I10" s="137">
        <f t="shared" si="2"/>
        <v>27</v>
      </c>
      <c r="J10" s="157">
        <f t="shared" si="6"/>
        <v>1</v>
      </c>
      <c r="K10" s="130">
        <f t="shared" si="3"/>
        <v>3.5714285714285712E-2</v>
      </c>
      <c r="L10" s="109">
        <f t="shared" si="4"/>
        <v>0.9642857142857143</v>
      </c>
      <c r="N10" s="159" t="s">
        <v>90</v>
      </c>
      <c r="O10" s="158">
        <f>O6/O2</f>
        <v>1.1928251121076234</v>
      </c>
      <c r="P10" s="158">
        <f>P6/P2</f>
        <v>1.1928251121076234</v>
      </c>
      <c r="Q10" s="158">
        <f>Q6/Q2</f>
        <v>1.1928251121076234</v>
      </c>
      <c r="R10" s="158">
        <f>R6/R2</f>
        <v>1.1928251121076234</v>
      </c>
      <c r="AN10" s="88">
        <v>7</v>
      </c>
      <c r="AO10" s="88">
        <f t="shared" ca="1" si="7"/>
        <v>20.477329885908716</v>
      </c>
      <c r="AP10" s="88">
        <f ca="1">SMALL($AO$3:$AO$30,ROWS(AO$3:AO10))</f>
        <v>22.816375624785053</v>
      </c>
      <c r="AQ10" s="110">
        <f t="shared" ca="1" si="8"/>
        <v>1.671039475928024</v>
      </c>
      <c r="AR10" s="110">
        <f t="shared" si="13"/>
        <v>1</v>
      </c>
      <c r="AS10" s="78">
        <f t="shared" ca="1" si="9"/>
        <v>39</v>
      </c>
      <c r="AT10" s="78">
        <f t="shared" ca="1" si="10"/>
        <v>0.86514827503998715</v>
      </c>
      <c r="AU10" s="78">
        <f ca="1">INDEX($AS$3:$AS$30,MATCH(SMALL($AT$3:$AT$30,ROWS(AT$3:AT10)),$AT$3:$AT$30,0))</f>
        <v>42</v>
      </c>
      <c r="AV10" s="78">
        <f ca="1">SMALL($AS$3:$AS$30,ROWS(AV$3:AV10))</f>
        <v>42</v>
      </c>
      <c r="AW10" s="85">
        <f ca="1">VLOOKUP(SMALL($BB$3:$BB$16,AX10),$BB$3:$BC$30,2,0)</f>
        <v>23</v>
      </c>
      <c r="AX10" s="85">
        <f t="shared" si="14"/>
        <v>4</v>
      </c>
      <c r="BA10" s="85">
        <v>8</v>
      </c>
      <c r="BB10" s="85">
        <f t="shared" ca="1" si="11"/>
        <v>0.8135486902804836</v>
      </c>
      <c r="BC10" s="85">
        <f t="shared" ca="1" si="12"/>
        <v>42</v>
      </c>
    </row>
    <row r="11" spans="1:55" ht="17.25" thickBot="1" x14ac:dyDescent="0.35">
      <c r="A11" s="9">
        <v>9</v>
      </c>
      <c r="B11" s="100">
        <v>46</v>
      </c>
      <c r="C11" s="101">
        <v>39</v>
      </c>
      <c r="D11" s="102">
        <v>41</v>
      </c>
      <c r="E11" s="142">
        <v>30</v>
      </c>
      <c r="F11" s="104" t="str">
        <f t="shared" si="0"/>
        <v>78 - 84</v>
      </c>
      <c r="G11" s="105">
        <f t="shared" si="5"/>
        <v>78</v>
      </c>
      <c r="H11" s="106">
        <f t="shared" si="1"/>
        <v>84</v>
      </c>
      <c r="I11" s="137">
        <f t="shared" si="2"/>
        <v>28</v>
      </c>
      <c r="J11" s="157">
        <f t="shared" si="6"/>
        <v>1</v>
      </c>
      <c r="K11" s="130">
        <f t="shared" si="3"/>
        <v>3.5714285714285712E-2</v>
      </c>
      <c r="L11" s="109">
        <f t="shared" si="4"/>
        <v>1</v>
      </c>
      <c r="AN11" s="88">
        <v>12</v>
      </c>
      <c r="AO11" s="88">
        <f t="shared" ca="1" si="7"/>
        <v>22.816375624785053</v>
      </c>
      <c r="AP11" s="88">
        <f ca="1">SMALL($AO$3:$AO$30,ROWS(AO$3:AO11))</f>
        <v>22.995735309787911</v>
      </c>
      <c r="AQ11" s="110">
        <f t="shared" ca="1" si="8"/>
        <v>1.7889992738496385</v>
      </c>
      <c r="AR11" s="110">
        <f t="shared" si="13"/>
        <v>1</v>
      </c>
      <c r="AS11" s="78">
        <f t="shared" ca="1" si="9"/>
        <v>42</v>
      </c>
      <c r="AT11" s="78">
        <f t="shared" ca="1" si="10"/>
        <v>0.28062155256132082</v>
      </c>
      <c r="AU11" s="78">
        <f ca="1">INDEX($AS$3:$AS$30,MATCH(SMALL($AT$3:$AT$30,ROWS(AT$3:AT11)),$AT$3:$AT$30,0))</f>
        <v>69</v>
      </c>
      <c r="AV11" s="78">
        <f ca="1">SMALL($AS$3:$AS$30,ROWS(AV$3:AV11))</f>
        <v>43</v>
      </c>
      <c r="AW11" s="85">
        <f ca="1">VLOOKUP(SMALL($BB$3:$BB$16,AX11),$BB$3:$BC$30,2,0)</f>
        <v>39</v>
      </c>
      <c r="AX11" s="85">
        <f t="shared" si="14"/>
        <v>5</v>
      </c>
      <c r="BA11" s="85">
        <v>9</v>
      </c>
      <c r="BB11" s="85">
        <f t="shared" ca="1" si="11"/>
        <v>0.55268948594381617</v>
      </c>
      <c r="BC11" s="85">
        <f t="shared" ca="1" si="12"/>
        <v>43</v>
      </c>
    </row>
    <row r="12" spans="1:55" ht="17.25" thickBot="1" x14ac:dyDescent="0.35">
      <c r="A12" s="9">
        <v>10</v>
      </c>
      <c r="B12" s="100">
        <v>52</v>
      </c>
      <c r="C12" s="101">
        <v>41</v>
      </c>
      <c r="D12" s="102">
        <v>52</v>
      </c>
      <c r="E12" s="142">
        <v>82</v>
      </c>
      <c r="F12" s="104" t="str">
        <f t="shared" si="0"/>
        <v>84 - 90</v>
      </c>
      <c r="G12" s="105">
        <f t="shared" si="5"/>
        <v>84</v>
      </c>
      <c r="H12" s="106">
        <f t="shared" si="1"/>
        <v>90</v>
      </c>
      <c r="I12" s="137">
        <f t="shared" si="2"/>
        <v>28</v>
      </c>
      <c r="J12" s="157">
        <f t="shared" si="6"/>
        <v>0</v>
      </c>
      <c r="K12" s="130">
        <f t="shared" si="3"/>
        <v>0</v>
      </c>
      <c r="L12" s="109">
        <f t="shared" si="4"/>
        <v>1</v>
      </c>
      <c r="AN12" s="88">
        <v>9</v>
      </c>
      <c r="AO12" s="88">
        <f t="shared" ca="1" si="7"/>
        <v>31.446816070842551</v>
      </c>
      <c r="AP12" s="88">
        <f ca="1">SMALL($AO$3:$AO$30,ROWS(AO$3:AO12))</f>
        <v>23.154379402657867</v>
      </c>
      <c r="AQ12" s="110">
        <f t="shared" ca="1" si="8"/>
        <v>2.4907430951748277</v>
      </c>
      <c r="AR12" s="110">
        <f t="shared" si="13"/>
        <v>1.5</v>
      </c>
      <c r="AS12" s="78">
        <f t="shared" ca="1" si="9"/>
        <v>58</v>
      </c>
      <c r="AT12" s="78">
        <f t="shared" ca="1" si="10"/>
        <v>0.72167132912463006</v>
      </c>
      <c r="AU12" s="78">
        <f ca="1">INDEX($AS$3:$AS$30,MATCH(SMALL($AT$3:$AT$30,ROWS(AT$3:AT12)),$AT$3:$AT$30,0))</f>
        <v>78</v>
      </c>
      <c r="AV12" s="78">
        <f ca="1">SMALL($AS$3:$AS$30,ROWS(AV$3:AV12))</f>
        <v>44</v>
      </c>
      <c r="AW12" s="85">
        <f ca="1">VLOOKUP(SMALL($BB$17:$BB$30,AX12),$BB$17:$BC$30,2,0)</f>
        <v>50</v>
      </c>
      <c r="AX12" s="85">
        <f t="shared" si="14"/>
        <v>5</v>
      </c>
      <c r="BA12" s="85">
        <v>10</v>
      </c>
      <c r="BB12" s="85">
        <f t="shared" ca="1" si="11"/>
        <v>0.68571341377573725</v>
      </c>
      <c r="BC12" s="85">
        <f t="shared" ca="1" si="12"/>
        <v>44</v>
      </c>
    </row>
    <row r="13" spans="1:55" ht="17.25" thickBot="1" x14ac:dyDescent="0.35">
      <c r="A13" s="9">
        <v>11</v>
      </c>
      <c r="B13" s="100">
        <v>64</v>
      </c>
      <c r="C13" s="101">
        <v>43</v>
      </c>
      <c r="D13" s="102">
        <v>69</v>
      </c>
      <c r="E13" s="142">
        <v>52</v>
      </c>
      <c r="F13" s="104" t="str">
        <f t="shared" si="0"/>
        <v>90 - 96</v>
      </c>
      <c r="G13" s="105">
        <f t="shared" si="5"/>
        <v>90</v>
      </c>
      <c r="H13" s="106">
        <f t="shared" si="1"/>
        <v>96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27.464688413595827</v>
      </c>
      <c r="AP13" s="88">
        <f ca="1">SMALL($AO$3:$AO$30,ROWS(AO$3:AO13))</f>
        <v>23.222941051207673</v>
      </c>
      <c r="AQ13" s="110">
        <f t="shared" ca="1" si="8"/>
        <v>2.6859877415111151</v>
      </c>
      <c r="AR13" s="110">
        <f t="shared" si="13"/>
        <v>2</v>
      </c>
      <c r="AS13" s="78">
        <f t="shared" ca="1" si="9"/>
        <v>63</v>
      </c>
      <c r="AT13" s="78">
        <f t="shared" ca="1" si="10"/>
        <v>0.35121833501180644</v>
      </c>
      <c r="AU13" s="78">
        <f ca="1">INDEX($AS$3:$AS$30,MATCH(SMALL($AT$3:$AT$30,ROWS(AT$3:AT13)),$AT$3:$AT$30,0))</f>
        <v>63</v>
      </c>
      <c r="AV13" s="78">
        <f ca="1">SMALL($AS$3:$AS$30,ROWS(AV$3:AV13))</f>
        <v>45</v>
      </c>
      <c r="AW13" s="85">
        <f ca="1">VLOOKUP(SMALL($BB$17:$BB$30,AX13),$BB$17:$BC$30,2,0)</f>
        <v>78</v>
      </c>
      <c r="AX13" s="85">
        <f t="shared" si="14"/>
        <v>6</v>
      </c>
      <c r="BA13" s="85">
        <v>11</v>
      </c>
      <c r="BB13" s="85">
        <f t="shared" ca="1" si="11"/>
        <v>0.89717810935186748</v>
      </c>
      <c r="BC13" s="85">
        <f t="shared" ca="1" si="12"/>
        <v>45</v>
      </c>
    </row>
    <row r="14" spans="1:55" ht="17.25" thickBot="1" x14ac:dyDescent="0.35">
      <c r="A14" s="9">
        <v>12</v>
      </c>
      <c r="B14" s="100">
        <v>50</v>
      </c>
      <c r="C14" s="101">
        <v>46</v>
      </c>
      <c r="D14" s="102">
        <v>50</v>
      </c>
      <c r="E14" s="142">
        <v>33</v>
      </c>
      <c r="F14" s="111" t="str">
        <f t="shared" si="0"/>
        <v>96 - 102</v>
      </c>
      <c r="G14" s="112">
        <f t="shared" si="5"/>
        <v>96</v>
      </c>
      <c r="H14" s="113">
        <f t="shared" si="1"/>
        <v>102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24.054967540613859</v>
      </c>
      <c r="AP14" s="88">
        <f ca="1">SMALL($AO$3:$AO$30,ROWS(AO$3:AO14))</f>
        <v>23.719826200512255</v>
      </c>
      <c r="AQ14" s="110">
        <f t="shared" ca="1" si="8"/>
        <v>1.0765021109067383</v>
      </c>
      <c r="AR14" s="110">
        <f t="shared" si="13"/>
        <v>1</v>
      </c>
      <c r="AS14" s="78">
        <f t="shared" ca="1" si="9"/>
        <v>26</v>
      </c>
      <c r="AT14" s="78">
        <f t="shared" ca="1" si="10"/>
        <v>0.9359776286779331</v>
      </c>
      <c r="AU14" s="78">
        <f ca="1">INDEX($AS$3:$AS$30,MATCH(SMALL($AT$3:$AT$30,ROWS(AT$3:AT14)),$AT$3:$AT$30,0))</f>
        <v>83</v>
      </c>
      <c r="AV14" s="78">
        <f ca="1">SMALL($AS$3:$AS$30,ROWS(AV$3:AV14))</f>
        <v>45</v>
      </c>
      <c r="AW14" s="85">
        <f ca="1">VLOOKUP(SMALL($BB$3:$BB$16,AX14),$BB$3:$BC$30,2,0)</f>
        <v>43</v>
      </c>
      <c r="AX14" s="85">
        <f t="shared" si="14"/>
        <v>6</v>
      </c>
      <c r="BA14" s="85">
        <v>12</v>
      </c>
      <c r="BB14" s="85">
        <f t="shared" ca="1" si="11"/>
        <v>0.11693468855059241</v>
      </c>
      <c r="BC14" s="85">
        <f t="shared" ca="1" si="12"/>
        <v>45</v>
      </c>
    </row>
    <row r="15" spans="1:55" ht="16.5" x14ac:dyDescent="0.3">
      <c r="A15" s="9">
        <v>13</v>
      </c>
      <c r="B15" s="100">
        <v>25</v>
      </c>
      <c r="C15" s="101">
        <v>46</v>
      </c>
      <c r="D15" s="102">
        <v>46</v>
      </c>
      <c r="E15" s="142">
        <v>32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 s="130"/>
      <c r="AN15" s="88">
        <v>14</v>
      </c>
      <c r="AO15" s="88">
        <f t="shared" ca="1" si="7"/>
        <v>26.004078593562109</v>
      </c>
      <c r="AP15" s="88">
        <f ca="1">SMALL($AO$3:$AO$30,ROWS(AO$3:AO15))</f>
        <v>24.054967540613859</v>
      </c>
      <c r="AQ15" s="110">
        <f t="shared" ca="1" si="8"/>
        <v>1.4356741824661527</v>
      </c>
      <c r="AR15" s="110">
        <f t="shared" si="13"/>
        <v>1</v>
      </c>
      <c r="AS15" s="78">
        <f t="shared" ca="1" si="9"/>
        <v>35</v>
      </c>
      <c r="AT15" s="78">
        <f t="shared" ca="1" si="10"/>
        <v>0.65171059202220427</v>
      </c>
      <c r="AU15" s="78">
        <f ca="1">INDEX($AS$3:$AS$30,MATCH(SMALL($AT$3:$AT$30,ROWS(AT$3:AT15)),$AT$3:$AT$30,0))</f>
        <v>50</v>
      </c>
      <c r="AV15" s="78">
        <f ca="1">SMALL($AS$3:$AS$30,ROWS(AV$3:AV15))</f>
        <v>46</v>
      </c>
      <c r="AW15" s="85">
        <f ca="1">VLOOKUP(SMALL($BB$3:$BB$16,AX15),$BB$3:$BC$30,2,0)</f>
        <v>44</v>
      </c>
      <c r="AX15" s="85">
        <f t="shared" si="14"/>
        <v>7</v>
      </c>
      <c r="BA15" s="85">
        <v>13</v>
      </c>
      <c r="BB15" s="85">
        <f t="shared" ca="1" si="11"/>
        <v>0.12130106007707331</v>
      </c>
      <c r="BC15" s="85">
        <f t="shared" ca="1" si="12"/>
        <v>46</v>
      </c>
    </row>
    <row r="16" spans="1:55" ht="16.5" x14ac:dyDescent="0.3">
      <c r="A16" s="9">
        <v>14</v>
      </c>
      <c r="B16" s="100">
        <v>74</v>
      </c>
      <c r="C16" s="101">
        <v>46</v>
      </c>
      <c r="D16" s="102">
        <v>58</v>
      </c>
      <c r="E16" s="142">
        <v>74</v>
      </c>
      <c r="AN16" s="88">
        <v>16</v>
      </c>
      <c r="AO16" s="88">
        <f t="shared" ca="1" si="7"/>
        <v>39.203132874768585</v>
      </c>
      <c r="AP16" s="88">
        <f ca="1">SMALL($AO$3:$AO$30,ROWS(AO$3:AO16))</f>
        <v>24.204493861010096</v>
      </c>
      <c r="AQ16" s="110">
        <f t="shared" ca="1" si="8"/>
        <v>2.1722276657448427</v>
      </c>
      <c r="AR16" s="110">
        <f t="shared" si="13"/>
        <v>1.5</v>
      </c>
      <c r="AS16" s="78">
        <f t="shared" ca="1" si="9"/>
        <v>53</v>
      </c>
      <c r="AT16" s="78">
        <f t="shared" ca="1" si="10"/>
        <v>0.84076657797018695</v>
      </c>
      <c r="AU16" s="78">
        <f ca="1">INDEX($AS$3:$AS$30,MATCH(SMALL($AT$3:$AT$30,ROWS(AT$3:AT16)),$AT$3:$AT$30,0))</f>
        <v>31</v>
      </c>
      <c r="AV16" s="78">
        <f ca="1">SMALL($AS$3:$AS$30,ROWS(AV$3:AV16))</f>
        <v>49</v>
      </c>
      <c r="AW16" s="85">
        <f ca="1">VLOOKUP(SMALL($BB$17:$BB$30,AX16),$BB$17:$BC$30,2,0)</f>
        <v>78</v>
      </c>
      <c r="AX16" s="85">
        <f t="shared" si="14"/>
        <v>7</v>
      </c>
      <c r="BA16" s="85">
        <v>14</v>
      </c>
      <c r="BB16" s="85">
        <f t="shared" ca="1" si="11"/>
        <v>0.12579192088999069</v>
      </c>
      <c r="BC16" s="85">
        <f t="shared" ca="1" si="12"/>
        <v>49</v>
      </c>
    </row>
    <row r="17" spans="1:63" ht="16.5" x14ac:dyDescent="0.3">
      <c r="A17" s="9">
        <v>15</v>
      </c>
      <c r="B17" s="100">
        <v>28</v>
      </c>
      <c r="C17" s="101">
        <v>46</v>
      </c>
      <c r="D17" s="102">
        <v>52</v>
      </c>
      <c r="E17" s="142">
        <v>57</v>
      </c>
      <c r="J17" s="118"/>
      <c r="K17" s="118"/>
      <c r="AN17" s="88">
        <v>18</v>
      </c>
      <c r="AO17" s="88">
        <f t="shared" ca="1" si="7"/>
        <v>23.719826200512255</v>
      </c>
      <c r="AP17" s="88">
        <f ca="1">SMALL($AO$3:$AO$30,ROWS(AO$3:AO17))</f>
        <v>26.004078593562109</v>
      </c>
      <c r="AQ17" s="110">
        <f t="shared" ca="1" si="8"/>
        <v>2.9937256604884923</v>
      </c>
      <c r="AR17" s="110">
        <f t="shared" si="13"/>
        <v>2</v>
      </c>
      <c r="AS17" s="78">
        <f t="shared" ca="1" si="9"/>
        <v>78</v>
      </c>
      <c r="AT17" s="78">
        <f t="shared" ca="1" si="10"/>
        <v>0.3384927797295032</v>
      </c>
      <c r="AU17" s="78">
        <f ca="1">INDEX($AS$3:$AS$30,MATCH(SMALL($AT$3:$AT$30,ROWS(AT$3:AT17)),$AT$3:$AT$30,0))</f>
        <v>49</v>
      </c>
      <c r="AV17" s="78">
        <f ca="1">SMALL($AS$3:$AS$30,ROWS(AV$3:AV17))</f>
        <v>50</v>
      </c>
      <c r="AW17" s="85">
        <f ca="1">VLOOKUP(SMALL($BB$17:$BB$30,AX17),$BB$17:$BC$30,2,0)</f>
        <v>63</v>
      </c>
      <c r="AX17" s="85">
        <f t="shared" si="14"/>
        <v>8</v>
      </c>
      <c r="BA17" s="85">
        <v>15</v>
      </c>
      <c r="BB17" s="85">
        <f t="shared" ca="1" si="11"/>
        <v>0.2449509189769975</v>
      </c>
      <c r="BC17" s="85">
        <f t="shared" ca="1" si="12"/>
        <v>50</v>
      </c>
    </row>
    <row r="18" spans="1:63" ht="16.5" x14ac:dyDescent="0.3">
      <c r="A18" s="9">
        <v>16</v>
      </c>
      <c r="B18" s="100">
        <v>52</v>
      </c>
      <c r="C18" s="101">
        <v>46</v>
      </c>
      <c r="D18" s="102">
        <v>46</v>
      </c>
      <c r="E18" s="142">
        <v>46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24.204493861010096</v>
      </c>
      <c r="AP18" s="88">
        <f ca="1">SMALL($AO$3:$AO$30,ROWS(AO$3:AO18))</f>
        <v>26.091230362363046</v>
      </c>
      <c r="AQ18" s="110">
        <f t="shared" ca="1" si="8"/>
        <v>1.6308170768933543</v>
      </c>
      <c r="AR18" s="110">
        <f t="shared" si="13"/>
        <v>1</v>
      </c>
      <c r="AS18" s="78">
        <f t="shared" ca="1" si="9"/>
        <v>43</v>
      </c>
      <c r="AT18" s="78">
        <f t="shared" ca="1" si="10"/>
        <v>0.24848772173109579</v>
      </c>
      <c r="AU18" s="78">
        <f ca="1">INDEX($AS$3:$AS$30,MATCH(SMALL($AT$3:$AT$30,ROWS(AT$3:AT18)),$AT$3:$AT$30,0))</f>
        <v>23</v>
      </c>
      <c r="AV18" s="78">
        <f ca="1">SMALL($AS$3:$AS$30,ROWS(AV$3:AV18))</f>
        <v>51</v>
      </c>
      <c r="AW18" s="85">
        <f ca="1">VLOOKUP(SMALL($BB$3:$BB$16,AX18),$BB$3:$BC$30,2,0)</f>
        <v>23</v>
      </c>
      <c r="AX18" s="85">
        <f t="shared" si="14"/>
        <v>8</v>
      </c>
      <c r="BA18" s="85">
        <v>16</v>
      </c>
      <c r="BB18" s="85">
        <f t="shared" ca="1" si="11"/>
        <v>0.94003716273614801</v>
      </c>
      <c r="BC18" s="85">
        <f t="shared" ca="1" si="12"/>
        <v>51</v>
      </c>
    </row>
    <row r="19" spans="1:63" ht="16.5" x14ac:dyDescent="0.3">
      <c r="A19" s="9">
        <v>17</v>
      </c>
      <c r="B19" s="100">
        <v>39</v>
      </c>
      <c r="C19" s="101">
        <v>50</v>
      </c>
      <c r="D19" s="102">
        <v>43</v>
      </c>
      <c r="E19" s="142">
        <v>39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29.790021641989558</v>
      </c>
      <c r="AP19" s="88">
        <f ca="1">SMALL($AO$3:$AO$30,ROWS(AO$3:AO19))</f>
        <v>26.879487498518241</v>
      </c>
      <c r="AQ19" s="110">
        <f t="shared" ca="1" si="8"/>
        <v>1.1235678458394212</v>
      </c>
      <c r="AR19" s="110">
        <f t="shared" si="13"/>
        <v>1</v>
      </c>
      <c r="AS19" s="78">
        <f t="shared" ca="1" si="9"/>
        <v>31</v>
      </c>
      <c r="AT19" s="78">
        <f t="shared" ca="1" si="10"/>
        <v>0.49653271856844516</v>
      </c>
      <c r="AU19" s="78">
        <f ca="1">INDEX($AS$3:$AS$30,MATCH(SMALL($AT$3:$AT$30,ROWS(AT$3:AT19)),$AT$3:$AT$30,0))</f>
        <v>35</v>
      </c>
      <c r="AV19" s="78">
        <f ca="1">SMALL($AS$3:$AS$30,ROWS(AV$3:AV19))</f>
        <v>53</v>
      </c>
      <c r="AW19" s="85">
        <f ca="1">VLOOKUP(SMALL($BB$3:$BB$16,AX19),$BB$3:$BC$30,2,0)</f>
        <v>42</v>
      </c>
      <c r="AX19" s="85">
        <f t="shared" si="14"/>
        <v>9</v>
      </c>
      <c r="BA19" s="85">
        <v>17</v>
      </c>
      <c r="BB19" s="85">
        <f t="shared" ca="1" si="11"/>
        <v>2.3676219628945727E-2</v>
      </c>
      <c r="BC19" s="85">
        <f t="shared" ca="1" si="12"/>
        <v>53</v>
      </c>
    </row>
    <row r="20" spans="1:63" ht="16.5" x14ac:dyDescent="0.3">
      <c r="A20" s="9">
        <v>18</v>
      </c>
      <c r="B20" s="100">
        <v>57</v>
      </c>
      <c r="C20" s="101">
        <v>52</v>
      </c>
      <c r="D20" s="102">
        <v>52</v>
      </c>
      <c r="E20" s="142">
        <v>46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22.995735309787911</v>
      </c>
      <c r="AP20" s="88">
        <f ca="1">SMALL($AO$3:$AO$30,ROWS(AO$3:AO20))</f>
        <v>27.166684433556259</v>
      </c>
      <c r="AQ20" s="110">
        <f t="shared" ca="1" si="8"/>
        <v>1.7682386766233162</v>
      </c>
      <c r="AR20" s="110">
        <f t="shared" si="13"/>
        <v>1.5</v>
      </c>
      <c r="AS20" s="78">
        <f t="shared" ca="1" si="9"/>
        <v>49</v>
      </c>
      <c r="AT20" s="78">
        <f t="shared" ca="1" si="10"/>
        <v>0.57848241775234333</v>
      </c>
      <c r="AU20" s="78">
        <f ca="1">INDEX($AS$3:$AS$30,MATCH(SMALL($AT$3:$AT$30,ROWS(AT$3:AT20)),$AT$3:$AT$30,0))</f>
        <v>58</v>
      </c>
      <c r="AV20" s="78">
        <f ca="1">SMALL($AS$3:$AS$30,ROWS(AV$3:AV20))</f>
        <v>53</v>
      </c>
      <c r="AW20" s="85">
        <f ca="1">VLOOKUP(SMALL($BB$17:$BB$30,AX20),$BB$17:$BC$30,2,0)</f>
        <v>59</v>
      </c>
      <c r="AX20" s="85">
        <f t="shared" si="14"/>
        <v>9</v>
      </c>
      <c r="BA20" s="85">
        <v>18</v>
      </c>
      <c r="BB20" s="85">
        <f t="shared" ca="1" si="11"/>
        <v>0.4449865516036533</v>
      </c>
      <c r="BC20" s="85">
        <f t="shared" ca="1" si="12"/>
        <v>53</v>
      </c>
    </row>
    <row r="21" spans="1:63" ht="16.5" x14ac:dyDescent="0.3">
      <c r="A21" s="9">
        <v>19</v>
      </c>
      <c r="B21" s="100">
        <v>54</v>
      </c>
      <c r="C21" s="101">
        <v>52</v>
      </c>
      <c r="D21" s="102">
        <v>65</v>
      </c>
      <c r="E21" s="142">
        <v>54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27.233300007101349</v>
      </c>
      <c r="AP21" s="88">
        <f ca="1">SMALL($AO$3:$AO$30,ROWS(AO$3:AO21))</f>
        <v>27.233300007101349</v>
      </c>
      <c r="AQ21" s="110">
        <f t="shared" ca="1" si="8"/>
        <v>2.1346703890667373</v>
      </c>
      <c r="AR21" s="110">
        <f t="shared" si="13"/>
        <v>2</v>
      </c>
      <c r="AS21" s="78">
        <f t="shared" ca="1" si="9"/>
        <v>59</v>
      </c>
      <c r="AT21" s="78">
        <f t="shared" ca="1" si="10"/>
        <v>0.86544693795998329</v>
      </c>
      <c r="AU21" s="78">
        <f ca="1">INDEX($AS$3:$AS$30,MATCH(SMALL($AT$3:$AT$30,ROWS(AT$3:AT21)),$AT$3:$AT$30,0))</f>
        <v>53</v>
      </c>
      <c r="AV21" s="78">
        <f ca="1">SMALL($AS$3:$AS$30,ROWS(AV$3:AV21))</f>
        <v>58</v>
      </c>
      <c r="AW21" s="85">
        <f ca="1">VLOOKUP(SMALL($BB$17:$BB$30,AX21),$BB$17:$BC$30,2,0)</f>
        <v>53</v>
      </c>
      <c r="AX21" s="85">
        <f t="shared" si="14"/>
        <v>10</v>
      </c>
      <c r="BA21" s="85">
        <v>19</v>
      </c>
      <c r="BB21" s="85">
        <f t="shared" ca="1" si="11"/>
        <v>0.70296236382601629</v>
      </c>
      <c r="BC21" s="85">
        <f t="shared" ca="1" si="12"/>
        <v>58</v>
      </c>
    </row>
    <row r="22" spans="1:63" ht="16.5" x14ac:dyDescent="0.3">
      <c r="A22" s="9">
        <v>20</v>
      </c>
      <c r="B22" s="100">
        <v>32</v>
      </c>
      <c r="C22" s="101">
        <v>52</v>
      </c>
      <c r="D22" s="102">
        <v>32</v>
      </c>
      <c r="E22" s="142">
        <v>25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28.35129006676274</v>
      </c>
      <c r="AP22" s="88">
        <f ca="1">SMALL($AO$3:$AO$30,ROWS(AO$3:AO22))</f>
        <v>27.464688413595827</v>
      </c>
      <c r="AQ22" s="110">
        <f t="shared" ca="1" si="8"/>
        <v>1.6046296763722472</v>
      </c>
      <c r="AR22" s="110">
        <f t="shared" si="13"/>
        <v>1</v>
      </c>
      <c r="AS22" s="78">
        <f t="shared" ca="1" si="9"/>
        <v>45</v>
      </c>
      <c r="AT22" s="78">
        <f t="shared" ca="1" si="10"/>
        <v>0.14243621949850982</v>
      </c>
      <c r="AU22" s="78">
        <f ca="1">INDEX($AS$3:$AS$30,MATCH(SMALL($AT$3:$AT$30,ROWS(AT$3:AT22)),$AT$3:$AT$30,0))</f>
        <v>45</v>
      </c>
      <c r="AV22" s="78">
        <f ca="1">SMALL($AS$3:$AS$30,ROWS(AV$3:AV22))</f>
        <v>59</v>
      </c>
      <c r="AW22" s="85">
        <f ca="1">VLOOKUP(SMALL($BB$3:$BB$16,AX22),$BB$3:$BC$30,2,0)</f>
        <v>35</v>
      </c>
      <c r="AX22" s="85">
        <f t="shared" si="14"/>
        <v>10</v>
      </c>
      <c r="BA22" s="85">
        <v>20</v>
      </c>
      <c r="BB22" s="85">
        <f t="shared" ca="1" si="11"/>
        <v>0.16409261336785341</v>
      </c>
      <c r="BC22" s="85">
        <f t="shared" ca="1" si="12"/>
        <v>59</v>
      </c>
    </row>
    <row r="23" spans="1:63" ht="16.5" x14ac:dyDescent="0.3">
      <c r="A23" s="9">
        <v>21</v>
      </c>
      <c r="B23" s="100">
        <v>65</v>
      </c>
      <c r="C23" s="101">
        <v>54</v>
      </c>
      <c r="D23" s="102">
        <v>38</v>
      </c>
      <c r="E23" s="142">
        <v>38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31.563232625845142</v>
      </c>
      <c r="AP23" s="88">
        <f ca="1">SMALL($AO$3:$AO$30,ROWS(AO$3:AO23))</f>
        <v>28.35129006676274</v>
      </c>
      <c r="AQ23" s="110">
        <f t="shared" ca="1" si="8"/>
        <v>1.6048548306479593</v>
      </c>
      <c r="AR23" s="110">
        <f t="shared" si="13"/>
        <v>1</v>
      </c>
      <c r="AS23" s="78">
        <f t="shared" ca="1" si="9"/>
        <v>46</v>
      </c>
      <c r="AT23" s="78">
        <f t="shared" ca="1" si="10"/>
        <v>0.93939883346130626</v>
      </c>
      <c r="AU23" s="78">
        <f ca="1">INDEX($AS$3:$AS$30,MATCH(SMALL($AT$3:$AT$30,ROWS(AT$3:AT23)),$AT$3:$AT$30,0))</f>
        <v>39</v>
      </c>
      <c r="AV23" s="78">
        <f ca="1">SMALL($AS$3:$AS$30,ROWS(AV$3:AV23))</f>
        <v>59</v>
      </c>
      <c r="AW23" s="85">
        <f ca="1">VLOOKUP(SMALL($BB$3:$BB$16,AX23),$BB$3:$BC$30,2,0)</f>
        <v>41</v>
      </c>
      <c r="AX23" s="85">
        <f t="shared" si="14"/>
        <v>11</v>
      </c>
      <c r="BA23" s="85">
        <v>21</v>
      </c>
      <c r="BB23" s="85">
        <f t="shared" ca="1" si="11"/>
        <v>0.41945692750047303</v>
      </c>
      <c r="BC23" s="85">
        <f t="shared" ca="1" si="12"/>
        <v>59</v>
      </c>
    </row>
    <row r="24" spans="1:63" ht="16.5" x14ac:dyDescent="0.3">
      <c r="A24" s="9">
        <v>22</v>
      </c>
      <c r="B24" s="100">
        <v>38</v>
      </c>
      <c r="C24" s="101">
        <v>57</v>
      </c>
      <c r="D24" s="102">
        <v>57</v>
      </c>
      <c r="E24" s="142">
        <v>65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26.091230362363046</v>
      </c>
      <c r="AP24" s="88">
        <f ca="1">SMALL($AO$3:$AO$30,ROWS(AO$3:AO24))</f>
        <v>29.734663966163609</v>
      </c>
      <c r="AQ24" s="110">
        <f t="shared" ca="1" si="8"/>
        <v>2.2658536414884152</v>
      </c>
      <c r="AR24" s="110">
        <f t="shared" si="13"/>
        <v>1.5</v>
      </c>
      <c r="AS24" s="78">
        <f t="shared" ca="1" si="9"/>
        <v>68</v>
      </c>
      <c r="AT24" s="78">
        <f t="shared" ca="1" si="10"/>
        <v>0.92269426561754697</v>
      </c>
      <c r="AU24" s="78">
        <f ca="1">INDEX($AS$3:$AS$30,MATCH(SMALL($AT$3:$AT$30,ROWS(AT$3:AT24)),$AT$3:$AT$30,0))</f>
        <v>59</v>
      </c>
      <c r="AV24" s="78">
        <f ca="1">SMALL($AS$3:$AS$30,ROWS(AV$3:AV24))</f>
        <v>63</v>
      </c>
      <c r="AW24" s="85">
        <f ca="1">VLOOKUP(SMALL($BB$17:$BB$30,AX24),$BB$17:$BC$30,2,0)</f>
        <v>71</v>
      </c>
      <c r="AX24" s="85">
        <f t="shared" si="14"/>
        <v>11</v>
      </c>
      <c r="BA24" s="85">
        <v>22</v>
      </c>
      <c r="BB24" s="85">
        <f t="shared" ca="1" si="11"/>
        <v>0.3919022193695918</v>
      </c>
      <c r="BC24" s="85">
        <f t="shared" ca="1" si="12"/>
        <v>63</v>
      </c>
    </row>
    <row r="25" spans="1:63" ht="16.5" x14ac:dyDescent="0.3">
      <c r="A25" s="9">
        <v>23</v>
      </c>
      <c r="B25" s="100">
        <v>52</v>
      </c>
      <c r="C25" s="101">
        <v>58</v>
      </c>
      <c r="D25" s="102">
        <v>82</v>
      </c>
      <c r="E25" s="142">
        <v>50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21.098634872525501</v>
      </c>
      <c r="AP25" s="88">
        <f ca="1">SMALL($AO$3:$AO$30,ROWS(AO$3:AO25))</f>
        <v>29.790021641989558</v>
      </c>
      <c r="AQ25" s="110">
        <f t="shared" ca="1" si="8"/>
        <v>2.785693301728891</v>
      </c>
      <c r="AR25" s="110">
        <f t="shared" si="13"/>
        <v>2</v>
      </c>
      <c r="AS25" s="78">
        <f t="shared" ca="1" si="9"/>
        <v>83</v>
      </c>
      <c r="AT25" s="78">
        <f t="shared" ca="1" si="10"/>
        <v>0.43777392518019109</v>
      </c>
      <c r="AU25" s="78">
        <f ca="1">INDEX($AS$3:$AS$30,MATCH(SMALL($AT$3:$AT$30,ROWS(AT$3:AT25)),$AT$3:$AT$30,0))</f>
        <v>53</v>
      </c>
      <c r="AV25" s="78">
        <f ca="1">SMALL($AS$3:$AS$30,ROWS(AV$3:AV25))</f>
        <v>68</v>
      </c>
      <c r="AW25" s="85">
        <f ca="1">VLOOKUP(SMALL($BB$17:$BB$30,AX25),$BB$17:$BC$30,2,0)</f>
        <v>83</v>
      </c>
      <c r="AX25" s="85">
        <f t="shared" si="14"/>
        <v>12</v>
      </c>
      <c r="BA25" s="85">
        <v>23</v>
      </c>
      <c r="BB25" s="85">
        <f t="shared" ca="1" si="11"/>
        <v>3.5333305870732468E-2</v>
      </c>
      <c r="BC25" s="85">
        <f t="shared" ca="1" si="12"/>
        <v>68</v>
      </c>
    </row>
    <row r="26" spans="1:63" ht="16.5" x14ac:dyDescent="0.3">
      <c r="A26" s="9">
        <v>24</v>
      </c>
      <c r="B26" s="100">
        <v>58</v>
      </c>
      <c r="C26" s="101">
        <v>64</v>
      </c>
      <c r="D26" s="102">
        <v>54</v>
      </c>
      <c r="E26" s="142">
        <v>46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20.413285238025043</v>
      </c>
      <c r="AP26" s="88">
        <f ca="1">SMALL($AO$3:$AO$30,ROWS(AO$3:AO26))</f>
        <v>31.213018734178824</v>
      </c>
      <c r="AQ26" s="110">
        <f t="shared" ca="1" si="8"/>
        <v>1.5703200671368545</v>
      </c>
      <c r="AR26" s="110">
        <f t="shared" si="13"/>
        <v>1</v>
      </c>
      <c r="AS26" s="78">
        <f t="shared" ca="1" si="9"/>
        <v>50</v>
      </c>
      <c r="AT26" s="78">
        <f t="shared" ca="1" si="10"/>
        <v>0.45596674509905166</v>
      </c>
      <c r="AU26" s="78">
        <f ca="1">INDEX($AS$3:$AS$30,MATCH(SMALL($AT$3:$AT$30,ROWS(AT$3:AT26)),$AT$3:$AT$30,0))</f>
        <v>59</v>
      </c>
      <c r="AV26" s="78">
        <f ca="1">SMALL($AS$3:$AS$30,ROWS(AV$3:AV26))</f>
        <v>69</v>
      </c>
      <c r="AW26" s="85">
        <f ca="1">VLOOKUP(SMALL($BB$3:$BB$16,AX26),$BB$3:$BC$30,2,0)</f>
        <v>45</v>
      </c>
      <c r="AX26" s="85">
        <f t="shared" si="14"/>
        <v>12</v>
      </c>
      <c r="BA26" s="85">
        <v>24</v>
      </c>
      <c r="BB26" s="85">
        <f t="shared" ca="1" si="11"/>
        <v>1.6935622131913908E-3</v>
      </c>
      <c r="BC26" s="85">
        <f t="shared" ca="1" si="12"/>
        <v>69</v>
      </c>
    </row>
    <row r="27" spans="1:63" ht="16.5" x14ac:dyDescent="0.3">
      <c r="A27" s="9">
        <v>25</v>
      </c>
      <c r="B27" s="100">
        <v>43</v>
      </c>
      <c r="C27" s="101">
        <v>65</v>
      </c>
      <c r="D27" s="102">
        <v>39</v>
      </c>
      <c r="E27" s="142">
        <v>28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19.71296314083013</v>
      </c>
      <c r="AP27" s="88">
        <f ca="1">SMALL($AO$3:$AO$30,ROWS(AO$3:AO27))</f>
        <v>31.446816070842551</v>
      </c>
      <c r="AQ27" s="110">
        <f t="shared" ca="1" si="8"/>
        <v>1.8467829119047745</v>
      </c>
      <c r="AR27" s="110">
        <f t="shared" si="13"/>
        <v>1</v>
      </c>
      <c r="AS27" s="78">
        <f t="shared" ca="1" si="9"/>
        <v>59</v>
      </c>
      <c r="AT27" s="78">
        <f t="shared" ca="1" si="10"/>
        <v>0.87657222714691485</v>
      </c>
      <c r="AU27" s="78">
        <f ca="1">INDEX($AS$3:$AS$30,MATCH(SMALL($AT$3:$AT$30,ROWS(AT$3:AT27)),$AT$3:$AT$30,0))</f>
        <v>68</v>
      </c>
      <c r="AV27" s="78">
        <f ca="1">SMALL($AS$3:$AS$30,ROWS(AV$3:AV27))</f>
        <v>71</v>
      </c>
      <c r="AW27" s="85">
        <f ca="1">VLOOKUP(SMALL($BB$3:$BB$16,AX27),$BB$3:$BC$30,2,0)</f>
        <v>26</v>
      </c>
      <c r="AX27" s="85">
        <f t="shared" si="14"/>
        <v>13</v>
      </c>
      <c r="BA27" s="85">
        <v>25</v>
      </c>
      <c r="BB27" s="85">
        <f t="shared" ca="1" si="11"/>
        <v>0.58343368135507601</v>
      </c>
      <c r="BC27" s="85">
        <f t="shared" ca="1" si="12"/>
        <v>71</v>
      </c>
    </row>
    <row r="28" spans="1:63" ht="16.5" x14ac:dyDescent="0.3">
      <c r="A28" s="9">
        <v>26</v>
      </c>
      <c r="B28" s="100">
        <v>30</v>
      </c>
      <c r="C28" s="101">
        <v>69</v>
      </c>
      <c r="D28" s="102">
        <v>64</v>
      </c>
      <c r="E28" s="142">
        <v>69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22.752250741893501</v>
      </c>
      <c r="AP28" s="88">
        <f ca="1">SMALL($AO$3:$AO$30,ROWS(AO$3:AO28))</f>
        <v>31.563232625845142</v>
      </c>
      <c r="AQ28" s="110">
        <f t="shared" ca="1" si="8"/>
        <v>2.4502772807095061</v>
      </c>
      <c r="AR28" s="110">
        <f t="shared" si="13"/>
        <v>1.5</v>
      </c>
      <c r="AS28" s="78">
        <f t="shared" ca="1" si="9"/>
        <v>78</v>
      </c>
      <c r="AT28" s="78">
        <f t="shared" ca="1" si="10"/>
        <v>0.98793831908004159</v>
      </c>
      <c r="AU28" s="78">
        <f ca="1">INDEX($AS$3:$AS$30,MATCH(SMALL($AT$3:$AT$30,ROWS(AT$3:AT28)),$AT$3:$AT$30,0))</f>
        <v>26</v>
      </c>
      <c r="AV28" s="78">
        <f ca="1">SMALL($AS$3:$AS$30,ROWS(AV$3:AV28))</f>
        <v>78</v>
      </c>
      <c r="AW28" s="85">
        <f ca="1">VLOOKUP(SMALL($BB$17:$BB$30,AX28),$BB$17:$BC$30,2,0)</f>
        <v>58</v>
      </c>
      <c r="AX28" s="85">
        <f t="shared" si="14"/>
        <v>13</v>
      </c>
      <c r="BA28" s="85">
        <v>26</v>
      </c>
      <c r="BB28" s="85">
        <f t="shared" ca="1" si="11"/>
        <v>0.38786184980039617</v>
      </c>
      <c r="BC28" s="85">
        <f t="shared" ca="1" si="12"/>
        <v>78</v>
      </c>
    </row>
    <row r="29" spans="1:63" ht="16.5" x14ac:dyDescent="0.3">
      <c r="A29" s="9">
        <v>27</v>
      </c>
      <c r="B29" s="100">
        <v>69</v>
      </c>
      <c r="C29" s="101">
        <v>74</v>
      </c>
      <c r="D29" s="102">
        <v>74</v>
      </c>
      <c r="E29" s="142">
        <v>52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21.305907061707156</v>
      </c>
      <c r="AP29" s="88">
        <f ca="1">SMALL($AO$3:$AO$30,ROWS(AO$3:AO29))</f>
        <v>33.469647715678093</v>
      </c>
      <c r="AQ29" s="110">
        <f t="shared" ca="1" si="8"/>
        <v>2.1197193163314214</v>
      </c>
      <c r="AR29" s="110">
        <f t="shared" si="13"/>
        <v>2</v>
      </c>
      <c r="AS29" s="78">
        <f t="shared" ca="1" si="9"/>
        <v>71</v>
      </c>
      <c r="AT29" s="78">
        <f t="shared" ca="1" si="10"/>
        <v>0.14112736542853888</v>
      </c>
      <c r="AU29" s="78">
        <f ca="1">INDEX($AS$3:$AS$30,MATCH(SMALL($AT$3:$AT$30,ROWS(AT$3:AT29)),$AT$3:$AT$30,0))</f>
        <v>46</v>
      </c>
      <c r="AV29" s="78">
        <f ca="1">SMALL($AS$3:$AS$30,ROWS(AV$3:AV29))</f>
        <v>78</v>
      </c>
      <c r="AW29" s="85">
        <f ca="1">VLOOKUP(SMALL($BB$17:$BB$30,AX29),$BB$17:$BC$30,2,0)</f>
        <v>51</v>
      </c>
      <c r="AX29" s="85">
        <f t="shared" si="14"/>
        <v>14</v>
      </c>
      <c r="BA29" s="85">
        <v>27</v>
      </c>
      <c r="BB29" s="85">
        <f t="shared" ca="1" si="11"/>
        <v>0.24793119373010375</v>
      </c>
      <c r="BC29" s="85">
        <f t="shared" ca="1" si="12"/>
        <v>78</v>
      </c>
    </row>
    <row r="30" spans="1:63" ht="16.5" x14ac:dyDescent="0.3">
      <c r="A30" s="9">
        <v>28</v>
      </c>
      <c r="B30" s="100">
        <v>46</v>
      </c>
      <c r="C30" s="101">
        <v>82</v>
      </c>
      <c r="D30" s="102">
        <v>46</v>
      </c>
      <c r="E30" s="142">
        <v>46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33.469647715678093</v>
      </c>
      <c r="AP30" s="88">
        <f ca="1">SMALL($AO$3:$AO$30,ROWS(AO$3:AO30))</f>
        <v>39.203132874768585</v>
      </c>
      <c r="AQ30" s="110">
        <f t="shared" ca="1" si="8"/>
        <v>1.7524992859214263</v>
      </c>
      <c r="AR30" s="110">
        <f t="shared" si="13"/>
        <v>1</v>
      </c>
      <c r="AS30" s="78">
        <f t="shared" ca="1" si="9"/>
        <v>69</v>
      </c>
      <c r="AT30" s="78">
        <f t="shared" ca="1" si="10"/>
        <v>0.29338315713669383</v>
      </c>
      <c r="AU30" s="78">
        <f ca="1">INDEX($AS$3:$AS$30,MATCH(SMALL($AT$3:$AT$30,ROWS(AT$3:AT30)),$AT$3:$AT$30,0))</f>
        <v>78</v>
      </c>
      <c r="AV30" s="78">
        <f ca="1">SMALL($AS$3:$AS$30,ROWS(AV$3:AV30))</f>
        <v>83</v>
      </c>
      <c r="AW30" s="85">
        <f ca="1">VLOOKUP(SMALL($BB$3:$BB$16,AX30),$BB$3:$BC$30,2,0)</f>
        <v>31</v>
      </c>
      <c r="AX30" s="85">
        <f t="shared" si="14"/>
        <v>14</v>
      </c>
      <c r="BA30" s="85">
        <v>28</v>
      </c>
      <c r="BB30" s="85">
        <f t="shared" ca="1" si="11"/>
        <v>0.60288913331770566</v>
      </c>
      <c r="BC30" s="85">
        <f t="shared" ca="1" si="12"/>
        <v>83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1425</v>
      </c>
      <c r="AT32"/>
      <c r="AU32" s="78">
        <f ca="1">SUM(AU3:AU30)</f>
        <v>1425</v>
      </c>
      <c r="AV32" s="78">
        <f ca="1">SUM(AV3:AV30)</f>
        <v>1425</v>
      </c>
      <c r="AW32" s="78">
        <f ca="1">SUM(AW3:AW30)</f>
        <v>1425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1338</v>
      </c>
      <c r="C88" s="100">
        <f>SUM(C3:C86)</f>
        <v>1338</v>
      </c>
      <c r="D88" s="100">
        <f>SUM(D3:D86)</f>
        <v>1338</v>
      </c>
      <c r="E88" s="100">
        <f>SUM(E3:E86)</f>
        <v>1338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2850</v>
      </c>
      <c r="AT88" s="78">
        <f ca="1">SUM(AT3:AT86)</f>
        <v>15.363502107083844</v>
      </c>
      <c r="AU88" s="78">
        <f ca="1">SUM(AU3:AU86)</f>
        <v>2850</v>
      </c>
      <c r="AV88" s="78">
        <f ca="1">SUM(AV3:AV86)</f>
        <v>2850</v>
      </c>
      <c r="AW88" s="78">
        <f ca="1">SUM(AW3:AW86)</f>
        <v>2850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32</v>
      </c>
      <c r="C98" s="69">
        <f>SUM(C$3:C3)</f>
        <v>25</v>
      </c>
      <c r="D98" s="69">
        <f>SUM(D$3:D3)</f>
        <v>32</v>
      </c>
      <c r="E98" s="69">
        <f>SUM(E$3:E3)</f>
        <v>41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78</v>
      </c>
      <c r="C99" s="69">
        <f>SUM(C$3:C4)</f>
        <v>53</v>
      </c>
      <c r="D99" s="69">
        <f>SUM(D$3:D4)</f>
        <v>70</v>
      </c>
      <c r="E99" s="69">
        <f>SUM(E$3:E4)</f>
        <v>93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124</v>
      </c>
      <c r="C100" s="69">
        <f>SUM(C$3:C5)</f>
        <v>83</v>
      </c>
      <c r="D100" s="69">
        <f>SUM(D$3:D5)</f>
        <v>116</v>
      </c>
      <c r="E100" s="69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170</v>
      </c>
      <c r="C101" s="69">
        <f>SUM(C$3:C6)</f>
        <v>115</v>
      </c>
      <c r="D101" s="69">
        <f>SUM(D$3:D6)</f>
        <v>149</v>
      </c>
      <c r="E101" s="69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252</v>
      </c>
      <c r="C102" s="69">
        <f>SUM(C$3:C7)</f>
        <v>147</v>
      </c>
      <c r="D102" s="69">
        <f>SUM(D$3:D7)</f>
        <v>177</v>
      </c>
      <c r="E102" s="69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290</v>
      </c>
      <c r="C103" s="69">
        <f>SUM(C$3:C8)</f>
        <v>180</v>
      </c>
      <c r="D103" s="69">
        <f>SUM(D$3:D8)</f>
        <v>207</v>
      </c>
      <c r="E103" s="69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331</v>
      </c>
      <c r="C104" s="69">
        <f>SUM(C$3:C9)</f>
        <v>218</v>
      </c>
      <c r="D104" s="69">
        <f>SUM(D$3:D9)</f>
        <v>253</v>
      </c>
      <c r="E104" s="69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364</v>
      </c>
      <c r="C105" s="69">
        <f>SUM(C$3:C10)</f>
        <v>256</v>
      </c>
      <c r="D105" s="69">
        <f>SUM(D$3:D10)</f>
        <v>278</v>
      </c>
      <c r="E105" s="69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410</v>
      </c>
      <c r="C106" s="69">
        <f>SUM(C$3:C11)</f>
        <v>295</v>
      </c>
      <c r="D106" s="69">
        <f>SUM(D$3:D11)</f>
        <v>319</v>
      </c>
      <c r="E106" s="69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462</v>
      </c>
      <c r="C107" s="69">
        <f>SUM(C$3:C12)</f>
        <v>336</v>
      </c>
      <c r="D107" s="69">
        <f>SUM(D$3:D12)</f>
        <v>371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526</v>
      </c>
      <c r="C108" s="69">
        <f>SUM(C$3:C13)</f>
        <v>379</v>
      </c>
      <c r="D108" s="69">
        <f>SUM(D$3:D13)</f>
        <v>440</v>
      </c>
      <c r="E108" s="69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576</v>
      </c>
      <c r="C109" s="69">
        <f>SUM(C$3:C14)</f>
        <v>425</v>
      </c>
      <c r="D109" s="69">
        <f>SUM(D$3:D14)</f>
        <v>490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601</v>
      </c>
      <c r="C110" s="69">
        <f>SUM(C$3:C15)</f>
        <v>471</v>
      </c>
      <c r="D110" s="69">
        <f>SUM(D$3:D15)</f>
        <v>536</v>
      </c>
      <c r="E110" s="69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675</v>
      </c>
      <c r="C111" s="69">
        <f>SUM(C$3:C16)</f>
        <v>517</v>
      </c>
      <c r="D111" s="69">
        <f>SUM(D$3:D16)</f>
        <v>594</v>
      </c>
      <c r="E111" s="69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703</v>
      </c>
      <c r="C112" s="69">
        <f>SUM(C$3:C17)</f>
        <v>563</v>
      </c>
      <c r="D112" s="69">
        <f>SUM(D$3:D17)</f>
        <v>646</v>
      </c>
      <c r="E112" s="69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755</v>
      </c>
      <c r="C113" s="69">
        <f>SUM(C$3:C18)</f>
        <v>609</v>
      </c>
      <c r="D113" s="69">
        <f>SUM(D$3:D18)</f>
        <v>692</v>
      </c>
      <c r="E113" s="69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794</v>
      </c>
      <c r="C114" s="69">
        <f>SUM(C$3:C19)</f>
        <v>659</v>
      </c>
      <c r="D114" s="69">
        <f>SUM(D$3:D19)</f>
        <v>735</v>
      </c>
      <c r="E114" s="69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851</v>
      </c>
      <c r="C115" s="69">
        <f>SUM(C$3:C20)</f>
        <v>711</v>
      </c>
      <c r="D115" s="69">
        <f>SUM(D$3:D20)</f>
        <v>787</v>
      </c>
      <c r="E115" s="69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905</v>
      </c>
      <c r="C116" s="69">
        <f>SUM(C$3:C21)</f>
        <v>763</v>
      </c>
      <c r="D116" s="69">
        <f>SUM(D$3:D21)</f>
        <v>852</v>
      </c>
      <c r="E116" s="69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937</v>
      </c>
      <c r="C117" s="69">
        <f>SUM(C$3:C22)</f>
        <v>815</v>
      </c>
      <c r="D117" s="69">
        <f>SUM(D$3:D22)</f>
        <v>884</v>
      </c>
      <c r="E117" s="69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1002</v>
      </c>
      <c r="C118" s="69">
        <f>SUM(C$3:C23)</f>
        <v>869</v>
      </c>
      <c r="D118" s="69">
        <f>SUM(D$3:D23)</f>
        <v>922</v>
      </c>
      <c r="E118" s="69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1040</v>
      </c>
      <c r="C119" s="69">
        <f>SUM(C$3:C24)</f>
        <v>926</v>
      </c>
      <c r="D119" s="69">
        <f>SUM(D$3:D24)</f>
        <v>979</v>
      </c>
      <c r="E119" s="69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1092</v>
      </c>
      <c r="C120" s="69">
        <f>SUM(C$3:C25)</f>
        <v>984</v>
      </c>
      <c r="D120" s="69">
        <f>SUM(D$3:D25)</f>
        <v>1061</v>
      </c>
      <c r="E120" s="69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1150</v>
      </c>
      <c r="C121" s="69">
        <f>SUM(C$3:C26)</f>
        <v>1048</v>
      </c>
      <c r="D121" s="69">
        <f>SUM(D$3:D26)</f>
        <v>1115</v>
      </c>
      <c r="E121" s="69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1193</v>
      </c>
      <c r="C122" s="69">
        <f>SUM(C$3:C27)</f>
        <v>1113</v>
      </c>
      <c r="D122" s="69">
        <f>SUM(D$3:D27)</f>
        <v>1154</v>
      </c>
      <c r="E122" s="69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1223</v>
      </c>
      <c r="C123" s="69">
        <f>SUM(C$3:C28)</f>
        <v>1182</v>
      </c>
      <c r="D123" s="69">
        <f>SUM(D$3:D28)</f>
        <v>1218</v>
      </c>
      <c r="E123" s="69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1292</v>
      </c>
      <c r="C124" s="69">
        <f>SUM(C$3:C29)</f>
        <v>1256</v>
      </c>
      <c r="D124" s="69">
        <f>SUM(D$3:D29)</f>
        <v>1292</v>
      </c>
      <c r="E124" s="69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1338</v>
      </c>
      <c r="C125" s="69">
        <f>SUM(C$3:C30)</f>
        <v>1338</v>
      </c>
      <c r="D125" s="69">
        <f>SUM(D$3:D30)</f>
        <v>1338</v>
      </c>
      <c r="E125" s="69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7467-C1C1-48A2-A380-4FFB1D823EC1}">
  <dimension ref="A1:BK307"/>
  <sheetViews>
    <sheetView topLeftCell="E1"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18 - 24</v>
      </c>
      <c r="G2" s="164">
        <f>Y4</f>
        <v>18</v>
      </c>
      <c r="H2" s="96">
        <f t="shared" ref="H2:H14" si="1">G2+$Y$3</f>
        <v>24</v>
      </c>
      <c r="I2" s="137">
        <f t="shared" ref="I2:I14" si="2">COUNTIF($B$3:$B$86, "&lt;"&amp;H2)</f>
        <v>2</v>
      </c>
      <c r="J2" s="97">
        <f>I2</f>
        <v>2</v>
      </c>
      <c r="K2" s="98">
        <f t="shared" ref="K2:K14" si="3">J2/$J$15</f>
        <v>7.1428571428571425E-2</v>
      </c>
      <c r="L2" s="99">
        <f t="shared" ref="L2:L14" si="4">I2/$J$15</f>
        <v>7.1428571428571425E-2</v>
      </c>
      <c r="N2" s="163" t="s">
        <v>12</v>
      </c>
      <c r="O2" s="162">
        <f>AVERAGE($B$3:$B$86)</f>
        <v>45.642857142857146</v>
      </c>
      <c r="P2" s="162">
        <f>AVERAGE($B$3:$B$86)</f>
        <v>45.642857142857146</v>
      </c>
      <c r="Q2" s="162">
        <f>AVERAGE($B$3:$B$86)</f>
        <v>45.642857142857146</v>
      </c>
      <c r="R2" s="162">
        <f>AVERAGE($D$3:$D$86)</f>
        <v>45.642857142857146</v>
      </c>
      <c r="V2" s="85" t="s">
        <v>94</v>
      </c>
      <c r="Y2" s="85">
        <f>ROUND(O6/10,0)</f>
        <v>6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47</v>
      </c>
      <c r="C3" s="101">
        <v>23</v>
      </c>
      <c r="D3" s="102">
        <v>23</v>
      </c>
      <c r="E3" s="142">
        <v>43</v>
      </c>
      <c r="F3" s="104" t="str">
        <f t="shared" si="0"/>
        <v>24 - 30</v>
      </c>
      <c r="G3" s="105">
        <f t="shared" ref="G3:G14" si="5">H2</f>
        <v>24</v>
      </c>
      <c r="H3" s="106">
        <f t="shared" si="1"/>
        <v>30</v>
      </c>
      <c r="I3" s="137">
        <f t="shared" si="2"/>
        <v>4</v>
      </c>
      <c r="J3" s="157">
        <f t="shared" ref="J3:J14" si="6">I3-I2</f>
        <v>2</v>
      </c>
      <c r="K3" s="130">
        <f t="shared" si="3"/>
        <v>7.1428571428571425E-2</v>
      </c>
      <c r="L3" s="109">
        <f t="shared" si="4"/>
        <v>0.14285714285714285</v>
      </c>
      <c r="N3" s="133" t="s">
        <v>91</v>
      </c>
      <c r="O3" s="135">
        <f>MEDIAN(B$3:B$86)</f>
        <v>44</v>
      </c>
      <c r="P3" s="135">
        <f>MEDIAN(C$3:C$86)</f>
        <v>44</v>
      </c>
      <c r="Q3" s="135">
        <f>MEDIAN(D$3:D$86)</f>
        <v>44</v>
      </c>
      <c r="R3" s="135">
        <f>MEDIAN(E$3:E$86)</f>
        <v>44</v>
      </c>
      <c r="V3" s="85" t="s">
        <v>95</v>
      </c>
      <c r="Y3" s="85">
        <f>ROUND(Y2,-LEN(Y2)+1)</f>
        <v>6</v>
      </c>
      <c r="AN3" s="88">
        <v>1</v>
      </c>
      <c r="AO3" s="88">
        <f t="shared" ref="AO3:AO30" ca="1" si="7">ABS(_xlfn.NORM.INV(RAND(),$AQ$1,$AS$1))</f>
        <v>26.723982274598733</v>
      </c>
      <c r="AP3" s="88">
        <f ca="1">SMALL($AO$3:$AO$30,ROWS(AO$3:AO3))</f>
        <v>16.616912711954555</v>
      </c>
      <c r="AQ3" s="110">
        <f t="shared" ref="AQ3:AQ30" ca="1" si="8">AR3+RAND()</f>
        <v>1.3268434934568298</v>
      </c>
      <c r="AR3" s="110">
        <v>1</v>
      </c>
      <c r="AS3" s="78">
        <f t="shared" ref="AS3:AS30" ca="1" si="9">ROUNDUP(AP3*AQ3,0)</f>
        <v>23</v>
      </c>
      <c r="AT3" s="78">
        <f t="shared" ref="AT3:AT30" ca="1" si="10">RAND()</f>
        <v>7.2073013678287001E-2</v>
      </c>
      <c r="AU3" s="78">
        <f ca="1">INDEX($AS$3:$AS$30,MATCH(SMALL($AT$3:$AT$30,ROWS(AT$3:AT3)),$AT$3:$AT$30,0))</f>
        <v>29</v>
      </c>
      <c r="AV3" s="78">
        <f ca="1">SMALL($AS$3:$AS$30,ROWS(AV$3:AV3))</f>
        <v>23</v>
      </c>
      <c r="AW3" s="85">
        <f ca="1">VLOOKUP(SMALL($BB$3:$BB$16,AX3),$BB$3:$BC$30,2,0)</f>
        <v>41</v>
      </c>
      <c r="AX3" s="85">
        <v>1</v>
      </c>
      <c r="BA3" s="85">
        <v>1</v>
      </c>
      <c r="BB3" s="85">
        <f t="shared" ref="BB3:BB30" ca="1" si="11">RAND()</f>
        <v>0.57370336444292835</v>
      </c>
      <c r="BC3" s="85">
        <f t="shared" ref="BC3:BC30" ca="1" si="12">AV3</f>
        <v>23</v>
      </c>
    </row>
    <row r="4" spans="1:55" ht="17.25" thickBot="1" x14ac:dyDescent="0.35">
      <c r="A4" s="9">
        <v>2</v>
      </c>
      <c r="B4" s="100">
        <v>51</v>
      </c>
      <c r="C4" s="101">
        <v>23</v>
      </c>
      <c r="D4" s="102">
        <v>43</v>
      </c>
      <c r="E4" s="142">
        <v>48</v>
      </c>
      <c r="F4" s="104" t="str">
        <f t="shared" si="0"/>
        <v>30 - 36</v>
      </c>
      <c r="G4" s="105">
        <f t="shared" si="5"/>
        <v>30</v>
      </c>
      <c r="H4" s="106">
        <f t="shared" si="1"/>
        <v>36</v>
      </c>
      <c r="I4" s="137">
        <f t="shared" si="2"/>
        <v>7</v>
      </c>
      <c r="J4" s="157">
        <f t="shared" si="6"/>
        <v>3</v>
      </c>
      <c r="K4" s="130">
        <f t="shared" si="3"/>
        <v>0.10714285714285714</v>
      </c>
      <c r="L4" s="109">
        <f t="shared" si="4"/>
        <v>0.25</v>
      </c>
      <c r="N4" s="161" t="s">
        <v>13</v>
      </c>
      <c r="O4" s="160">
        <f>MAX(B$3:B$86)</f>
        <v>83</v>
      </c>
      <c r="P4" s="160">
        <f>MAX(C$3:C$86)</f>
        <v>83</v>
      </c>
      <c r="Q4" s="160">
        <f>MAX(D$3:D$86)</f>
        <v>83</v>
      </c>
      <c r="R4" s="160">
        <f>MAX(E$3:E$86)</f>
        <v>83</v>
      </c>
      <c r="V4" s="85" t="s">
        <v>96</v>
      </c>
      <c r="Y4" s="85">
        <f>Y3*INT(O5/Y3)</f>
        <v>18</v>
      </c>
      <c r="AN4" s="88">
        <v>2</v>
      </c>
      <c r="AO4" s="88">
        <f t="shared" ca="1" si="7"/>
        <v>19.079174189651908</v>
      </c>
      <c r="AP4" s="88">
        <f ca="1">SMALL($AO$3:$AO$30,ROWS(AO$3:AO4))</f>
        <v>16.675684567405888</v>
      </c>
      <c r="AQ4" s="110">
        <f t="shared" ca="1" si="8"/>
        <v>1.7498936967514394</v>
      </c>
      <c r="AR4" s="110">
        <v>1.5</v>
      </c>
      <c r="AS4" s="78">
        <f t="shared" ca="1" si="9"/>
        <v>30</v>
      </c>
      <c r="AT4" s="78">
        <f t="shared" ca="1" si="10"/>
        <v>0.99301536154104653</v>
      </c>
      <c r="AU4" s="78">
        <f ca="1">INDEX($AS$3:$AS$30,MATCH(SMALL($AT$3:$AT$30,ROWS(AT$3:AT4)),$AT$3:$AT$30,0))</f>
        <v>23</v>
      </c>
      <c r="AV4" s="78">
        <f ca="1">SMALL($AS$3:$AS$30,ROWS(AV$3:AV4))</f>
        <v>25</v>
      </c>
      <c r="AW4" s="85">
        <f ca="1">VLOOKUP(SMALL($BB$17:$BB$30,AX4),$BB$17:$BC$30,2,0)</f>
        <v>47</v>
      </c>
      <c r="AX4" s="85">
        <v>1</v>
      </c>
      <c r="BA4" s="85">
        <v>2</v>
      </c>
      <c r="BB4" s="85">
        <f t="shared" ca="1" si="11"/>
        <v>0.63224061937711329</v>
      </c>
      <c r="BC4" s="85">
        <f t="shared" ca="1" si="12"/>
        <v>25</v>
      </c>
    </row>
    <row r="5" spans="1:55" ht="17.25" thickBot="1" x14ac:dyDescent="0.35">
      <c r="A5" s="9">
        <v>3</v>
      </c>
      <c r="B5" s="100">
        <v>43</v>
      </c>
      <c r="C5" s="101">
        <v>26</v>
      </c>
      <c r="D5" s="102">
        <v>51</v>
      </c>
      <c r="E5" s="142">
        <v>61</v>
      </c>
      <c r="F5" s="104" t="str">
        <f t="shared" si="0"/>
        <v>36 - 42</v>
      </c>
      <c r="G5" s="105">
        <f t="shared" si="5"/>
        <v>36</v>
      </c>
      <c r="H5" s="106">
        <f t="shared" si="1"/>
        <v>42</v>
      </c>
      <c r="I5" s="137">
        <f t="shared" si="2"/>
        <v>11</v>
      </c>
      <c r="J5" s="157">
        <f t="shared" si="6"/>
        <v>4</v>
      </c>
      <c r="K5" s="130">
        <f t="shared" si="3"/>
        <v>0.14285714285714285</v>
      </c>
      <c r="L5" s="109">
        <f t="shared" si="4"/>
        <v>0.39285714285714285</v>
      </c>
      <c r="N5" s="161" t="s">
        <v>14</v>
      </c>
      <c r="O5" s="160">
        <f>MIN(B$3:B$84)</f>
        <v>23</v>
      </c>
      <c r="P5" s="160">
        <f>MIN(C$3:C$84)</f>
        <v>23</v>
      </c>
      <c r="Q5" s="160">
        <f>MIN(D$3:D$84)</f>
        <v>23</v>
      </c>
      <c r="R5" s="160">
        <f>MIN(E$3:E$84)</f>
        <v>23</v>
      </c>
      <c r="V5" s="85" t="s">
        <v>93</v>
      </c>
      <c r="Y5" s="85">
        <f>ROUNDUP(O4/Y3,0)</f>
        <v>14</v>
      </c>
      <c r="AN5" s="88">
        <v>3</v>
      </c>
      <c r="AO5" s="88">
        <f t="shared" ca="1" si="7"/>
        <v>26.558903201995914</v>
      </c>
      <c r="AP5" s="88">
        <f ca="1">SMALL($AO$3:$AO$30,ROWS(AO$3:AO5))</f>
        <v>16.83398554788932</v>
      </c>
      <c r="AQ5" s="110">
        <f t="shared" ca="1" si="8"/>
        <v>2.2664957048723715</v>
      </c>
      <c r="AR5" s="110">
        <v>2</v>
      </c>
      <c r="AS5" s="78">
        <f t="shared" ca="1" si="9"/>
        <v>39</v>
      </c>
      <c r="AT5" s="78">
        <f t="shared" ca="1" si="10"/>
        <v>0.31817869679915389</v>
      </c>
      <c r="AU5" s="78">
        <f ca="1">INDEX($AS$3:$AS$30,MATCH(SMALL($AT$3:$AT$30,ROWS(AT$3:AT5)),$AT$3:$AT$30,0))</f>
        <v>36</v>
      </c>
      <c r="AV5" s="78">
        <f ca="1">SMALL($AS$3:$AS$30,ROWS(AV$3:AV5))</f>
        <v>26</v>
      </c>
      <c r="AW5" s="85">
        <f ca="1">VLOOKUP(SMALL($BB$17:$BB$30,AX5),$BB$17:$BC$30,2,0)</f>
        <v>52</v>
      </c>
      <c r="AX5" s="85">
        <v>2</v>
      </c>
      <c r="BA5" s="85">
        <v>3</v>
      </c>
      <c r="BB5" s="85">
        <f t="shared" ca="1" si="11"/>
        <v>0.80745295862385813</v>
      </c>
      <c r="BC5" s="85">
        <f t="shared" ca="1" si="12"/>
        <v>26</v>
      </c>
    </row>
    <row r="6" spans="1:55" ht="17.25" thickBot="1" x14ac:dyDescent="0.35">
      <c r="A6" s="9">
        <v>4</v>
      </c>
      <c r="B6" s="100">
        <v>32</v>
      </c>
      <c r="C6" s="101">
        <v>27</v>
      </c>
      <c r="D6" s="102">
        <v>23</v>
      </c>
      <c r="E6" s="142">
        <v>23</v>
      </c>
      <c r="F6" s="104" t="str">
        <f t="shared" si="0"/>
        <v>42 - 48</v>
      </c>
      <c r="G6" s="105">
        <f t="shared" si="5"/>
        <v>42</v>
      </c>
      <c r="H6" s="106">
        <f t="shared" si="1"/>
        <v>48</v>
      </c>
      <c r="I6" s="137">
        <f t="shared" si="2"/>
        <v>18</v>
      </c>
      <c r="J6" s="157">
        <f t="shared" si="6"/>
        <v>7</v>
      </c>
      <c r="K6" s="130">
        <f t="shared" si="3"/>
        <v>0.25</v>
      </c>
      <c r="L6" s="109">
        <f t="shared" si="4"/>
        <v>0.6428571428571429</v>
      </c>
      <c r="N6" s="161" t="s">
        <v>5</v>
      </c>
      <c r="O6" s="160">
        <f>O4-O5</f>
        <v>60</v>
      </c>
      <c r="P6" s="160">
        <f>P4-P5</f>
        <v>60</v>
      </c>
      <c r="Q6" s="160">
        <f>Q4-Q5</f>
        <v>60</v>
      </c>
      <c r="R6" s="160">
        <f>R4-R5</f>
        <v>60</v>
      </c>
      <c r="V6" s="85" t="s">
        <v>97</v>
      </c>
      <c r="Y6" s="85">
        <f>Y5*Y3</f>
        <v>84</v>
      </c>
      <c r="AN6" s="88">
        <v>4</v>
      </c>
      <c r="AO6" s="88">
        <f t="shared" ca="1" si="7"/>
        <v>17.37179102439184</v>
      </c>
      <c r="AP6" s="88">
        <f ca="1">SMALL($AO$3:$AO$30,ROWS(AO$3:AO6))</f>
        <v>17.009924148631018</v>
      </c>
      <c r="AQ6" s="110">
        <f t="shared" ca="1" si="8"/>
        <v>1.5415932274942308</v>
      </c>
      <c r="AR6" s="110">
        <v>1</v>
      </c>
      <c r="AS6" s="78">
        <f t="shared" ca="1" si="9"/>
        <v>27</v>
      </c>
      <c r="AT6" s="78">
        <f t="shared" ca="1" si="10"/>
        <v>0.22687627095897711</v>
      </c>
      <c r="AU6" s="78">
        <f ca="1">INDEX($AS$3:$AS$30,MATCH(SMALL($AT$3:$AT$30,ROWS(AT$3:AT6)),$AT$3:$AT$30,0))</f>
        <v>76</v>
      </c>
      <c r="AV6" s="78">
        <f ca="1">SMALL($AS$3:$AS$30,ROWS(AV$3:AV6))</f>
        <v>27</v>
      </c>
      <c r="AW6" s="85">
        <f ca="1">VLOOKUP(SMALL($BB$3:$BB$16,AX6),$BB$3:$BC$30,2,0)</f>
        <v>34</v>
      </c>
      <c r="AX6" s="85">
        <v>2</v>
      </c>
      <c r="BA6" s="85">
        <v>4</v>
      </c>
      <c r="BB6" s="85">
        <f t="shared" ca="1" si="11"/>
        <v>0.93232431605891142</v>
      </c>
      <c r="BC6" s="85">
        <f t="shared" ca="1" si="12"/>
        <v>27</v>
      </c>
    </row>
    <row r="7" spans="1:55" ht="17.25" thickBot="1" x14ac:dyDescent="0.35">
      <c r="A7" s="9">
        <v>5</v>
      </c>
      <c r="B7" s="100">
        <v>58</v>
      </c>
      <c r="C7" s="101">
        <v>32</v>
      </c>
      <c r="D7" s="102">
        <v>26</v>
      </c>
      <c r="E7" s="142">
        <v>40</v>
      </c>
      <c r="F7" s="104" t="str">
        <f t="shared" si="0"/>
        <v>48 - 54</v>
      </c>
      <c r="G7" s="105">
        <f t="shared" si="5"/>
        <v>48</v>
      </c>
      <c r="H7" s="106">
        <f t="shared" si="1"/>
        <v>54</v>
      </c>
      <c r="I7" s="137">
        <f t="shared" si="2"/>
        <v>21</v>
      </c>
      <c r="J7" s="157">
        <f t="shared" si="6"/>
        <v>3</v>
      </c>
      <c r="K7" s="130">
        <f t="shared" si="3"/>
        <v>0.10714285714285714</v>
      </c>
      <c r="L7" s="109">
        <f t="shared" si="4"/>
        <v>0.75</v>
      </c>
      <c r="N7" s="161" t="s">
        <v>15</v>
      </c>
      <c r="O7" s="160">
        <f>_xlfn.STDEV.S(B$3:B$86)</f>
        <v>15.01903554065402</v>
      </c>
      <c r="P7" s="160">
        <f>_xlfn.STDEV.S(C$3:C$86)</f>
        <v>15.01903554065402</v>
      </c>
      <c r="Q7" s="160">
        <f>_xlfn.STDEV.S(D$3:D$86)</f>
        <v>15.01903554065402</v>
      </c>
      <c r="R7" s="160">
        <f>_xlfn.STDEV.S(E$3:E$86)</f>
        <v>15.01903554065402</v>
      </c>
      <c r="V7" s="85" t="s">
        <v>98</v>
      </c>
      <c r="Y7" s="85">
        <v>4</v>
      </c>
      <c r="AN7" s="88">
        <v>5</v>
      </c>
      <c r="AO7" s="88">
        <f t="shared" ca="1" si="7"/>
        <v>17.009924148631018</v>
      </c>
      <c r="AP7" s="88">
        <f ca="1">SMALL($AO$3:$AO$30,ROWS(AO$3:AO7))</f>
        <v>17.37179102439184</v>
      </c>
      <c r="AQ7" s="110">
        <f t="shared" ca="1" si="8"/>
        <v>1.9303195682330243</v>
      </c>
      <c r="AR7" s="110">
        <f t="shared" ref="AR7:AR30" si="13">AR3</f>
        <v>1</v>
      </c>
      <c r="AS7" s="78">
        <f t="shared" ca="1" si="9"/>
        <v>34</v>
      </c>
      <c r="AT7" s="78">
        <f t="shared" ca="1" si="10"/>
        <v>0.47888030440831775</v>
      </c>
      <c r="AU7" s="78">
        <f ca="1">INDEX($AS$3:$AS$30,MATCH(SMALL($AT$3:$AT$30,ROWS(AT$3:AT7)),$AT$3:$AT$30,0))</f>
        <v>62</v>
      </c>
      <c r="AV7" s="78">
        <f ca="1">SMALL($AS$3:$AS$30,ROWS(AV$3:AV7))</f>
        <v>29</v>
      </c>
      <c r="AW7" s="85">
        <f ca="1">VLOOKUP(SMALL($BB$3:$BB$16,AX7),$BB$3:$BC$30,2,0)</f>
        <v>30</v>
      </c>
      <c r="AX7" s="85">
        <f t="shared" ref="AX7:AX30" si="14">2+AX3</f>
        <v>3</v>
      </c>
      <c r="BA7" s="85">
        <v>5</v>
      </c>
      <c r="BB7" s="85">
        <f t="shared" ca="1" si="11"/>
        <v>0.89912045008536368</v>
      </c>
      <c r="BC7" s="85">
        <f t="shared" ca="1" si="12"/>
        <v>29</v>
      </c>
    </row>
    <row r="8" spans="1:55" ht="17.25" thickBot="1" x14ac:dyDescent="0.35">
      <c r="A8" s="9">
        <v>6</v>
      </c>
      <c r="B8" s="100">
        <v>33</v>
      </c>
      <c r="C8" s="101">
        <v>33</v>
      </c>
      <c r="D8" s="102">
        <v>32</v>
      </c>
      <c r="E8" s="142">
        <v>73</v>
      </c>
      <c r="F8" s="104" t="str">
        <f t="shared" si="0"/>
        <v>54 - 60</v>
      </c>
      <c r="G8" s="105">
        <f t="shared" si="5"/>
        <v>54</v>
      </c>
      <c r="H8" s="106">
        <f t="shared" si="1"/>
        <v>60</v>
      </c>
      <c r="I8" s="137">
        <f t="shared" si="2"/>
        <v>23</v>
      </c>
      <c r="J8" s="157">
        <f t="shared" si="6"/>
        <v>2</v>
      </c>
      <c r="K8" s="130">
        <f t="shared" si="3"/>
        <v>7.1428571428571425E-2</v>
      </c>
      <c r="L8" s="109">
        <f t="shared" si="4"/>
        <v>0.8214285714285714</v>
      </c>
      <c r="N8" s="161" t="s">
        <v>16</v>
      </c>
      <c r="O8" s="160">
        <f>O7/O2</f>
        <v>0.32905555175141826</v>
      </c>
      <c r="P8" s="160">
        <f>P7/P2</f>
        <v>0.32905555175141826</v>
      </c>
      <c r="Q8" s="160">
        <f>Q7/Q2</f>
        <v>0.32905555175141826</v>
      </c>
      <c r="R8" s="160">
        <f>R7/R2</f>
        <v>0.32905555175141826</v>
      </c>
      <c r="AN8" s="88">
        <v>6</v>
      </c>
      <c r="AO8" s="88">
        <f t="shared" ca="1" si="7"/>
        <v>26.025847708017626</v>
      </c>
      <c r="AP8" s="88">
        <f ca="1">SMALL($AO$3:$AO$30,ROWS(AO$3:AO8))</f>
        <v>18.286833110378346</v>
      </c>
      <c r="AQ8" s="110">
        <f t="shared" ca="1" si="8"/>
        <v>2.3195549467039824</v>
      </c>
      <c r="AR8" s="110">
        <f t="shared" si="13"/>
        <v>1.5</v>
      </c>
      <c r="AS8" s="78">
        <f t="shared" ca="1" si="9"/>
        <v>43</v>
      </c>
      <c r="AT8" s="78">
        <f t="shared" ca="1" si="10"/>
        <v>0.75340617371733876</v>
      </c>
      <c r="AU8" s="78">
        <f ca="1">INDEX($AS$3:$AS$30,MATCH(SMALL($AT$3:$AT$30,ROWS(AT$3:AT8)),$AT$3:$AT$30,0))</f>
        <v>44</v>
      </c>
      <c r="AV8" s="78">
        <f ca="1">SMALL($AS$3:$AS$30,ROWS(AV$3:AV8))</f>
        <v>29</v>
      </c>
      <c r="AW8" s="85">
        <f ca="1">VLOOKUP(SMALL($BB$17:$BB$30,AX8),$BB$17:$BC$30,2,0)</f>
        <v>97</v>
      </c>
      <c r="AX8" s="85">
        <f t="shared" si="14"/>
        <v>3</v>
      </c>
      <c r="BA8" s="85">
        <v>6</v>
      </c>
      <c r="BB8" s="85">
        <f t="shared" ca="1" si="11"/>
        <v>0.43657347862281304</v>
      </c>
      <c r="BC8" s="85">
        <f t="shared" ca="1" si="12"/>
        <v>29</v>
      </c>
    </row>
    <row r="9" spans="1:55" ht="17.25" thickBot="1" x14ac:dyDescent="0.35">
      <c r="A9" s="9">
        <v>7</v>
      </c>
      <c r="B9" s="100">
        <v>23</v>
      </c>
      <c r="C9" s="101">
        <v>35</v>
      </c>
      <c r="D9" s="102">
        <v>61</v>
      </c>
      <c r="E9" s="142">
        <v>83</v>
      </c>
      <c r="F9" s="104" t="str">
        <f t="shared" si="0"/>
        <v>60 - 66</v>
      </c>
      <c r="G9" s="105">
        <f t="shared" si="5"/>
        <v>60</v>
      </c>
      <c r="H9" s="106">
        <f t="shared" si="1"/>
        <v>66</v>
      </c>
      <c r="I9" s="137">
        <f t="shared" si="2"/>
        <v>25</v>
      </c>
      <c r="J9" s="157">
        <f t="shared" si="6"/>
        <v>2</v>
      </c>
      <c r="K9" s="130">
        <f t="shared" si="3"/>
        <v>7.1428571428571425E-2</v>
      </c>
      <c r="L9" s="109">
        <f t="shared" si="4"/>
        <v>0.8928571428571429</v>
      </c>
      <c r="N9" s="133" t="s">
        <v>92</v>
      </c>
      <c r="O9" s="134">
        <f>O2/O3</f>
        <v>1.0373376623376624</v>
      </c>
      <c r="P9" s="134">
        <f>P2/P3</f>
        <v>1.0373376623376624</v>
      </c>
      <c r="Q9" s="134">
        <f>Q2/Q3</f>
        <v>1.0373376623376624</v>
      </c>
      <c r="R9" s="134">
        <f>R2/R3</f>
        <v>1.0373376623376624</v>
      </c>
      <c r="AN9" s="88">
        <v>8</v>
      </c>
      <c r="AO9" s="88">
        <f t="shared" ca="1" si="7"/>
        <v>26.104611500342301</v>
      </c>
      <c r="AP9" s="88">
        <f ca="1">SMALL($AO$3:$AO$30,ROWS(AO$3:AO9))</f>
        <v>19.079174189651908</v>
      </c>
      <c r="AQ9" s="110">
        <f t="shared" ca="1" si="8"/>
        <v>2.3239403197591395</v>
      </c>
      <c r="AR9" s="110">
        <f t="shared" si="13"/>
        <v>2</v>
      </c>
      <c r="AS9" s="78">
        <f t="shared" ca="1" si="9"/>
        <v>45</v>
      </c>
      <c r="AT9" s="78">
        <f t="shared" ca="1" si="10"/>
        <v>0.58628315217923688</v>
      </c>
      <c r="AU9" s="78">
        <f ca="1">INDEX($AS$3:$AS$30,MATCH(SMALL($AT$3:$AT$30,ROWS(AT$3:AT9)),$AT$3:$AT$30,0))</f>
        <v>56</v>
      </c>
      <c r="AV9" s="78">
        <f ca="1">SMALL($AS$3:$AS$30,ROWS(AV$3:AV9))</f>
        <v>30</v>
      </c>
      <c r="AW9" s="85">
        <f ca="1">VLOOKUP(SMALL($BB$17:$BB$30,AX9),$BB$17:$BC$30,2,0)</f>
        <v>44</v>
      </c>
      <c r="AX9" s="85">
        <f t="shared" si="14"/>
        <v>4</v>
      </c>
      <c r="BA9" s="85">
        <v>7</v>
      </c>
      <c r="BB9" s="85">
        <f t="shared" ca="1" si="11"/>
        <v>0.72216300255388211</v>
      </c>
      <c r="BC9" s="85">
        <f t="shared" ca="1" si="12"/>
        <v>30</v>
      </c>
    </row>
    <row r="10" spans="1:55" ht="17.25" thickBot="1" x14ac:dyDescent="0.35">
      <c r="A10" s="9">
        <v>8</v>
      </c>
      <c r="B10" s="100">
        <v>44</v>
      </c>
      <c r="C10" s="101">
        <v>36</v>
      </c>
      <c r="D10" s="102">
        <v>33</v>
      </c>
      <c r="E10" s="142">
        <v>35</v>
      </c>
      <c r="F10" s="104" t="str">
        <f t="shared" si="0"/>
        <v>66 - 72</v>
      </c>
      <c r="G10" s="105">
        <f t="shared" si="5"/>
        <v>66</v>
      </c>
      <c r="H10" s="106">
        <f t="shared" si="1"/>
        <v>72</v>
      </c>
      <c r="I10" s="137">
        <f t="shared" si="2"/>
        <v>26</v>
      </c>
      <c r="J10" s="157">
        <f t="shared" si="6"/>
        <v>1</v>
      </c>
      <c r="K10" s="130">
        <f t="shared" si="3"/>
        <v>3.5714285714285712E-2</v>
      </c>
      <c r="L10" s="109">
        <f t="shared" si="4"/>
        <v>0.9285714285714286</v>
      </c>
      <c r="N10" s="159" t="s">
        <v>90</v>
      </c>
      <c r="O10" s="158">
        <f>O6/O2</f>
        <v>1.3145539906103285</v>
      </c>
      <c r="P10" s="158">
        <f>P6/P2</f>
        <v>1.3145539906103285</v>
      </c>
      <c r="Q10" s="158">
        <f>Q6/Q2</f>
        <v>1.3145539906103285</v>
      </c>
      <c r="R10" s="158">
        <f>R6/R2</f>
        <v>1.3145539906103285</v>
      </c>
      <c r="AN10" s="88">
        <v>7</v>
      </c>
      <c r="AO10" s="88">
        <f t="shared" ca="1" si="7"/>
        <v>22.687348191719249</v>
      </c>
      <c r="AP10" s="88">
        <f ca="1">SMALL($AO$3:$AO$30,ROWS(AO$3:AO10))</f>
        <v>19.641298513150641</v>
      </c>
      <c r="AQ10" s="110">
        <f t="shared" ca="1" si="8"/>
        <v>1.2807329973580486</v>
      </c>
      <c r="AR10" s="110">
        <f t="shared" si="13"/>
        <v>1</v>
      </c>
      <c r="AS10" s="78">
        <f t="shared" ca="1" si="9"/>
        <v>26</v>
      </c>
      <c r="AT10" s="78">
        <f t="shared" ca="1" si="10"/>
        <v>0.38537244825080252</v>
      </c>
      <c r="AU10" s="78">
        <f ca="1">INDEX($AS$3:$AS$30,MATCH(SMALL($AT$3:$AT$30,ROWS(AT$3:AT10)),$AT$3:$AT$30,0))</f>
        <v>27</v>
      </c>
      <c r="AV10" s="78">
        <f ca="1">SMALL($AS$3:$AS$30,ROWS(AV$3:AV10))</f>
        <v>30</v>
      </c>
      <c r="AW10" s="85">
        <f ca="1">VLOOKUP(SMALL($BB$3:$BB$16,AX10),$BB$3:$BC$30,2,0)</f>
        <v>40</v>
      </c>
      <c r="AX10" s="85">
        <f t="shared" si="14"/>
        <v>4</v>
      </c>
      <c r="BA10" s="85">
        <v>8</v>
      </c>
      <c r="BB10" s="85">
        <f t="shared" ca="1" si="11"/>
        <v>0.41553535926407836</v>
      </c>
      <c r="BC10" s="85">
        <f t="shared" ca="1" si="12"/>
        <v>30</v>
      </c>
    </row>
    <row r="11" spans="1:55" ht="17.25" thickBot="1" x14ac:dyDescent="0.35">
      <c r="A11" s="9">
        <v>9</v>
      </c>
      <c r="B11" s="100">
        <v>40</v>
      </c>
      <c r="C11" s="101">
        <v>38</v>
      </c>
      <c r="D11" s="102">
        <v>27</v>
      </c>
      <c r="E11" s="142">
        <v>36</v>
      </c>
      <c r="F11" s="104" t="str">
        <f t="shared" si="0"/>
        <v>72 - 78</v>
      </c>
      <c r="G11" s="105">
        <f t="shared" si="5"/>
        <v>72</v>
      </c>
      <c r="H11" s="106">
        <f t="shared" si="1"/>
        <v>78</v>
      </c>
      <c r="I11" s="137">
        <f t="shared" si="2"/>
        <v>27</v>
      </c>
      <c r="J11" s="157">
        <f t="shared" si="6"/>
        <v>1</v>
      </c>
      <c r="K11" s="130">
        <f t="shared" si="3"/>
        <v>3.5714285714285712E-2</v>
      </c>
      <c r="L11" s="109">
        <f t="shared" si="4"/>
        <v>0.9642857142857143</v>
      </c>
      <c r="AN11" s="88">
        <v>12</v>
      </c>
      <c r="AO11" s="88">
        <f t="shared" ca="1" si="7"/>
        <v>16.616912711954555</v>
      </c>
      <c r="AP11" s="88">
        <f ca="1">SMALL($AO$3:$AO$30,ROWS(AO$3:AO11))</f>
        <v>20.625664157261035</v>
      </c>
      <c r="AQ11" s="110">
        <f t="shared" ca="1" si="8"/>
        <v>1.194011879001605</v>
      </c>
      <c r="AR11" s="110">
        <f t="shared" si="13"/>
        <v>1</v>
      </c>
      <c r="AS11" s="78">
        <f t="shared" ca="1" si="9"/>
        <v>25</v>
      </c>
      <c r="AT11" s="78">
        <f t="shared" ca="1" si="10"/>
        <v>0.80378606197168623</v>
      </c>
      <c r="AU11" s="78">
        <f ca="1">INDEX($AS$3:$AS$30,MATCH(SMALL($AT$3:$AT$30,ROWS(AT$3:AT11)),$AT$3:$AT$30,0))</f>
        <v>47</v>
      </c>
      <c r="AV11" s="78">
        <f ca="1">SMALL($AS$3:$AS$30,ROWS(AV$3:AV11))</f>
        <v>34</v>
      </c>
      <c r="AW11" s="85">
        <f ca="1">VLOOKUP(SMALL($BB$3:$BB$16,AX11),$BB$3:$BC$30,2,0)</f>
        <v>29</v>
      </c>
      <c r="AX11" s="85">
        <f t="shared" si="14"/>
        <v>5</v>
      </c>
      <c r="BA11" s="85">
        <v>9</v>
      </c>
      <c r="BB11" s="85">
        <f t="shared" ca="1" si="11"/>
        <v>0.27181548367158359</v>
      </c>
      <c r="BC11" s="85">
        <f t="shared" ca="1" si="12"/>
        <v>34</v>
      </c>
    </row>
    <row r="12" spans="1:55" ht="17.25" thickBot="1" x14ac:dyDescent="0.35">
      <c r="A12" s="9">
        <v>10</v>
      </c>
      <c r="B12" s="100">
        <v>39</v>
      </c>
      <c r="C12" s="101">
        <v>39</v>
      </c>
      <c r="D12" s="102">
        <v>44</v>
      </c>
      <c r="E12" s="142">
        <v>44</v>
      </c>
      <c r="F12" s="104" t="str">
        <f t="shared" si="0"/>
        <v>78 - 84</v>
      </c>
      <c r="G12" s="105">
        <f t="shared" si="5"/>
        <v>78</v>
      </c>
      <c r="H12" s="106">
        <f t="shared" si="1"/>
        <v>84</v>
      </c>
      <c r="I12" s="137">
        <f t="shared" si="2"/>
        <v>28</v>
      </c>
      <c r="J12" s="157">
        <f t="shared" si="6"/>
        <v>1</v>
      </c>
      <c r="K12" s="130">
        <f t="shared" si="3"/>
        <v>3.5714285714285712E-2</v>
      </c>
      <c r="L12" s="109">
        <f t="shared" si="4"/>
        <v>1</v>
      </c>
      <c r="AN12" s="88">
        <v>9</v>
      </c>
      <c r="AO12" s="88">
        <f t="shared" ca="1" si="7"/>
        <v>20.625664157261035</v>
      </c>
      <c r="AP12" s="88">
        <f ca="1">SMALL($AO$3:$AO$30,ROWS(AO$3:AO12))</f>
        <v>20.802199462215182</v>
      </c>
      <c r="AQ12" s="110">
        <f t="shared" ca="1" si="8"/>
        <v>1.9506531688523658</v>
      </c>
      <c r="AR12" s="110">
        <f t="shared" si="13"/>
        <v>1.5</v>
      </c>
      <c r="AS12" s="78">
        <f t="shared" ca="1" si="9"/>
        <v>41</v>
      </c>
      <c r="AT12" s="78">
        <f t="shared" ca="1" si="10"/>
        <v>0.65144787464169729</v>
      </c>
      <c r="AU12" s="78">
        <f ca="1">INDEX($AS$3:$AS$30,MATCH(SMALL($AT$3:$AT$30,ROWS(AT$3:AT12)),$AT$3:$AT$30,0))</f>
        <v>39</v>
      </c>
      <c r="AV12" s="78">
        <f ca="1">SMALL($AS$3:$AS$30,ROWS(AV$3:AV12))</f>
        <v>36</v>
      </c>
      <c r="AW12" s="85">
        <f ca="1">VLOOKUP(SMALL($BB$17:$BB$30,AX12),$BB$17:$BC$30,2,0)</f>
        <v>60</v>
      </c>
      <c r="AX12" s="85">
        <f t="shared" si="14"/>
        <v>5</v>
      </c>
      <c r="BA12" s="85">
        <v>10</v>
      </c>
      <c r="BB12" s="85">
        <f t="shared" ca="1" si="11"/>
        <v>0.64829260323956395</v>
      </c>
      <c r="BC12" s="85">
        <f t="shared" ca="1" si="12"/>
        <v>36</v>
      </c>
    </row>
    <row r="13" spans="1:55" ht="17.25" thickBot="1" x14ac:dyDescent="0.35">
      <c r="A13" s="9">
        <v>11</v>
      </c>
      <c r="B13" s="100">
        <v>46</v>
      </c>
      <c r="C13" s="101">
        <v>40</v>
      </c>
      <c r="D13" s="102">
        <v>58</v>
      </c>
      <c r="E13" s="142">
        <v>46</v>
      </c>
      <c r="F13" s="104" t="str">
        <f t="shared" si="0"/>
        <v>84 - 90</v>
      </c>
      <c r="G13" s="105">
        <f t="shared" si="5"/>
        <v>84</v>
      </c>
      <c r="H13" s="106">
        <f t="shared" si="1"/>
        <v>90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23.782354109578481</v>
      </c>
      <c r="AP13" s="88">
        <f ca="1">SMALL($AO$3:$AO$30,ROWS(AO$3:AO13))</f>
        <v>21.301396303923713</v>
      </c>
      <c r="AQ13" s="110">
        <f t="shared" ca="1" si="8"/>
        <v>2.1853726800487583</v>
      </c>
      <c r="AR13" s="110">
        <f t="shared" si="13"/>
        <v>2</v>
      </c>
      <c r="AS13" s="78">
        <f t="shared" ca="1" si="9"/>
        <v>47</v>
      </c>
      <c r="AT13" s="78">
        <f t="shared" ca="1" si="10"/>
        <v>0.30848481560902019</v>
      </c>
      <c r="AU13" s="78">
        <f ca="1">INDEX($AS$3:$AS$30,MATCH(SMALL($AT$3:$AT$30,ROWS(AT$3:AT13)),$AT$3:$AT$30,0))</f>
        <v>97</v>
      </c>
      <c r="AV13" s="78">
        <f ca="1">SMALL($AS$3:$AS$30,ROWS(AV$3:AV13))</f>
        <v>39</v>
      </c>
      <c r="AW13" s="85">
        <f ca="1">VLOOKUP(SMALL($BB$17:$BB$30,AX13),$BB$17:$BC$30,2,0)</f>
        <v>62</v>
      </c>
      <c r="AX13" s="85">
        <f t="shared" si="14"/>
        <v>6</v>
      </c>
      <c r="BA13" s="85">
        <v>11</v>
      </c>
      <c r="BB13" s="85">
        <f t="shared" ca="1" si="11"/>
        <v>0.75557796966025126</v>
      </c>
      <c r="BC13" s="85">
        <f t="shared" ca="1" si="12"/>
        <v>39</v>
      </c>
    </row>
    <row r="14" spans="1:55" ht="17.25" thickBot="1" x14ac:dyDescent="0.35">
      <c r="A14" s="9">
        <v>12</v>
      </c>
      <c r="B14" s="100">
        <v>26</v>
      </c>
      <c r="C14" s="101">
        <v>43</v>
      </c>
      <c r="D14" s="102">
        <v>39</v>
      </c>
      <c r="E14" s="142">
        <v>44</v>
      </c>
      <c r="F14" s="111" t="str">
        <f t="shared" si="0"/>
        <v>90 - 96</v>
      </c>
      <c r="G14" s="112">
        <f t="shared" si="5"/>
        <v>90</v>
      </c>
      <c r="H14" s="113">
        <f t="shared" si="1"/>
        <v>96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20.802199462215182</v>
      </c>
      <c r="AP14" s="88">
        <f ca="1">SMALL($AO$3:$AO$30,ROWS(AO$3:AO14))</f>
        <v>22.687348191719249</v>
      </c>
      <c r="AQ14" s="110">
        <f t="shared" ca="1" si="8"/>
        <v>1.2742093388923745</v>
      </c>
      <c r="AR14" s="110">
        <f t="shared" si="13"/>
        <v>1</v>
      </c>
      <c r="AS14" s="78">
        <f t="shared" ca="1" si="9"/>
        <v>29</v>
      </c>
      <c r="AT14" s="78">
        <f t="shared" ca="1" si="10"/>
        <v>3.2995974479475221E-2</v>
      </c>
      <c r="AU14" s="78">
        <f ca="1">INDEX($AS$3:$AS$30,MATCH(SMALL($AT$3:$AT$30,ROWS(AT$3:AT14)),$AT$3:$AT$30,0))</f>
        <v>26</v>
      </c>
      <c r="AV14" s="78">
        <f ca="1">SMALL($AS$3:$AS$30,ROWS(AV$3:AV14))</f>
        <v>40</v>
      </c>
      <c r="AW14" s="85">
        <f ca="1">VLOOKUP(SMALL($BB$3:$BB$16,AX14),$BB$3:$BC$30,2,0)</f>
        <v>23</v>
      </c>
      <c r="AX14" s="85">
        <f t="shared" si="14"/>
        <v>6</v>
      </c>
      <c r="BA14" s="85">
        <v>12</v>
      </c>
      <c r="BB14" s="85">
        <f t="shared" ca="1" si="11"/>
        <v>0.97088080792516085</v>
      </c>
      <c r="BC14" s="85">
        <f t="shared" ca="1" si="12"/>
        <v>40</v>
      </c>
    </row>
    <row r="15" spans="1:55" ht="16.5" x14ac:dyDescent="0.3">
      <c r="A15" s="9">
        <v>13</v>
      </c>
      <c r="B15" s="100">
        <v>44</v>
      </c>
      <c r="C15" s="101">
        <v>44</v>
      </c>
      <c r="D15" s="102">
        <v>35</v>
      </c>
      <c r="E15" s="142">
        <v>32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 s="130"/>
      <c r="AN15" s="88">
        <v>14</v>
      </c>
      <c r="AO15" s="88">
        <f t="shared" ca="1" si="7"/>
        <v>25.77579845751136</v>
      </c>
      <c r="AP15" s="88">
        <f ca="1">SMALL($AO$3:$AO$30,ROWS(AO$3:AO15))</f>
        <v>22.973311904268105</v>
      </c>
      <c r="AQ15" s="110">
        <f t="shared" ca="1" si="8"/>
        <v>1.2650492949901413</v>
      </c>
      <c r="AR15" s="110">
        <f t="shared" si="13"/>
        <v>1</v>
      </c>
      <c r="AS15" s="78">
        <f t="shared" ca="1" si="9"/>
        <v>30</v>
      </c>
      <c r="AT15" s="78">
        <f t="shared" ca="1" si="10"/>
        <v>0.52120199863129157</v>
      </c>
      <c r="AU15" s="78">
        <f ca="1">INDEX($AS$3:$AS$30,MATCH(SMALL($AT$3:$AT$30,ROWS(AT$3:AT15)),$AT$3:$AT$30,0))</f>
        <v>40</v>
      </c>
      <c r="AV15" s="78">
        <f ca="1">SMALL($AS$3:$AS$30,ROWS(AV$3:AV15))</f>
        <v>40</v>
      </c>
      <c r="AW15" s="85">
        <f ca="1">VLOOKUP(SMALL($BB$3:$BB$16,AX15),$BB$3:$BC$30,2,0)</f>
        <v>25</v>
      </c>
      <c r="AX15" s="85">
        <f t="shared" si="14"/>
        <v>7</v>
      </c>
      <c r="BA15" s="85">
        <v>13</v>
      </c>
      <c r="BB15" s="85">
        <f t="shared" ca="1" si="11"/>
        <v>0.41942523433311063</v>
      </c>
      <c r="BC15" s="85">
        <f t="shared" ca="1" si="12"/>
        <v>40</v>
      </c>
    </row>
    <row r="16" spans="1:55" ht="16.5" x14ac:dyDescent="0.3">
      <c r="A16" s="9">
        <v>14</v>
      </c>
      <c r="B16" s="100">
        <v>83</v>
      </c>
      <c r="C16" s="101">
        <v>44</v>
      </c>
      <c r="D16" s="102">
        <v>36</v>
      </c>
      <c r="E16" s="142">
        <v>49</v>
      </c>
      <c r="AN16" s="88">
        <v>16</v>
      </c>
      <c r="AO16" s="88">
        <f t="shared" ca="1" si="7"/>
        <v>29.322030356203118</v>
      </c>
      <c r="AP16" s="88">
        <f ca="1">SMALL($AO$3:$AO$30,ROWS(AO$3:AO16))</f>
        <v>23.072253783586678</v>
      </c>
      <c r="AQ16" s="110">
        <f t="shared" ca="1" si="8"/>
        <v>2.2718330428610698</v>
      </c>
      <c r="AR16" s="110">
        <f t="shared" si="13"/>
        <v>1.5</v>
      </c>
      <c r="AS16" s="78">
        <f t="shared" ca="1" si="9"/>
        <v>53</v>
      </c>
      <c r="AT16" s="78">
        <f t="shared" ca="1" si="10"/>
        <v>0.6872243469147763</v>
      </c>
      <c r="AU16" s="78">
        <f ca="1">INDEX($AS$3:$AS$30,MATCH(SMALL($AT$3:$AT$30,ROWS(AT$3:AT16)),$AT$3:$AT$30,0))</f>
        <v>34</v>
      </c>
      <c r="AV16" s="78">
        <f ca="1">SMALL($AS$3:$AS$30,ROWS(AV$3:AV16))</f>
        <v>41</v>
      </c>
      <c r="AW16" s="85">
        <f ca="1">VLOOKUP(SMALL($BB$17:$BB$30,AX16),$BB$17:$BC$30,2,0)</f>
        <v>43</v>
      </c>
      <c r="AX16" s="85">
        <f t="shared" si="14"/>
        <v>7</v>
      </c>
      <c r="BA16" s="85">
        <v>14</v>
      </c>
      <c r="BB16" s="85">
        <f t="shared" ca="1" si="11"/>
        <v>0.17311939467384085</v>
      </c>
      <c r="BC16" s="85">
        <f t="shared" ca="1" si="12"/>
        <v>41</v>
      </c>
    </row>
    <row r="17" spans="1:63" ht="16.5" x14ac:dyDescent="0.3">
      <c r="A17" s="9">
        <v>15</v>
      </c>
      <c r="B17" s="100">
        <v>64</v>
      </c>
      <c r="C17" s="101">
        <v>44</v>
      </c>
      <c r="D17" s="102">
        <v>49</v>
      </c>
      <c r="E17" s="142">
        <v>58</v>
      </c>
      <c r="J17" s="118"/>
      <c r="K17" s="118"/>
      <c r="AN17" s="88">
        <v>18</v>
      </c>
      <c r="AO17" s="88">
        <f t="shared" ca="1" si="7"/>
        <v>23.072253783586678</v>
      </c>
      <c r="AP17" s="88">
        <f ca="1">SMALL($AO$3:$AO$30,ROWS(AO$3:AO17))</f>
        <v>23.782354109578481</v>
      </c>
      <c r="AQ17" s="110">
        <f t="shared" ca="1" si="8"/>
        <v>2.1848053223752113</v>
      </c>
      <c r="AR17" s="110">
        <f t="shared" si="13"/>
        <v>2</v>
      </c>
      <c r="AS17" s="78">
        <f t="shared" ca="1" si="9"/>
        <v>52</v>
      </c>
      <c r="AT17" s="78">
        <f t="shared" ca="1" si="10"/>
        <v>0.79171373488313579</v>
      </c>
      <c r="AU17" s="78">
        <f ca="1">INDEX($AS$3:$AS$30,MATCH(SMALL($AT$3:$AT$30,ROWS(AT$3:AT17)),$AT$3:$AT$30,0))</f>
        <v>30</v>
      </c>
      <c r="AV17" s="78">
        <f ca="1">SMALL($AS$3:$AS$30,ROWS(AV$3:AV17))</f>
        <v>41</v>
      </c>
      <c r="AW17" s="85">
        <f ca="1">VLOOKUP(SMALL($BB$17:$BB$30,AX17),$BB$17:$BC$30,2,0)</f>
        <v>41</v>
      </c>
      <c r="AX17" s="85">
        <f t="shared" si="14"/>
        <v>8</v>
      </c>
      <c r="BA17" s="85">
        <v>15</v>
      </c>
      <c r="BB17" s="85">
        <f t="shared" ca="1" si="11"/>
        <v>0.45268558737473752</v>
      </c>
      <c r="BC17" s="85">
        <f t="shared" ca="1" si="12"/>
        <v>41</v>
      </c>
    </row>
    <row r="18" spans="1:63" ht="16.5" x14ac:dyDescent="0.3">
      <c r="A18" s="9">
        <v>16</v>
      </c>
      <c r="B18" s="100">
        <v>44</v>
      </c>
      <c r="C18" s="101">
        <v>46</v>
      </c>
      <c r="D18" s="102">
        <v>44</v>
      </c>
      <c r="E18" s="142">
        <v>26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31.097941669735974</v>
      </c>
      <c r="AP18" s="88">
        <f ca="1">SMALL($AO$3:$AO$30,ROWS(AO$3:AO18))</f>
        <v>23.937004379884211</v>
      </c>
      <c r="AQ18" s="110">
        <f t="shared" ca="1" si="8"/>
        <v>1.1793166981560184</v>
      </c>
      <c r="AR18" s="110">
        <f t="shared" si="13"/>
        <v>1</v>
      </c>
      <c r="AS18" s="78">
        <f t="shared" ca="1" si="9"/>
        <v>29</v>
      </c>
      <c r="AT18" s="78">
        <f t="shared" ca="1" si="10"/>
        <v>0.63085804233694309</v>
      </c>
      <c r="AU18" s="78">
        <f ca="1">INDEX($AS$3:$AS$30,MATCH(SMALL($AT$3:$AT$30,ROWS(AT$3:AT18)),$AT$3:$AT$30,0))</f>
        <v>45</v>
      </c>
      <c r="AV18" s="78">
        <f ca="1">SMALL($AS$3:$AS$30,ROWS(AV$3:AV18))</f>
        <v>43</v>
      </c>
      <c r="AW18" s="85">
        <f ca="1">VLOOKUP(SMALL($BB$3:$BB$16,AX18),$BB$3:$BC$30,2,0)</f>
        <v>36</v>
      </c>
      <c r="AX18" s="85">
        <f t="shared" si="14"/>
        <v>8</v>
      </c>
      <c r="BA18" s="85">
        <v>16</v>
      </c>
      <c r="BB18" s="85">
        <f t="shared" ca="1" si="11"/>
        <v>0.28618566907037002</v>
      </c>
      <c r="BC18" s="85">
        <f t="shared" ca="1" si="12"/>
        <v>43</v>
      </c>
    </row>
    <row r="19" spans="1:63" ht="16.5" x14ac:dyDescent="0.3">
      <c r="A19" s="9">
        <v>17</v>
      </c>
      <c r="B19" s="100">
        <v>46</v>
      </c>
      <c r="C19" s="101">
        <v>46</v>
      </c>
      <c r="D19" s="102">
        <v>40</v>
      </c>
      <c r="E19" s="142">
        <v>44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29.399292100019487</v>
      </c>
      <c r="AP19" s="88">
        <f ca="1">SMALL($AO$3:$AO$30,ROWS(AO$3:AO19))</f>
        <v>25.77579845751136</v>
      </c>
      <c r="AQ19" s="110">
        <f t="shared" ca="1" si="8"/>
        <v>1.527451888315577</v>
      </c>
      <c r="AR19" s="110">
        <f t="shared" si="13"/>
        <v>1</v>
      </c>
      <c r="AS19" s="78">
        <f t="shared" ca="1" si="9"/>
        <v>40</v>
      </c>
      <c r="AT19" s="78">
        <f t="shared" ca="1" si="10"/>
        <v>0.47691886817128071</v>
      </c>
      <c r="AU19" s="78">
        <f ca="1">INDEX($AS$3:$AS$30,MATCH(SMALL($AT$3:$AT$30,ROWS(AT$3:AT19)),$AT$3:$AT$30,0))</f>
        <v>29</v>
      </c>
      <c r="AV19" s="78">
        <f ca="1">SMALL($AS$3:$AS$30,ROWS(AV$3:AV19))</f>
        <v>44</v>
      </c>
      <c r="AW19" s="85">
        <f ca="1">VLOOKUP(SMALL($BB$3:$BB$16,AX19),$BB$3:$BC$30,2,0)</f>
        <v>30</v>
      </c>
      <c r="AX19" s="85">
        <f t="shared" si="14"/>
        <v>9</v>
      </c>
      <c r="BA19" s="85">
        <v>17</v>
      </c>
      <c r="BB19" s="85">
        <f t="shared" ca="1" si="11"/>
        <v>0.1543807782744504</v>
      </c>
      <c r="BC19" s="85">
        <f t="shared" ca="1" si="12"/>
        <v>44</v>
      </c>
    </row>
    <row r="20" spans="1:63" ht="16.5" x14ac:dyDescent="0.3">
      <c r="A20" s="9">
        <v>18</v>
      </c>
      <c r="B20" s="100">
        <v>23</v>
      </c>
      <c r="C20" s="101">
        <v>47</v>
      </c>
      <c r="D20" s="102">
        <v>44</v>
      </c>
      <c r="E20" s="142">
        <v>54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16.83398554788932</v>
      </c>
      <c r="AP20" s="88">
        <f ca="1">SMALL($AO$3:$AO$30,ROWS(AO$3:AO20))</f>
        <v>26.025847708017626</v>
      </c>
      <c r="AQ20" s="110">
        <f t="shared" ca="1" si="8"/>
        <v>2.3009522713732053</v>
      </c>
      <c r="AR20" s="110">
        <f t="shared" si="13"/>
        <v>1.5</v>
      </c>
      <c r="AS20" s="78">
        <f t="shared" ca="1" si="9"/>
        <v>60</v>
      </c>
      <c r="AT20" s="78">
        <f t="shared" ca="1" si="10"/>
        <v>0.87034861021425125</v>
      </c>
      <c r="AU20" s="78">
        <f ca="1">INDEX($AS$3:$AS$30,MATCH(SMALL($AT$3:$AT$30,ROWS(AT$3:AT20)),$AT$3:$AT$30,0))</f>
        <v>41</v>
      </c>
      <c r="AV20" s="78">
        <f ca="1">SMALL($AS$3:$AS$30,ROWS(AV$3:AV20))</f>
        <v>45</v>
      </c>
      <c r="AW20" s="85">
        <f ca="1">VLOOKUP(SMALL($BB$17:$BB$30,AX20),$BB$17:$BC$30,2,0)</f>
        <v>76</v>
      </c>
      <c r="AX20" s="85">
        <f t="shared" si="14"/>
        <v>9</v>
      </c>
      <c r="BA20" s="85">
        <v>18</v>
      </c>
      <c r="BB20" s="85">
        <f t="shared" ca="1" si="11"/>
        <v>0.81195944402602316</v>
      </c>
      <c r="BC20" s="85">
        <f t="shared" ca="1" si="12"/>
        <v>45</v>
      </c>
    </row>
    <row r="21" spans="1:63" ht="16.5" x14ac:dyDescent="0.3">
      <c r="A21" s="9">
        <v>19</v>
      </c>
      <c r="B21" s="100">
        <v>71</v>
      </c>
      <c r="C21" s="101">
        <v>48</v>
      </c>
      <c r="D21" s="102">
        <v>73</v>
      </c>
      <c r="E21" s="142">
        <v>51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21.301396303923713</v>
      </c>
      <c r="AP21" s="88">
        <f ca="1">SMALL($AO$3:$AO$30,ROWS(AO$3:AO21))</f>
        <v>26.104611500342301</v>
      </c>
      <c r="AQ21" s="110">
        <f t="shared" ca="1" si="8"/>
        <v>2.1200223996609937</v>
      </c>
      <c r="AR21" s="110">
        <f t="shared" si="13"/>
        <v>2</v>
      </c>
      <c r="AS21" s="78">
        <f t="shared" ca="1" si="9"/>
        <v>56</v>
      </c>
      <c r="AT21" s="78">
        <f t="shared" ca="1" si="10"/>
        <v>0.18193157331097765</v>
      </c>
      <c r="AU21" s="78">
        <f ca="1">INDEX($AS$3:$AS$30,MATCH(SMALL($AT$3:$AT$30,ROWS(AT$3:AT21)),$AT$3:$AT$30,0))</f>
        <v>53</v>
      </c>
      <c r="AV21" s="78">
        <f ca="1">SMALL($AS$3:$AS$30,ROWS(AV$3:AV21))</f>
        <v>47</v>
      </c>
      <c r="AW21" s="85">
        <f ca="1">VLOOKUP(SMALL($BB$17:$BB$30,AX21),$BB$17:$BC$30,2,0)</f>
        <v>56</v>
      </c>
      <c r="AX21" s="85">
        <f t="shared" si="14"/>
        <v>10</v>
      </c>
      <c r="BA21" s="85">
        <v>19</v>
      </c>
      <c r="BB21" s="85">
        <f t="shared" ca="1" si="11"/>
        <v>2.0033072727131174E-2</v>
      </c>
      <c r="BC21" s="85">
        <f t="shared" ca="1" si="12"/>
        <v>47</v>
      </c>
    </row>
    <row r="22" spans="1:63" ht="16.5" x14ac:dyDescent="0.3">
      <c r="A22" s="9">
        <v>20</v>
      </c>
      <c r="B22" s="100">
        <v>49</v>
      </c>
      <c r="C22" s="101">
        <v>49</v>
      </c>
      <c r="D22" s="102">
        <v>38</v>
      </c>
      <c r="E22" s="142">
        <v>27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38.759885678702744</v>
      </c>
      <c r="AP22" s="88">
        <f ca="1">SMALL($AO$3:$AO$30,ROWS(AO$3:AO22))</f>
        <v>26.558903201995914</v>
      </c>
      <c r="AQ22" s="110">
        <f t="shared" ca="1" si="8"/>
        <v>1.4755729961952291</v>
      </c>
      <c r="AR22" s="110">
        <f t="shared" si="13"/>
        <v>1</v>
      </c>
      <c r="AS22" s="78">
        <f t="shared" ca="1" si="9"/>
        <v>40</v>
      </c>
      <c r="AT22" s="78">
        <f t="shared" ca="1" si="10"/>
        <v>0.75216696783404124</v>
      </c>
      <c r="AU22" s="78">
        <f ca="1">INDEX($AS$3:$AS$30,MATCH(SMALL($AT$3:$AT$30,ROWS(AT$3:AT22)),$AT$3:$AT$30,0))</f>
        <v>40</v>
      </c>
      <c r="AV22" s="78">
        <f ca="1">SMALL($AS$3:$AS$30,ROWS(AV$3:AV22))</f>
        <v>52</v>
      </c>
      <c r="AW22" s="85">
        <f ca="1">VLOOKUP(SMALL($BB$3:$BB$16,AX22),$BB$3:$BC$30,2,0)</f>
        <v>39</v>
      </c>
      <c r="AX22" s="85">
        <f t="shared" si="14"/>
        <v>10</v>
      </c>
      <c r="BA22" s="85">
        <v>20</v>
      </c>
      <c r="BB22" s="85">
        <f t="shared" ca="1" si="11"/>
        <v>0.10841266313499176</v>
      </c>
      <c r="BC22" s="85">
        <f t="shared" ca="1" si="12"/>
        <v>52</v>
      </c>
    </row>
    <row r="23" spans="1:63" ht="16.5" x14ac:dyDescent="0.3">
      <c r="A23" s="9">
        <v>21</v>
      </c>
      <c r="B23" s="100">
        <v>27</v>
      </c>
      <c r="C23" s="101">
        <v>51</v>
      </c>
      <c r="D23" s="102">
        <v>47</v>
      </c>
      <c r="E23" s="142">
        <v>39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33.18260774151711</v>
      </c>
      <c r="AP23" s="88">
        <f ca="1">SMALL($AO$3:$AO$30,ROWS(AO$3:AO23))</f>
        <v>26.723982274598733</v>
      </c>
      <c r="AQ23" s="110">
        <f t="shared" ca="1" si="8"/>
        <v>1.3464650452895832</v>
      </c>
      <c r="AR23" s="110">
        <f t="shared" si="13"/>
        <v>1</v>
      </c>
      <c r="AS23" s="78">
        <f t="shared" ca="1" si="9"/>
        <v>36</v>
      </c>
      <c r="AT23" s="78">
        <f t="shared" ca="1" si="10"/>
        <v>0.1175359118970446</v>
      </c>
      <c r="AU23" s="78">
        <f ca="1">INDEX($AS$3:$AS$30,MATCH(SMALL($AT$3:$AT$30,ROWS(AT$3:AT23)),$AT$3:$AT$30,0))</f>
        <v>43</v>
      </c>
      <c r="AV23" s="78">
        <f ca="1">SMALL($AS$3:$AS$30,ROWS(AV$3:AV23))</f>
        <v>53</v>
      </c>
      <c r="AW23" s="85">
        <f ca="1">VLOOKUP(SMALL($BB$3:$BB$16,AX23),$BB$3:$BC$30,2,0)</f>
        <v>26</v>
      </c>
      <c r="AX23" s="85">
        <f t="shared" si="14"/>
        <v>11</v>
      </c>
      <c r="BA23" s="85">
        <v>21</v>
      </c>
      <c r="BB23" s="85">
        <f t="shared" ca="1" si="11"/>
        <v>0.83511587691877986</v>
      </c>
      <c r="BC23" s="85">
        <f t="shared" ca="1" si="12"/>
        <v>53</v>
      </c>
    </row>
    <row r="24" spans="1:63" ht="16.5" x14ac:dyDescent="0.3">
      <c r="A24" s="9">
        <v>22</v>
      </c>
      <c r="B24" s="100">
        <v>35</v>
      </c>
      <c r="C24" s="101">
        <v>54</v>
      </c>
      <c r="D24" s="102">
        <v>64</v>
      </c>
      <c r="E24" s="142">
        <v>46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19.641298513150641</v>
      </c>
      <c r="AP24" s="88">
        <f ca="1">SMALL($AO$3:$AO$30,ROWS(AO$3:AO24))</f>
        <v>27.34769637709811</v>
      </c>
      <c r="AQ24" s="110">
        <f t="shared" ca="1" si="8"/>
        <v>1.9021508975840797</v>
      </c>
      <c r="AR24" s="110">
        <f t="shared" si="13"/>
        <v>1.5</v>
      </c>
      <c r="AS24" s="78">
        <f t="shared" ca="1" si="9"/>
        <v>53</v>
      </c>
      <c r="AT24" s="78">
        <f t="shared" ca="1" si="10"/>
        <v>0.97802920518649927</v>
      </c>
      <c r="AU24" s="78">
        <f ca="1">INDEX($AS$3:$AS$30,MATCH(SMALL($AT$3:$AT$30,ROWS(AT$3:AT24)),$AT$3:$AT$30,0))</f>
        <v>56</v>
      </c>
      <c r="AV24" s="78">
        <f ca="1">SMALL($AS$3:$AS$30,ROWS(AV$3:AV24))</f>
        <v>53</v>
      </c>
      <c r="AW24" s="85">
        <f ca="1">VLOOKUP(SMALL($BB$17:$BB$30,AX24),$BB$17:$BC$30,2,0)</f>
        <v>53</v>
      </c>
      <c r="AX24" s="85">
        <f t="shared" si="14"/>
        <v>11</v>
      </c>
      <c r="BA24" s="85">
        <v>22</v>
      </c>
      <c r="BB24" s="85">
        <f t="shared" ca="1" si="11"/>
        <v>0.78857128924354614</v>
      </c>
      <c r="BC24" s="85">
        <f t="shared" ca="1" si="12"/>
        <v>53</v>
      </c>
    </row>
    <row r="25" spans="1:63" ht="16.5" x14ac:dyDescent="0.3">
      <c r="A25" s="9">
        <v>23</v>
      </c>
      <c r="B25" s="100">
        <v>36</v>
      </c>
      <c r="C25" s="101">
        <v>58</v>
      </c>
      <c r="D25" s="102">
        <v>71</v>
      </c>
      <c r="E25" s="142">
        <v>71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22.973311904268105</v>
      </c>
      <c r="AP25" s="88">
        <f ca="1">SMALL($AO$3:$AO$30,ROWS(AO$3:AO25))</f>
        <v>29.322030356203118</v>
      </c>
      <c r="AQ25" s="110">
        <f t="shared" ca="1" si="8"/>
        <v>2.0943121512961773</v>
      </c>
      <c r="AR25" s="110">
        <f t="shared" si="13"/>
        <v>2</v>
      </c>
      <c r="AS25" s="78">
        <f t="shared" ca="1" si="9"/>
        <v>62</v>
      </c>
      <c r="AT25" s="78">
        <f t="shared" ca="1" si="10"/>
        <v>0.17361508045925911</v>
      </c>
      <c r="AU25" s="78">
        <f ca="1">INDEX($AS$3:$AS$30,MATCH(SMALL($AT$3:$AT$30,ROWS(AT$3:AT25)),$AT$3:$AT$30,0))</f>
        <v>52</v>
      </c>
      <c r="AV25" s="78">
        <f ca="1">SMALL($AS$3:$AS$30,ROWS(AV$3:AV25))</f>
        <v>56</v>
      </c>
      <c r="AW25" s="85">
        <f ca="1">VLOOKUP(SMALL($BB$17:$BB$30,AX25),$BB$17:$BC$30,2,0)</f>
        <v>45</v>
      </c>
      <c r="AX25" s="85">
        <f t="shared" si="14"/>
        <v>12</v>
      </c>
      <c r="BA25" s="85">
        <v>23</v>
      </c>
      <c r="BB25" s="85">
        <f t="shared" ca="1" si="11"/>
        <v>0.81616147212439205</v>
      </c>
      <c r="BC25" s="85">
        <f t="shared" ca="1" si="12"/>
        <v>56</v>
      </c>
    </row>
    <row r="26" spans="1:63" ht="16.5" x14ac:dyDescent="0.3">
      <c r="A26" s="9">
        <v>24</v>
      </c>
      <c r="B26" s="100">
        <v>48</v>
      </c>
      <c r="C26" s="101">
        <v>61</v>
      </c>
      <c r="D26" s="102">
        <v>46</v>
      </c>
      <c r="E26" s="142">
        <v>23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32.884569336067898</v>
      </c>
      <c r="AP26" s="88">
        <f ca="1">SMALL($AO$3:$AO$30,ROWS(AO$3:AO26))</f>
        <v>29.399292100019487</v>
      </c>
      <c r="AQ26" s="110">
        <f t="shared" ca="1" si="8"/>
        <v>1.489702582165735</v>
      </c>
      <c r="AR26" s="110">
        <f t="shared" si="13"/>
        <v>1</v>
      </c>
      <c r="AS26" s="78">
        <f t="shared" ca="1" si="9"/>
        <v>44</v>
      </c>
      <c r="AT26" s="78">
        <f t="shared" ca="1" si="10"/>
        <v>0.17592178813241732</v>
      </c>
      <c r="AU26" s="78">
        <f ca="1">INDEX($AS$3:$AS$30,MATCH(SMALL($AT$3:$AT$30,ROWS(AT$3:AT26)),$AT$3:$AT$30,0))</f>
        <v>25</v>
      </c>
      <c r="AV26" s="78">
        <f ca="1">SMALL($AS$3:$AS$30,ROWS(AV$3:AV26))</f>
        <v>56</v>
      </c>
      <c r="AW26" s="85">
        <f ca="1">VLOOKUP(SMALL($BB$3:$BB$16,AX26),$BB$3:$BC$30,2,0)</f>
        <v>29</v>
      </c>
      <c r="AX26" s="85">
        <f t="shared" si="14"/>
        <v>12</v>
      </c>
      <c r="BA26" s="85">
        <v>24</v>
      </c>
      <c r="BB26" s="85">
        <f t="shared" ca="1" si="11"/>
        <v>0.69425248852085053</v>
      </c>
      <c r="BC26" s="85">
        <f t="shared" ca="1" si="12"/>
        <v>56</v>
      </c>
    </row>
    <row r="27" spans="1:63" ht="16.5" x14ac:dyDescent="0.3">
      <c r="A27" s="9">
        <v>25</v>
      </c>
      <c r="B27" s="100">
        <v>38</v>
      </c>
      <c r="C27" s="101">
        <v>64</v>
      </c>
      <c r="D27" s="102">
        <v>54</v>
      </c>
      <c r="E27" s="142">
        <v>38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23.937004379884211</v>
      </c>
      <c r="AP27" s="88">
        <f ca="1">SMALL($AO$3:$AO$30,ROWS(AO$3:AO27))</f>
        <v>31.097941669735974</v>
      </c>
      <c r="AQ27" s="110">
        <f t="shared" ca="1" si="8"/>
        <v>1.3115629757876972</v>
      </c>
      <c r="AR27" s="110">
        <f t="shared" si="13"/>
        <v>1</v>
      </c>
      <c r="AS27" s="78">
        <f t="shared" ca="1" si="9"/>
        <v>41</v>
      </c>
      <c r="AT27" s="78">
        <f t="shared" ca="1" si="10"/>
        <v>0.83408742530388091</v>
      </c>
      <c r="AU27" s="78">
        <f ca="1">INDEX($AS$3:$AS$30,MATCH(SMALL($AT$3:$AT$30,ROWS(AT$3:AT27)),$AT$3:$AT$30,0))</f>
        <v>41</v>
      </c>
      <c r="AV27" s="78">
        <f ca="1">SMALL($AS$3:$AS$30,ROWS(AV$3:AV27))</f>
        <v>60</v>
      </c>
      <c r="AW27" s="85">
        <f ca="1">VLOOKUP(SMALL($BB$3:$BB$16,AX27),$BB$3:$BC$30,2,0)</f>
        <v>27</v>
      </c>
      <c r="AX27" s="85">
        <f t="shared" si="14"/>
        <v>13</v>
      </c>
      <c r="BA27" s="85">
        <v>25</v>
      </c>
      <c r="BB27" s="85">
        <f t="shared" ca="1" si="11"/>
        <v>0.16992331180694187</v>
      </c>
      <c r="BC27" s="85">
        <f t="shared" ca="1" si="12"/>
        <v>60</v>
      </c>
    </row>
    <row r="28" spans="1:63" ht="16.5" x14ac:dyDescent="0.3">
      <c r="A28" s="9">
        <v>26</v>
      </c>
      <c r="B28" s="100">
        <v>61</v>
      </c>
      <c r="C28" s="101">
        <v>71</v>
      </c>
      <c r="D28" s="102">
        <v>48</v>
      </c>
      <c r="E28" s="142">
        <v>47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27.34769637709811</v>
      </c>
      <c r="AP28" s="88">
        <f ca="1">SMALL($AO$3:$AO$30,ROWS(AO$3:AO28))</f>
        <v>32.884569336067898</v>
      </c>
      <c r="AQ28" s="110">
        <f t="shared" ca="1" si="8"/>
        <v>1.6968773566970679</v>
      </c>
      <c r="AR28" s="110">
        <f t="shared" si="13"/>
        <v>1.5</v>
      </c>
      <c r="AS28" s="78">
        <f t="shared" ca="1" si="9"/>
        <v>56</v>
      </c>
      <c r="AT28" s="78">
        <f t="shared" ca="1" si="10"/>
        <v>0.77262233464958585</v>
      </c>
      <c r="AU28" s="78">
        <f ca="1">INDEX($AS$3:$AS$30,MATCH(SMALL($AT$3:$AT$30,ROWS(AT$3:AT28)),$AT$3:$AT$30,0))</f>
        <v>60</v>
      </c>
      <c r="AV28" s="78">
        <f ca="1">SMALL($AS$3:$AS$30,ROWS(AV$3:AV28))</f>
        <v>62</v>
      </c>
      <c r="AW28" s="85">
        <f ca="1">VLOOKUP(SMALL($BB$17:$BB$30,AX28),$BB$17:$BC$30,2,0)</f>
        <v>56</v>
      </c>
      <c r="AX28" s="85">
        <f t="shared" si="14"/>
        <v>13</v>
      </c>
      <c r="BA28" s="85">
        <v>26</v>
      </c>
      <c r="BB28" s="85">
        <f t="shared" ca="1" si="11"/>
        <v>0.19413304595720582</v>
      </c>
      <c r="BC28" s="85">
        <f t="shared" ca="1" si="12"/>
        <v>62</v>
      </c>
    </row>
    <row r="29" spans="1:63" ht="16.5" x14ac:dyDescent="0.3">
      <c r="A29" s="9">
        <v>27</v>
      </c>
      <c r="B29" s="100">
        <v>73</v>
      </c>
      <c r="C29" s="101">
        <v>73</v>
      </c>
      <c r="D29" s="102">
        <v>83</v>
      </c>
      <c r="E29" s="142">
        <v>64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16.675684567405888</v>
      </c>
      <c r="AP29" s="88">
        <f ca="1">SMALL($AO$3:$AO$30,ROWS(AO$3:AO29))</f>
        <v>33.18260774151711</v>
      </c>
      <c r="AQ29" s="110">
        <f t="shared" ca="1" si="8"/>
        <v>2.9198827557076439</v>
      </c>
      <c r="AR29" s="110">
        <f t="shared" si="13"/>
        <v>2</v>
      </c>
      <c r="AS29" s="78">
        <f t="shared" ca="1" si="9"/>
        <v>97</v>
      </c>
      <c r="AT29" s="78">
        <f t="shared" ca="1" si="10"/>
        <v>0.32036090621448643</v>
      </c>
      <c r="AU29" s="78">
        <f ca="1">INDEX($AS$3:$AS$30,MATCH(SMALL($AT$3:$AT$30,ROWS(AT$3:AT29)),$AT$3:$AT$30,0))</f>
        <v>53</v>
      </c>
      <c r="AV29" s="78">
        <f ca="1">SMALL($AS$3:$AS$30,ROWS(AV$3:AV29))</f>
        <v>76</v>
      </c>
      <c r="AW29" s="85">
        <f ca="1">VLOOKUP(SMALL($BB$17:$BB$30,AX29),$BB$17:$BC$30,2,0)</f>
        <v>53</v>
      </c>
      <c r="AX29" s="85">
        <f t="shared" si="14"/>
        <v>14</v>
      </c>
      <c r="BA29" s="85">
        <v>27</v>
      </c>
      <c r="BB29" s="85">
        <f t="shared" ca="1" si="11"/>
        <v>0.69190625359635538</v>
      </c>
      <c r="BC29" s="85">
        <f t="shared" ca="1" si="12"/>
        <v>76</v>
      </c>
    </row>
    <row r="30" spans="1:63" ht="16.5" x14ac:dyDescent="0.3">
      <c r="A30" s="9">
        <v>28</v>
      </c>
      <c r="B30" s="100">
        <v>54</v>
      </c>
      <c r="C30" s="101">
        <v>83</v>
      </c>
      <c r="D30" s="102">
        <v>46</v>
      </c>
      <c r="E30" s="142">
        <v>33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18.286833110378346</v>
      </c>
      <c r="AP30" s="88">
        <f ca="1">SMALL($AO$3:$AO$30,ROWS(AO$3:AO30))</f>
        <v>38.759885678702744</v>
      </c>
      <c r="AQ30" s="110">
        <f t="shared" ca="1" si="8"/>
        <v>1.9424982442967471</v>
      </c>
      <c r="AR30" s="110">
        <f t="shared" si="13"/>
        <v>1</v>
      </c>
      <c r="AS30" s="78">
        <f t="shared" ca="1" si="9"/>
        <v>76</v>
      </c>
      <c r="AT30" s="78">
        <f t="shared" ca="1" si="10"/>
        <v>0.1418635839037885</v>
      </c>
      <c r="AU30" s="78">
        <f ca="1">INDEX($AS$3:$AS$30,MATCH(SMALL($AT$3:$AT$30,ROWS(AT$3:AT30)),$AT$3:$AT$30,0))</f>
        <v>30</v>
      </c>
      <c r="AV30" s="78">
        <f ca="1">SMALL($AS$3:$AS$30,ROWS(AV$3:AV30))</f>
        <v>97</v>
      </c>
      <c r="AW30" s="85">
        <f ca="1">VLOOKUP(SMALL($BB$3:$BB$16,AX30),$BB$3:$BC$30,2,0)</f>
        <v>40</v>
      </c>
      <c r="AX30" s="85">
        <f t="shared" si="14"/>
        <v>14</v>
      </c>
      <c r="BA30" s="85">
        <v>28</v>
      </c>
      <c r="BB30" s="85">
        <f t="shared" ca="1" si="11"/>
        <v>0.11153535625886812</v>
      </c>
      <c r="BC30" s="85">
        <f t="shared" ca="1" si="12"/>
        <v>97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1234</v>
      </c>
      <c r="AT32"/>
      <c r="AU32" s="78">
        <f ca="1">SUM(AU3:AU30)</f>
        <v>1234</v>
      </c>
      <c r="AV32" s="78">
        <f ca="1">SUM(AV3:AV30)</f>
        <v>1234</v>
      </c>
      <c r="AW32" s="78">
        <f ca="1">SUM(AW3:AW30)</f>
        <v>1234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1278</v>
      </c>
      <c r="C88" s="100">
        <f>SUM(C3:C86)</f>
        <v>1278</v>
      </c>
      <c r="D88" s="100">
        <f>SUM(D3:D86)</f>
        <v>1278</v>
      </c>
      <c r="E88" s="100">
        <f>SUM(E3:E86)</f>
        <v>1278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2468</v>
      </c>
      <c r="AT88" s="78">
        <f ca="1">SUM(AT3:AT86)</f>
        <v>14.037200526278699</v>
      </c>
      <c r="AU88" s="78">
        <f ca="1">SUM(AU3:AU86)</f>
        <v>2468</v>
      </c>
      <c r="AV88" s="78">
        <f ca="1">SUM(AV3:AV86)</f>
        <v>2468</v>
      </c>
      <c r="AW88" s="78">
        <f ca="1">SUM(AW3:AW86)</f>
        <v>2468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47</v>
      </c>
      <c r="C98" s="69">
        <f>SUM(C$3:C3)</f>
        <v>23</v>
      </c>
      <c r="D98" s="69">
        <f>SUM(D$3:D3)</f>
        <v>23</v>
      </c>
      <c r="E98" s="69">
        <f>SUM(E$3:E3)</f>
        <v>43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98</v>
      </c>
      <c r="C99" s="69">
        <f>SUM(C$3:C4)</f>
        <v>46</v>
      </c>
      <c r="D99" s="69">
        <f>SUM(D$3:D4)</f>
        <v>66</v>
      </c>
      <c r="E99" s="69">
        <f>SUM(E$3:E4)</f>
        <v>91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141</v>
      </c>
      <c r="C100" s="69">
        <f>SUM(C$3:C5)</f>
        <v>72</v>
      </c>
      <c r="D100" s="69">
        <f>SUM(D$3:D5)</f>
        <v>117</v>
      </c>
      <c r="E100" s="69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173</v>
      </c>
      <c r="C101" s="69">
        <f>SUM(C$3:C6)</f>
        <v>99</v>
      </c>
      <c r="D101" s="69">
        <f>SUM(D$3:D6)</f>
        <v>140</v>
      </c>
      <c r="E101" s="69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231</v>
      </c>
      <c r="C102" s="69">
        <f>SUM(C$3:C7)</f>
        <v>131</v>
      </c>
      <c r="D102" s="69">
        <f>SUM(D$3:D7)</f>
        <v>166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264</v>
      </c>
      <c r="C103" s="69">
        <f>SUM(C$3:C8)</f>
        <v>164</v>
      </c>
      <c r="D103" s="69">
        <f>SUM(D$3:D8)</f>
        <v>198</v>
      </c>
      <c r="E103" s="69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287</v>
      </c>
      <c r="C104" s="69">
        <f>SUM(C$3:C9)</f>
        <v>199</v>
      </c>
      <c r="D104" s="69">
        <f>SUM(D$3:D9)</f>
        <v>259</v>
      </c>
      <c r="E104" s="69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331</v>
      </c>
      <c r="C105" s="69">
        <f>SUM(C$3:C10)</f>
        <v>235</v>
      </c>
      <c r="D105" s="69">
        <f>SUM(D$3:D10)</f>
        <v>292</v>
      </c>
      <c r="E105" s="69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371</v>
      </c>
      <c r="C106" s="69">
        <f>SUM(C$3:C11)</f>
        <v>273</v>
      </c>
      <c r="D106" s="69">
        <f>SUM(D$3:D11)</f>
        <v>319</v>
      </c>
      <c r="E106" s="69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410</v>
      </c>
      <c r="C107" s="69">
        <f>SUM(C$3:C12)</f>
        <v>312</v>
      </c>
      <c r="D107" s="69">
        <f>SUM(D$3:D12)</f>
        <v>363</v>
      </c>
      <c r="E107" s="69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456</v>
      </c>
      <c r="C108" s="69">
        <f>SUM(C$3:C13)</f>
        <v>352</v>
      </c>
      <c r="D108" s="69">
        <f>SUM(D$3:D13)</f>
        <v>421</v>
      </c>
      <c r="E108" s="69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482</v>
      </c>
      <c r="C109" s="69">
        <f>SUM(C$3:C14)</f>
        <v>395</v>
      </c>
      <c r="D109" s="69">
        <f>SUM(D$3:D14)</f>
        <v>460</v>
      </c>
      <c r="E109" s="69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526</v>
      </c>
      <c r="C110" s="69">
        <f>SUM(C$3:C15)</f>
        <v>439</v>
      </c>
      <c r="D110" s="69">
        <f>SUM(D$3:D15)</f>
        <v>495</v>
      </c>
      <c r="E110" s="69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609</v>
      </c>
      <c r="C111" s="69">
        <f>SUM(C$3:C16)</f>
        <v>483</v>
      </c>
      <c r="D111" s="69">
        <f>SUM(D$3:D16)</f>
        <v>531</v>
      </c>
      <c r="E111" s="69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673</v>
      </c>
      <c r="C112" s="69">
        <f>SUM(C$3:C17)</f>
        <v>527</v>
      </c>
      <c r="D112" s="69">
        <f>SUM(D$3:D17)</f>
        <v>580</v>
      </c>
      <c r="E112" s="69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717</v>
      </c>
      <c r="C113" s="69">
        <f>SUM(C$3:C18)</f>
        <v>573</v>
      </c>
      <c r="D113" s="69">
        <f>SUM(D$3:D18)</f>
        <v>624</v>
      </c>
      <c r="E113" s="69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763</v>
      </c>
      <c r="C114" s="69">
        <f>SUM(C$3:C19)</f>
        <v>619</v>
      </c>
      <c r="D114" s="69">
        <f>SUM(D$3:D19)</f>
        <v>664</v>
      </c>
      <c r="E114" s="69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786</v>
      </c>
      <c r="C115" s="69">
        <f>SUM(C$3:C20)</f>
        <v>666</v>
      </c>
      <c r="D115" s="69">
        <f>SUM(D$3:D20)</f>
        <v>708</v>
      </c>
      <c r="E115" s="69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857</v>
      </c>
      <c r="C116" s="69">
        <f>SUM(C$3:C21)</f>
        <v>714</v>
      </c>
      <c r="D116" s="69">
        <f>SUM(D$3:D21)</f>
        <v>781</v>
      </c>
      <c r="E116" s="69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906</v>
      </c>
      <c r="C117" s="69">
        <f>SUM(C$3:C22)</f>
        <v>763</v>
      </c>
      <c r="D117" s="69">
        <f>SUM(D$3:D22)</f>
        <v>819</v>
      </c>
      <c r="E117" s="69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933</v>
      </c>
      <c r="C118" s="69">
        <f>SUM(C$3:C23)</f>
        <v>814</v>
      </c>
      <c r="D118" s="69">
        <f>SUM(D$3:D23)</f>
        <v>866</v>
      </c>
      <c r="E118" s="69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968</v>
      </c>
      <c r="C119" s="69">
        <f>SUM(C$3:C24)</f>
        <v>868</v>
      </c>
      <c r="D119" s="69">
        <f>SUM(D$3:D24)</f>
        <v>930</v>
      </c>
      <c r="E119" s="69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1004</v>
      </c>
      <c r="C120" s="69">
        <f>SUM(C$3:C25)</f>
        <v>926</v>
      </c>
      <c r="D120" s="69">
        <f>SUM(D$3:D25)</f>
        <v>1001</v>
      </c>
      <c r="E120" s="69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1052</v>
      </c>
      <c r="C121" s="69">
        <f>SUM(C$3:C26)</f>
        <v>987</v>
      </c>
      <c r="D121" s="69">
        <f>SUM(D$3:D26)</f>
        <v>1047</v>
      </c>
      <c r="E121" s="69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1090</v>
      </c>
      <c r="C122" s="69">
        <f>SUM(C$3:C27)</f>
        <v>1051</v>
      </c>
      <c r="D122" s="69">
        <f>SUM(D$3:D27)</f>
        <v>1101</v>
      </c>
      <c r="E122" s="69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1151</v>
      </c>
      <c r="C123" s="69">
        <f>SUM(C$3:C28)</f>
        <v>1122</v>
      </c>
      <c r="D123" s="69">
        <f>SUM(D$3:D28)</f>
        <v>1149</v>
      </c>
      <c r="E123" s="69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1224</v>
      </c>
      <c r="C124" s="69">
        <f>SUM(C$3:C29)</f>
        <v>1195</v>
      </c>
      <c r="D124" s="69">
        <f>SUM(D$3:D29)</f>
        <v>1232</v>
      </c>
      <c r="E124" s="69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1278</v>
      </c>
      <c r="C125" s="69">
        <f>SUM(C$3:C30)</f>
        <v>1278</v>
      </c>
      <c r="D125" s="69">
        <f>SUM(D$3:D30)</f>
        <v>1278</v>
      </c>
      <c r="E125" s="69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9942-8035-44B3-8DB9-87C7FB3CFC4E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8 - 16</v>
      </c>
      <c r="G2" s="164">
        <f>Y4</f>
        <v>8</v>
      </c>
      <c r="H2" s="96">
        <f t="shared" ref="H2:H14" si="1">G2+$Y$3</f>
        <v>16</v>
      </c>
      <c r="I2" s="137">
        <f t="shared" ref="I2:I14" si="2">COUNTIF($B$3:$B$86, "&lt;"&amp;H2)</f>
        <v>1</v>
      </c>
      <c r="J2" s="97">
        <f>I2</f>
        <v>1</v>
      </c>
      <c r="K2" s="98">
        <f t="shared" ref="K2:K14" si="3">J2/$J$15</f>
        <v>3.5714285714285712E-2</v>
      </c>
      <c r="L2" s="99">
        <f t="shared" ref="L2:L14" si="4">I2/$J$15</f>
        <v>3.5714285714285712E-2</v>
      </c>
      <c r="N2" s="163" t="s">
        <v>12</v>
      </c>
      <c r="O2" s="162">
        <f>AVERAGE($B$3:$B$86)</f>
        <v>46.071428571428569</v>
      </c>
      <c r="P2" s="162">
        <f>AVERAGE($B$3:$B$86)</f>
        <v>46.071428571428569</v>
      </c>
      <c r="Q2" s="162">
        <f>AVERAGE($B$3:$B$86)</f>
        <v>46.071428571428569</v>
      </c>
      <c r="R2" s="162">
        <f>AVERAGE($D$3:$D$86)</f>
        <v>46.071428571428569</v>
      </c>
      <c r="V2" s="85" t="s">
        <v>94</v>
      </c>
      <c r="Y2" s="85">
        <f>ROUND(O6/10,0)</f>
        <v>8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69</v>
      </c>
      <c r="C3" s="101">
        <v>9</v>
      </c>
      <c r="D3" s="102">
        <v>9</v>
      </c>
      <c r="E3" s="142">
        <v>35</v>
      </c>
      <c r="F3" s="104" t="str">
        <f t="shared" si="0"/>
        <v>16 - 24</v>
      </c>
      <c r="G3" s="105">
        <f t="shared" ref="G3:G14" si="5">H2</f>
        <v>16</v>
      </c>
      <c r="H3" s="106">
        <f t="shared" si="1"/>
        <v>24</v>
      </c>
      <c r="I3" s="137">
        <f t="shared" si="2"/>
        <v>2</v>
      </c>
      <c r="J3" s="157">
        <f t="shared" ref="J3:J14" si="6">I3-I2</f>
        <v>1</v>
      </c>
      <c r="K3" s="130">
        <f t="shared" si="3"/>
        <v>3.5714285714285712E-2</v>
      </c>
      <c r="L3" s="109">
        <f t="shared" si="4"/>
        <v>7.1428571428571425E-2</v>
      </c>
      <c r="N3" s="133" t="s">
        <v>91</v>
      </c>
      <c r="O3" s="135">
        <f>MEDIAN(B$3:B$86)</f>
        <v>45</v>
      </c>
      <c r="P3" s="135">
        <f>MEDIAN(C$3:C$86)</f>
        <v>45</v>
      </c>
      <c r="Q3" s="135">
        <f>MEDIAN(D$3:D$86)</f>
        <v>45</v>
      </c>
      <c r="R3" s="135">
        <f>MEDIAN(E$3:E$86)</f>
        <v>45</v>
      </c>
      <c r="V3" s="85" t="s">
        <v>95</v>
      </c>
      <c r="Y3" s="85">
        <f>ROUND(Y2,-LEN(Y2)+1)</f>
        <v>8</v>
      </c>
      <c r="AN3" s="88">
        <v>1</v>
      </c>
      <c r="AO3" s="88">
        <f t="shared" ref="AO3:AO30" ca="1" si="7">ABS(_xlfn.NORM.INV(RAND(),$AQ$1,$AS$1))</f>
        <v>20.956772228921103</v>
      </c>
      <c r="AP3" s="88">
        <f ca="1">SMALL($AO$3:$AO$30,ROWS(AO$3:AO3))</f>
        <v>19.289085794086141</v>
      </c>
      <c r="AQ3" s="110">
        <f t="shared" ref="AQ3:AQ30" ca="1" si="8">AR3+RAND()</f>
        <v>1.1234149466461181</v>
      </c>
      <c r="AR3" s="110">
        <v>1</v>
      </c>
      <c r="AS3" s="78">
        <f t="shared" ref="AS3:AS30" ca="1" si="9">ROUNDUP(AP3*AQ3,0)</f>
        <v>22</v>
      </c>
      <c r="AT3" s="78">
        <f t="shared" ref="AT3:AT30" ca="1" si="10">RAND()</f>
        <v>0.9783903833396902</v>
      </c>
      <c r="AU3" s="78">
        <f ca="1">INDEX($AS$3:$AS$30,MATCH(SMALL($AT$3:$AT$30,ROWS(AT$3:AT3)),$AT$3:$AT$30,0))</f>
        <v>26</v>
      </c>
      <c r="AV3" s="78">
        <f ca="1">SMALL($AS$3:$AS$30,ROWS(AV$3:AV3))</f>
        <v>22</v>
      </c>
      <c r="AW3" s="85">
        <f ca="1">VLOOKUP(SMALL($BB$3:$BB$16,AX3),$BB$3:$BC$30,2,0)</f>
        <v>41</v>
      </c>
      <c r="AX3" s="85">
        <v>1</v>
      </c>
      <c r="BA3" s="85">
        <v>1</v>
      </c>
      <c r="BB3" s="85">
        <f t="shared" ref="BB3:BB30" ca="1" si="11">RAND()</f>
        <v>0.37066439041432131</v>
      </c>
      <c r="BC3" s="85">
        <f t="shared" ref="BC3:BC30" ca="1" si="12">AV3</f>
        <v>22</v>
      </c>
    </row>
    <row r="4" spans="1:55" ht="17.25" thickBot="1" x14ac:dyDescent="0.35">
      <c r="A4" s="9">
        <v>2</v>
      </c>
      <c r="B4" s="100">
        <v>58</v>
      </c>
      <c r="C4" s="101">
        <v>23</v>
      </c>
      <c r="D4" s="102">
        <v>39</v>
      </c>
      <c r="E4" s="142">
        <v>54</v>
      </c>
      <c r="F4" s="104" t="str">
        <f t="shared" si="0"/>
        <v>24 - 32</v>
      </c>
      <c r="G4" s="105">
        <f t="shared" si="5"/>
        <v>24</v>
      </c>
      <c r="H4" s="106">
        <f t="shared" si="1"/>
        <v>32</v>
      </c>
      <c r="I4" s="137">
        <f t="shared" si="2"/>
        <v>5</v>
      </c>
      <c r="J4" s="157">
        <f t="shared" si="6"/>
        <v>3</v>
      </c>
      <c r="K4" s="130">
        <f t="shared" si="3"/>
        <v>0.10714285714285714</v>
      </c>
      <c r="L4" s="109">
        <f t="shared" si="4"/>
        <v>0.17857142857142858</v>
      </c>
      <c r="N4" s="161" t="s">
        <v>13</v>
      </c>
      <c r="O4" s="160">
        <f>MAX(B$3:B$86)</f>
        <v>85</v>
      </c>
      <c r="P4" s="160">
        <f>MAX(C$3:C$86)</f>
        <v>85</v>
      </c>
      <c r="Q4" s="160">
        <f>MAX(D$3:D$86)</f>
        <v>85</v>
      </c>
      <c r="R4" s="160">
        <f>MAX(E$3:E$86)</f>
        <v>85</v>
      </c>
      <c r="V4" s="85" t="s">
        <v>96</v>
      </c>
      <c r="Y4" s="85">
        <f>Y3*INT(O5/Y3)</f>
        <v>8</v>
      </c>
      <c r="AN4" s="88">
        <v>2</v>
      </c>
      <c r="AO4" s="88">
        <f t="shared" ca="1" si="7"/>
        <v>21.072050459858431</v>
      </c>
      <c r="AP4" s="88">
        <f ca="1">SMALL($AO$3:$AO$30,ROWS(AO$3:AO4))</f>
        <v>20.956772228921103</v>
      </c>
      <c r="AQ4" s="110">
        <f t="shared" ca="1" si="8"/>
        <v>1.8461202078809014</v>
      </c>
      <c r="AR4" s="110">
        <v>1.5</v>
      </c>
      <c r="AS4" s="78">
        <f t="shared" ca="1" si="9"/>
        <v>39</v>
      </c>
      <c r="AT4" s="78">
        <f t="shared" ca="1" si="10"/>
        <v>0.81719562193487749</v>
      </c>
      <c r="AU4" s="78">
        <f ca="1">INDEX($AS$3:$AS$30,MATCH(SMALL($AT$3:$AT$30,ROWS(AT$3:AT4)),$AT$3:$AT$30,0))</f>
        <v>40</v>
      </c>
      <c r="AV4" s="78">
        <f ca="1">SMALL($AS$3:$AS$30,ROWS(AV$3:AV4))</f>
        <v>26</v>
      </c>
      <c r="AW4" s="85">
        <f ca="1">VLOOKUP(SMALL($BB$17:$BB$30,AX4),$BB$17:$BC$30,2,0)</f>
        <v>58</v>
      </c>
      <c r="AX4" s="85">
        <v>1</v>
      </c>
      <c r="BA4" s="85">
        <v>2</v>
      </c>
      <c r="BB4" s="85">
        <f t="shared" ca="1" si="11"/>
        <v>0.88982545884643494</v>
      </c>
      <c r="BC4" s="85">
        <f t="shared" ca="1" si="12"/>
        <v>26</v>
      </c>
    </row>
    <row r="5" spans="1:55" ht="17.25" thickBot="1" x14ac:dyDescent="0.35">
      <c r="A5" s="9">
        <v>3</v>
      </c>
      <c r="B5" s="100">
        <v>46</v>
      </c>
      <c r="C5" s="101">
        <v>26</v>
      </c>
      <c r="D5" s="102">
        <v>42</v>
      </c>
      <c r="E5" s="142">
        <v>53</v>
      </c>
      <c r="F5" s="104" t="str">
        <f t="shared" si="0"/>
        <v>32 - 40</v>
      </c>
      <c r="G5" s="105">
        <f t="shared" si="5"/>
        <v>32</v>
      </c>
      <c r="H5" s="106">
        <f t="shared" si="1"/>
        <v>40</v>
      </c>
      <c r="I5" s="137">
        <f t="shared" si="2"/>
        <v>11</v>
      </c>
      <c r="J5" s="157">
        <f t="shared" si="6"/>
        <v>6</v>
      </c>
      <c r="K5" s="130">
        <f t="shared" si="3"/>
        <v>0.21428571428571427</v>
      </c>
      <c r="L5" s="109">
        <f t="shared" si="4"/>
        <v>0.39285714285714285</v>
      </c>
      <c r="N5" s="161" t="s">
        <v>14</v>
      </c>
      <c r="O5" s="160">
        <f>MIN(B$3:B$84)</f>
        <v>9</v>
      </c>
      <c r="P5" s="160">
        <f>MIN(C$3:C$84)</f>
        <v>9</v>
      </c>
      <c r="Q5" s="160">
        <f>MIN(D$3:D$84)</f>
        <v>9</v>
      </c>
      <c r="R5" s="160">
        <f>MIN(E$3:E$84)</f>
        <v>9</v>
      </c>
      <c r="V5" s="85" t="s">
        <v>93</v>
      </c>
      <c r="Y5" s="85">
        <f>ROUNDUP(O4/Y3,0)</f>
        <v>11</v>
      </c>
      <c r="AN5" s="88">
        <v>3</v>
      </c>
      <c r="AO5" s="88">
        <f t="shared" ca="1" si="7"/>
        <v>27.094921801665251</v>
      </c>
      <c r="AP5" s="88">
        <f ca="1">SMALL($AO$3:$AO$30,ROWS(AO$3:AO5))</f>
        <v>21.072050459858431</v>
      </c>
      <c r="AQ5" s="110">
        <f t="shared" ca="1" si="8"/>
        <v>2.3354883129827764</v>
      </c>
      <c r="AR5" s="110">
        <v>2</v>
      </c>
      <c r="AS5" s="78">
        <f t="shared" ca="1" si="9"/>
        <v>50</v>
      </c>
      <c r="AT5" s="78">
        <f t="shared" ca="1" si="10"/>
        <v>0.65402326417571977</v>
      </c>
      <c r="AU5" s="78">
        <f ca="1">INDEX($AS$3:$AS$30,MATCH(SMALL($AT$3:$AT$30,ROWS(AT$3:AT5)),$AT$3:$AT$30,0))</f>
        <v>75</v>
      </c>
      <c r="AV5" s="78">
        <f ca="1">SMALL($AS$3:$AS$30,ROWS(AV$3:AV5))</f>
        <v>27</v>
      </c>
      <c r="AW5" s="85">
        <f ca="1">VLOOKUP(SMALL($BB$17:$BB$30,AX5),$BB$17:$BC$30,2,0)</f>
        <v>75</v>
      </c>
      <c r="AX5" s="85">
        <v>2</v>
      </c>
      <c r="BA5" s="85">
        <v>3</v>
      </c>
      <c r="BB5" s="85">
        <f t="shared" ca="1" si="11"/>
        <v>0.41216379671896275</v>
      </c>
      <c r="BC5" s="85">
        <f t="shared" ca="1" si="12"/>
        <v>27</v>
      </c>
    </row>
    <row r="6" spans="1:55" ht="17.25" thickBot="1" x14ac:dyDescent="0.35">
      <c r="A6" s="9">
        <v>4</v>
      </c>
      <c r="B6" s="100">
        <v>44</v>
      </c>
      <c r="C6" s="101">
        <v>27</v>
      </c>
      <c r="D6" s="102">
        <v>28</v>
      </c>
      <c r="E6" s="142">
        <v>39</v>
      </c>
      <c r="F6" s="104" t="str">
        <f t="shared" si="0"/>
        <v>40 - 48</v>
      </c>
      <c r="G6" s="105">
        <f t="shared" si="5"/>
        <v>40</v>
      </c>
      <c r="H6" s="106">
        <f t="shared" si="1"/>
        <v>48</v>
      </c>
      <c r="I6" s="137">
        <f t="shared" si="2"/>
        <v>16</v>
      </c>
      <c r="J6" s="157">
        <f t="shared" si="6"/>
        <v>5</v>
      </c>
      <c r="K6" s="130">
        <f t="shared" si="3"/>
        <v>0.17857142857142858</v>
      </c>
      <c r="L6" s="109">
        <f t="shared" si="4"/>
        <v>0.5714285714285714</v>
      </c>
      <c r="N6" s="161" t="s">
        <v>5</v>
      </c>
      <c r="O6" s="160">
        <f>O4-O5</f>
        <v>76</v>
      </c>
      <c r="P6" s="160">
        <f>P4-P5</f>
        <v>76</v>
      </c>
      <c r="Q6" s="160">
        <f>Q4-Q5</f>
        <v>76</v>
      </c>
      <c r="R6" s="160">
        <f>R4-R5</f>
        <v>76</v>
      </c>
      <c r="V6" s="85" t="s">
        <v>97</v>
      </c>
      <c r="Y6" s="85">
        <f>Y5*Y3</f>
        <v>88</v>
      </c>
      <c r="AN6" s="88">
        <v>4</v>
      </c>
      <c r="AO6" s="88">
        <f t="shared" ca="1" si="7"/>
        <v>29.745860931714319</v>
      </c>
      <c r="AP6" s="88">
        <f ca="1">SMALL($AO$3:$AO$30,ROWS(AO$3:AO6))</f>
        <v>21.84896312692014</v>
      </c>
      <c r="AQ6" s="110">
        <f t="shared" ca="1" si="8"/>
        <v>1.9906248043008148</v>
      </c>
      <c r="AR6" s="110">
        <v>1</v>
      </c>
      <c r="AS6" s="78">
        <f t="shared" ca="1" si="9"/>
        <v>44</v>
      </c>
      <c r="AT6" s="78">
        <f t="shared" ca="1" si="10"/>
        <v>0.56918345923961056</v>
      </c>
      <c r="AU6" s="78">
        <f ca="1">INDEX($AS$3:$AS$30,MATCH(SMALL($AT$3:$AT$30,ROWS(AT$3:AT6)),$AT$3:$AT$30,0))</f>
        <v>57</v>
      </c>
      <c r="AV6" s="78">
        <f ca="1">SMALL($AS$3:$AS$30,ROWS(AV$3:AV6))</f>
        <v>33</v>
      </c>
      <c r="AW6" s="85">
        <f ca="1">VLOOKUP(SMALL($BB$3:$BB$16,AX6),$BB$3:$BC$30,2,0)</f>
        <v>47</v>
      </c>
      <c r="AX6" s="85">
        <v>2</v>
      </c>
      <c r="BA6" s="85">
        <v>4</v>
      </c>
      <c r="BB6" s="85">
        <f t="shared" ca="1" si="11"/>
        <v>0.15382531614759676</v>
      </c>
      <c r="BC6" s="85">
        <f t="shared" ca="1" si="12"/>
        <v>33</v>
      </c>
    </row>
    <row r="7" spans="1:55" ht="17.25" thickBot="1" x14ac:dyDescent="0.35">
      <c r="A7" s="9">
        <v>5</v>
      </c>
      <c r="B7" s="100">
        <v>58</v>
      </c>
      <c r="C7" s="101">
        <v>28</v>
      </c>
      <c r="D7" s="102">
        <v>27</v>
      </c>
      <c r="E7" s="142">
        <v>34</v>
      </c>
      <c r="F7" s="104" t="str">
        <f t="shared" si="0"/>
        <v>48 - 56</v>
      </c>
      <c r="G7" s="105">
        <f t="shared" si="5"/>
        <v>48</v>
      </c>
      <c r="H7" s="106">
        <f t="shared" si="1"/>
        <v>56</v>
      </c>
      <c r="I7" s="137">
        <f t="shared" si="2"/>
        <v>20</v>
      </c>
      <c r="J7" s="157">
        <f t="shared" si="6"/>
        <v>4</v>
      </c>
      <c r="K7" s="130">
        <f t="shared" si="3"/>
        <v>0.14285714285714285</v>
      </c>
      <c r="L7" s="109">
        <f t="shared" si="4"/>
        <v>0.7142857142857143</v>
      </c>
      <c r="N7" s="161" t="s">
        <v>15</v>
      </c>
      <c r="O7" s="160">
        <f>_xlfn.STDEV.S(B$3:B$86)</f>
        <v>16.755161883295841</v>
      </c>
      <c r="P7" s="160">
        <f>_xlfn.STDEV.S(C$3:C$86)</f>
        <v>16.755161883295841</v>
      </c>
      <c r="Q7" s="160">
        <f>_xlfn.STDEV.S(D$3:D$86)</f>
        <v>16.755161883295841</v>
      </c>
      <c r="R7" s="160">
        <f>_xlfn.STDEV.S(E$3:E$86)</f>
        <v>16.755161883295841</v>
      </c>
      <c r="V7" s="85" t="s">
        <v>98</v>
      </c>
      <c r="Y7" s="85">
        <v>4</v>
      </c>
      <c r="AN7" s="88">
        <v>5</v>
      </c>
      <c r="AO7" s="88">
        <f t="shared" ca="1" si="7"/>
        <v>32.844350485758895</v>
      </c>
      <c r="AP7" s="88">
        <f ca="1">SMALL($AO$3:$AO$30,ROWS(AO$3:AO7))</f>
        <v>22.164887358391141</v>
      </c>
      <c r="AQ7" s="110">
        <f t="shared" ca="1" si="8"/>
        <v>1.8967312965779017</v>
      </c>
      <c r="AR7" s="110">
        <f t="shared" ref="AR7:AR30" si="13">AR3</f>
        <v>1</v>
      </c>
      <c r="AS7" s="78">
        <f t="shared" ca="1" si="9"/>
        <v>43</v>
      </c>
      <c r="AT7" s="78">
        <f t="shared" ca="1" si="10"/>
        <v>0.98765689178023786</v>
      </c>
      <c r="AU7" s="78">
        <f ca="1">INDEX($AS$3:$AS$30,MATCH(SMALL($AT$3:$AT$30,ROWS(AT$3:AT7)),$AT$3:$AT$30,0))</f>
        <v>70</v>
      </c>
      <c r="AV7" s="78">
        <f ca="1">SMALL($AS$3:$AS$30,ROWS(AV$3:AV7))</f>
        <v>34</v>
      </c>
      <c r="AW7" s="85">
        <f ca="1">VLOOKUP(SMALL($BB$3:$BB$16,AX7),$BB$3:$BC$30,2,0)</f>
        <v>44</v>
      </c>
      <c r="AX7" s="85">
        <f t="shared" ref="AX7:AX30" si="14">2+AX3</f>
        <v>3</v>
      </c>
      <c r="BA7" s="85">
        <v>5</v>
      </c>
      <c r="BB7" s="85">
        <f t="shared" ca="1" si="11"/>
        <v>0.77403909836839879</v>
      </c>
      <c r="BC7" s="85">
        <f t="shared" ca="1" si="12"/>
        <v>34</v>
      </c>
    </row>
    <row r="8" spans="1:55" ht="17.25" thickBot="1" x14ac:dyDescent="0.35">
      <c r="A8" s="9">
        <v>6</v>
      </c>
      <c r="B8" s="100">
        <v>50</v>
      </c>
      <c r="C8" s="101">
        <v>34</v>
      </c>
      <c r="D8" s="102">
        <v>46</v>
      </c>
      <c r="E8" s="142">
        <v>49</v>
      </c>
      <c r="F8" s="104" t="str">
        <f t="shared" si="0"/>
        <v>56 - 64</v>
      </c>
      <c r="G8" s="105">
        <f t="shared" si="5"/>
        <v>56</v>
      </c>
      <c r="H8" s="106">
        <f t="shared" si="1"/>
        <v>64</v>
      </c>
      <c r="I8" s="137">
        <f t="shared" si="2"/>
        <v>24</v>
      </c>
      <c r="J8" s="157">
        <f t="shared" si="6"/>
        <v>4</v>
      </c>
      <c r="K8" s="130">
        <f t="shared" si="3"/>
        <v>0.14285714285714285</v>
      </c>
      <c r="L8" s="109">
        <f t="shared" si="4"/>
        <v>0.8571428571428571</v>
      </c>
      <c r="N8" s="161" t="s">
        <v>16</v>
      </c>
      <c r="O8" s="160">
        <f>O7/O2</f>
        <v>0.36367793235060741</v>
      </c>
      <c r="P8" s="160">
        <f>P7/P2</f>
        <v>0.36367793235060741</v>
      </c>
      <c r="Q8" s="160">
        <f>Q7/Q2</f>
        <v>0.36367793235060741</v>
      </c>
      <c r="R8" s="160">
        <f>R7/R2</f>
        <v>0.36367793235060741</v>
      </c>
      <c r="AN8" s="88">
        <v>6</v>
      </c>
      <c r="AO8" s="88">
        <f t="shared" ca="1" si="7"/>
        <v>23.224358832991502</v>
      </c>
      <c r="AP8" s="88">
        <f ca="1">SMALL($AO$3:$AO$30,ROWS(AO$3:AO8))</f>
        <v>22.459120076123156</v>
      </c>
      <c r="AQ8" s="110">
        <f t="shared" ca="1" si="8"/>
        <v>1.678874797088094</v>
      </c>
      <c r="AR8" s="110">
        <f t="shared" si="13"/>
        <v>1.5</v>
      </c>
      <c r="AS8" s="78">
        <f t="shared" ca="1" si="9"/>
        <v>38</v>
      </c>
      <c r="AT8" s="78">
        <f t="shared" ca="1" si="10"/>
        <v>0.45691247708767746</v>
      </c>
      <c r="AU8" s="78">
        <f ca="1">INDEX($AS$3:$AS$30,MATCH(SMALL($AT$3:$AT$30,ROWS(AT$3:AT8)),$AT$3:$AT$30,0))</f>
        <v>47</v>
      </c>
      <c r="AV8" s="78">
        <f ca="1">SMALL($AS$3:$AS$30,ROWS(AV$3:AV8))</f>
        <v>37</v>
      </c>
      <c r="AW8" s="85">
        <f ca="1">VLOOKUP(SMALL($BB$17:$BB$30,AX8),$BB$17:$BC$30,2,0)</f>
        <v>75</v>
      </c>
      <c r="AX8" s="85">
        <f t="shared" si="14"/>
        <v>3</v>
      </c>
      <c r="BA8" s="85">
        <v>6</v>
      </c>
      <c r="BB8" s="85">
        <f t="shared" ca="1" si="11"/>
        <v>0.60378915533128852</v>
      </c>
      <c r="BC8" s="85">
        <f t="shared" ca="1" si="12"/>
        <v>37</v>
      </c>
    </row>
    <row r="9" spans="1:55" ht="17.25" thickBot="1" x14ac:dyDescent="0.35">
      <c r="A9" s="9">
        <v>7</v>
      </c>
      <c r="B9" s="100">
        <v>44</v>
      </c>
      <c r="C9" s="101">
        <v>35</v>
      </c>
      <c r="D9" s="102">
        <v>44</v>
      </c>
      <c r="E9" s="142">
        <v>58</v>
      </c>
      <c r="F9" s="104" t="str">
        <f t="shared" si="0"/>
        <v>64 - 72</v>
      </c>
      <c r="G9" s="105">
        <f t="shared" si="5"/>
        <v>64</v>
      </c>
      <c r="H9" s="106">
        <f t="shared" si="1"/>
        <v>72</v>
      </c>
      <c r="I9" s="137">
        <f t="shared" si="2"/>
        <v>26</v>
      </c>
      <c r="J9" s="157">
        <f t="shared" si="6"/>
        <v>2</v>
      </c>
      <c r="K9" s="130">
        <f t="shared" si="3"/>
        <v>7.1428571428571425E-2</v>
      </c>
      <c r="L9" s="109">
        <f t="shared" si="4"/>
        <v>0.9285714285714286</v>
      </c>
      <c r="N9" s="133" t="s">
        <v>92</v>
      </c>
      <c r="O9" s="134">
        <f>O2/O3</f>
        <v>1.0238095238095237</v>
      </c>
      <c r="P9" s="134">
        <f>P2/P3</f>
        <v>1.0238095238095237</v>
      </c>
      <c r="Q9" s="134">
        <f>Q2/Q3</f>
        <v>1.0238095238095237</v>
      </c>
      <c r="R9" s="134">
        <f>R2/R3</f>
        <v>1.0238095238095237</v>
      </c>
      <c r="AN9" s="88">
        <v>8</v>
      </c>
      <c r="AO9" s="88">
        <f t="shared" ca="1" si="7"/>
        <v>25.386679307705887</v>
      </c>
      <c r="AP9" s="88">
        <f ca="1">SMALL($AO$3:$AO$30,ROWS(AO$3:AO9))</f>
        <v>22.611391320910943</v>
      </c>
      <c r="AQ9" s="110">
        <f t="shared" ca="1" si="8"/>
        <v>2.2287185981436846</v>
      </c>
      <c r="AR9" s="110">
        <f t="shared" si="13"/>
        <v>2</v>
      </c>
      <c r="AS9" s="78">
        <f t="shared" ca="1" si="9"/>
        <v>51</v>
      </c>
      <c r="AT9" s="78">
        <f t="shared" ca="1" si="10"/>
        <v>0.67281722806916355</v>
      </c>
      <c r="AU9" s="78">
        <f ca="1">INDEX($AS$3:$AS$30,MATCH(SMALL($AT$3:$AT$30,ROWS(AT$3:AT9)),$AT$3:$AT$30,0))</f>
        <v>48</v>
      </c>
      <c r="AV9" s="78">
        <f ca="1">SMALL($AS$3:$AS$30,ROWS(AV$3:AV9))</f>
        <v>38</v>
      </c>
      <c r="AW9" s="85">
        <f ca="1">VLOOKUP(SMALL($BB$17:$BB$30,AX9),$BB$17:$BC$30,2,0)</f>
        <v>76</v>
      </c>
      <c r="AX9" s="85">
        <f t="shared" si="14"/>
        <v>4</v>
      </c>
      <c r="BA9" s="85">
        <v>7</v>
      </c>
      <c r="BB9" s="85">
        <f t="shared" ca="1" si="11"/>
        <v>0.42311801324604925</v>
      </c>
      <c r="BC9" s="85">
        <f t="shared" ca="1" si="12"/>
        <v>38</v>
      </c>
    </row>
    <row r="10" spans="1:55" ht="17.25" thickBot="1" x14ac:dyDescent="0.35">
      <c r="A10" s="9">
        <v>8</v>
      </c>
      <c r="B10" s="100">
        <v>85</v>
      </c>
      <c r="C10" s="101">
        <v>36</v>
      </c>
      <c r="D10" s="102">
        <v>23</v>
      </c>
      <c r="E10" s="142">
        <v>42</v>
      </c>
      <c r="F10" s="104" t="str">
        <f t="shared" si="0"/>
        <v>72 - 80</v>
      </c>
      <c r="G10" s="105">
        <f t="shared" si="5"/>
        <v>72</v>
      </c>
      <c r="H10" s="106">
        <f t="shared" si="1"/>
        <v>80</v>
      </c>
      <c r="I10" s="137">
        <f t="shared" si="2"/>
        <v>27</v>
      </c>
      <c r="J10" s="157">
        <f t="shared" si="6"/>
        <v>1</v>
      </c>
      <c r="K10" s="130">
        <f t="shared" si="3"/>
        <v>3.5714285714285712E-2</v>
      </c>
      <c r="L10" s="109">
        <f t="shared" si="4"/>
        <v>0.9642857142857143</v>
      </c>
      <c r="N10" s="159" t="s">
        <v>90</v>
      </c>
      <c r="O10" s="158">
        <f>O6/O2</f>
        <v>1.6496124031007753</v>
      </c>
      <c r="P10" s="158">
        <f>P6/P2</f>
        <v>1.6496124031007753</v>
      </c>
      <c r="Q10" s="158">
        <f>Q6/Q2</f>
        <v>1.6496124031007753</v>
      </c>
      <c r="R10" s="158">
        <f>R6/R2</f>
        <v>1.6496124031007753</v>
      </c>
      <c r="AN10" s="88">
        <v>7</v>
      </c>
      <c r="AO10" s="88">
        <f t="shared" ca="1" si="7"/>
        <v>40.326747104214405</v>
      </c>
      <c r="AP10" s="88">
        <f ca="1">SMALL($AO$3:$AO$30,ROWS(AO$3:AO10))</f>
        <v>22.870351951899782</v>
      </c>
      <c r="AQ10" s="110">
        <f t="shared" ca="1" si="8"/>
        <v>1.1095956802658771</v>
      </c>
      <c r="AR10" s="110">
        <f t="shared" si="13"/>
        <v>1</v>
      </c>
      <c r="AS10" s="78">
        <f t="shared" ca="1" si="9"/>
        <v>26</v>
      </c>
      <c r="AT10" s="78">
        <f t="shared" ca="1" si="10"/>
        <v>1.4952431706660052E-2</v>
      </c>
      <c r="AU10" s="78">
        <f ca="1">INDEX($AS$3:$AS$30,MATCH(SMALL($AT$3:$AT$30,ROWS(AT$3:AT10)),$AT$3:$AT$30,0))</f>
        <v>34</v>
      </c>
      <c r="AV10" s="78">
        <f ca="1">SMALL($AS$3:$AS$30,ROWS(AV$3:AV10))</f>
        <v>39</v>
      </c>
      <c r="AW10" s="85">
        <f ca="1">VLOOKUP(SMALL($BB$3:$BB$16,AX10),$BB$3:$BC$30,2,0)</f>
        <v>33</v>
      </c>
      <c r="AX10" s="85">
        <f t="shared" si="14"/>
        <v>4</v>
      </c>
      <c r="BA10" s="85">
        <v>8</v>
      </c>
      <c r="BB10" s="85">
        <f t="shared" ca="1" si="11"/>
        <v>0.69939393877683453</v>
      </c>
      <c r="BC10" s="85">
        <f t="shared" ca="1" si="12"/>
        <v>39</v>
      </c>
    </row>
    <row r="11" spans="1:55" ht="17.25" thickBot="1" x14ac:dyDescent="0.35">
      <c r="A11" s="9">
        <v>9</v>
      </c>
      <c r="B11" s="100">
        <v>27</v>
      </c>
      <c r="C11" s="101">
        <v>39</v>
      </c>
      <c r="D11" s="102">
        <v>34</v>
      </c>
      <c r="E11" s="142">
        <v>39</v>
      </c>
      <c r="F11" s="104" t="str">
        <f t="shared" si="0"/>
        <v>80 - 88</v>
      </c>
      <c r="G11" s="105">
        <f t="shared" si="5"/>
        <v>80</v>
      </c>
      <c r="H11" s="106">
        <f t="shared" si="1"/>
        <v>88</v>
      </c>
      <c r="I11" s="137">
        <f t="shared" si="2"/>
        <v>28</v>
      </c>
      <c r="J11" s="157">
        <f t="shared" si="6"/>
        <v>1</v>
      </c>
      <c r="K11" s="130">
        <f t="shared" si="3"/>
        <v>3.5714285714285712E-2</v>
      </c>
      <c r="L11" s="109">
        <f t="shared" si="4"/>
        <v>1</v>
      </c>
      <c r="AN11" s="88">
        <v>12</v>
      </c>
      <c r="AO11" s="88">
        <f t="shared" ca="1" si="7"/>
        <v>27.910939329906526</v>
      </c>
      <c r="AP11" s="88">
        <f ca="1">SMALL($AO$3:$AO$30,ROWS(AO$3:AO11))</f>
        <v>23.224358832991502</v>
      </c>
      <c r="AQ11" s="110">
        <f t="shared" ca="1" si="8"/>
        <v>1.4256392725397624</v>
      </c>
      <c r="AR11" s="110">
        <f t="shared" si="13"/>
        <v>1</v>
      </c>
      <c r="AS11" s="78">
        <f t="shared" ca="1" si="9"/>
        <v>34</v>
      </c>
      <c r="AT11" s="78">
        <f t="shared" ca="1" si="10"/>
        <v>0.28712729224042122</v>
      </c>
      <c r="AU11" s="78">
        <f ca="1">INDEX($AS$3:$AS$30,MATCH(SMALL($AT$3:$AT$30,ROWS(AT$3:AT11)),$AT$3:$AT$30,0))</f>
        <v>66</v>
      </c>
      <c r="AV11" s="78">
        <f ca="1">SMALL($AS$3:$AS$30,ROWS(AV$3:AV11))</f>
        <v>40</v>
      </c>
      <c r="AW11" s="85">
        <f ca="1">VLOOKUP(SMALL($BB$3:$BB$16,AX11),$BB$3:$BC$30,2,0)</f>
        <v>40</v>
      </c>
      <c r="AX11" s="85">
        <f t="shared" si="14"/>
        <v>5</v>
      </c>
      <c r="BA11" s="85">
        <v>9</v>
      </c>
      <c r="BB11" s="85">
        <f t="shared" ca="1" si="11"/>
        <v>0.3021903915571188</v>
      </c>
      <c r="BC11" s="85">
        <f t="shared" ca="1" si="12"/>
        <v>40</v>
      </c>
    </row>
    <row r="12" spans="1:55" ht="17.25" thickBot="1" x14ac:dyDescent="0.35">
      <c r="A12" s="9">
        <v>10</v>
      </c>
      <c r="B12" s="100">
        <v>46</v>
      </c>
      <c r="C12" s="101">
        <v>39</v>
      </c>
      <c r="D12" s="102">
        <v>46</v>
      </c>
      <c r="E12" s="142">
        <v>56</v>
      </c>
      <c r="F12" s="104" t="str">
        <f t="shared" si="0"/>
        <v>88 - 96</v>
      </c>
      <c r="G12" s="105">
        <f t="shared" si="5"/>
        <v>88</v>
      </c>
      <c r="H12" s="106">
        <f t="shared" si="1"/>
        <v>96</v>
      </c>
      <c r="I12" s="137">
        <f t="shared" si="2"/>
        <v>28</v>
      </c>
      <c r="J12" s="157">
        <f t="shared" si="6"/>
        <v>0</v>
      </c>
      <c r="K12" s="130">
        <f t="shared" si="3"/>
        <v>0</v>
      </c>
      <c r="L12" s="109">
        <f t="shared" si="4"/>
        <v>1</v>
      </c>
      <c r="AN12" s="88">
        <v>9</v>
      </c>
      <c r="AO12" s="88">
        <f t="shared" ca="1" si="7"/>
        <v>36.438488614561336</v>
      </c>
      <c r="AP12" s="88">
        <f ca="1">SMALL($AO$3:$AO$30,ROWS(AO$3:AO12))</f>
        <v>23.375308993220155</v>
      </c>
      <c r="AQ12" s="110">
        <f t="shared" ca="1" si="8"/>
        <v>2.0434984028973577</v>
      </c>
      <c r="AR12" s="110">
        <f t="shared" si="13"/>
        <v>1.5</v>
      </c>
      <c r="AS12" s="78">
        <f t="shared" ca="1" si="9"/>
        <v>48</v>
      </c>
      <c r="AT12" s="78">
        <f t="shared" ca="1" si="10"/>
        <v>0.26778865253921913</v>
      </c>
      <c r="AU12" s="78">
        <f ca="1">INDEX($AS$3:$AS$30,MATCH(SMALL($AT$3:$AT$30,ROWS(AT$3:AT12)),$AT$3:$AT$30,0))</f>
        <v>38</v>
      </c>
      <c r="AV12" s="78">
        <f ca="1">SMALL($AS$3:$AS$30,ROWS(AV$3:AV12))</f>
        <v>41</v>
      </c>
      <c r="AW12" s="85">
        <f ca="1">VLOOKUP(SMALL($BB$17:$BB$30,AX12),$BB$17:$BC$30,2,0)</f>
        <v>66</v>
      </c>
      <c r="AX12" s="85">
        <f t="shared" si="14"/>
        <v>5</v>
      </c>
      <c r="BA12" s="85">
        <v>10</v>
      </c>
      <c r="BB12" s="85">
        <f t="shared" ca="1" si="11"/>
        <v>1.0383322429266428E-2</v>
      </c>
      <c r="BC12" s="85">
        <f t="shared" ca="1" si="12"/>
        <v>41</v>
      </c>
    </row>
    <row r="13" spans="1:55" ht="17.25" thickBot="1" x14ac:dyDescent="0.35">
      <c r="A13" s="9">
        <v>11</v>
      </c>
      <c r="B13" s="100">
        <v>9</v>
      </c>
      <c r="C13" s="101">
        <v>39</v>
      </c>
      <c r="D13" s="102">
        <v>53</v>
      </c>
      <c r="E13" s="142">
        <v>85</v>
      </c>
      <c r="F13" s="104" t="str">
        <f t="shared" si="0"/>
        <v>96 - 104</v>
      </c>
      <c r="G13" s="105">
        <f t="shared" si="5"/>
        <v>96</v>
      </c>
      <c r="H13" s="106">
        <f t="shared" si="1"/>
        <v>104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22.164887358391141</v>
      </c>
      <c r="AP13" s="88">
        <f ca="1">SMALL($AO$3:$AO$30,ROWS(AO$3:AO13))</f>
        <v>23.680896374521492</v>
      </c>
      <c r="AQ13" s="110">
        <f t="shared" ca="1" si="8"/>
        <v>2.6060951937015568</v>
      </c>
      <c r="AR13" s="110">
        <f t="shared" si="13"/>
        <v>2</v>
      </c>
      <c r="AS13" s="78">
        <f t="shared" ca="1" si="9"/>
        <v>62</v>
      </c>
      <c r="AT13" s="78">
        <f t="shared" ca="1" si="10"/>
        <v>0.62132538757165912</v>
      </c>
      <c r="AU13" s="78">
        <f ca="1">INDEX($AS$3:$AS$30,MATCH(SMALL($AT$3:$AT$30,ROWS(AT$3:AT13)),$AT$3:$AT$30,0))</f>
        <v>44</v>
      </c>
      <c r="AV13" s="78">
        <f ca="1">SMALL($AS$3:$AS$30,ROWS(AV$3:AV13))</f>
        <v>43</v>
      </c>
      <c r="AW13" s="85">
        <f ca="1">VLOOKUP(SMALL($BB$17:$BB$30,AX13),$BB$17:$BC$30,2,0)</f>
        <v>54</v>
      </c>
      <c r="AX13" s="85">
        <f t="shared" si="14"/>
        <v>6</v>
      </c>
      <c r="BA13" s="85">
        <v>11</v>
      </c>
      <c r="BB13" s="85">
        <f t="shared" ca="1" si="11"/>
        <v>0.68715438122761352</v>
      </c>
      <c r="BC13" s="85">
        <f t="shared" ca="1" si="12"/>
        <v>43</v>
      </c>
    </row>
    <row r="14" spans="1:55" ht="17.25" thickBot="1" x14ac:dyDescent="0.35">
      <c r="A14" s="9">
        <v>12</v>
      </c>
      <c r="B14" s="100">
        <v>67</v>
      </c>
      <c r="C14" s="101">
        <v>42</v>
      </c>
      <c r="D14" s="102">
        <v>35</v>
      </c>
      <c r="E14" s="142">
        <v>36</v>
      </c>
      <c r="F14" s="111" t="str">
        <f t="shared" si="0"/>
        <v>104 - 112</v>
      </c>
      <c r="G14" s="112">
        <f t="shared" si="5"/>
        <v>104</v>
      </c>
      <c r="H14" s="113">
        <f t="shared" si="1"/>
        <v>112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24.029051328580394</v>
      </c>
      <c r="AP14" s="88">
        <f ca="1">SMALL($AO$3:$AO$30,ROWS(AO$3:AO14))</f>
        <v>23.842841503085268</v>
      </c>
      <c r="AQ14" s="110">
        <f t="shared" ca="1" si="8"/>
        <v>1.6409081282065119</v>
      </c>
      <c r="AR14" s="110">
        <f t="shared" si="13"/>
        <v>1</v>
      </c>
      <c r="AS14" s="78">
        <f t="shared" ca="1" si="9"/>
        <v>40</v>
      </c>
      <c r="AT14" s="78">
        <f t="shared" ca="1" si="10"/>
        <v>1.9827684754220365E-2</v>
      </c>
      <c r="AU14" s="78">
        <f ca="1">INDEX($AS$3:$AS$30,MATCH(SMALL($AT$3:$AT$30,ROWS(AT$3:AT14)),$AT$3:$AT$30,0))</f>
        <v>97</v>
      </c>
      <c r="AV14" s="78">
        <f ca="1">SMALL($AS$3:$AS$30,ROWS(AV$3:AV14))</f>
        <v>44</v>
      </c>
      <c r="AW14" s="85">
        <f ca="1">VLOOKUP(SMALL($BB$3:$BB$16,AX14),$BB$3:$BC$30,2,0)</f>
        <v>22</v>
      </c>
      <c r="AX14" s="85">
        <f t="shared" si="14"/>
        <v>6</v>
      </c>
      <c r="BA14" s="85">
        <v>12</v>
      </c>
      <c r="BB14" s="85">
        <f t="shared" ca="1" si="11"/>
        <v>0.91422349095448563</v>
      </c>
      <c r="BC14" s="85">
        <f t="shared" ca="1" si="12"/>
        <v>44</v>
      </c>
    </row>
    <row r="15" spans="1:55" ht="16.5" x14ac:dyDescent="0.3">
      <c r="A15" s="9">
        <v>13</v>
      </c>
      <c r="B15" s="100">
        <v>53</v>
      </c>
      <c r="C15" s="101">
        <v>44</v>
      </c>
      <c r="D15" s="102">
        <v>26</v>
      </c>
      <c r="E15" s="142">
        <v>27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 s="130"/>
      <c r="AN15" s="88">
        <v>14</v>
      </c>
      <c r="AO15" s="88">
        <f t="shared" ca="1" si="7"/>
        <v>22.611391320910943</v>
      </c>
      <c r="AP15" s="88">
        <f ca="1">SMALL($AO$3:$AO$30,ROWS(AO$3:AO15))</f>
        <v>24.029051328580394</v>
      </c>
      <c r="AQ15" s="110">
        <f t="shared" ca="1" si="8"/>
        <v>1.0961405373759414</v>
      </c>
      <c r="AR15" s="110">
        <f t="shared" si="13"/>
        <v>1</v>
      </c>
      <c r="AS15" s="78">
        <f t="shared" ca="1" si="9"/>
        <v>27</v>
      </c>
      <c r="AT15" s="78">
        <f t="shared" ca="1" si="10"/>
        <v>0.92926550390524409</v>
      </c>
      <c r="AU15" s="78">
        <f ca="1">INDEX($AS$3:$AS$30,MATCH(SMALL($AT$3:$AT$30,ROWS(AT$3:AT15)),$AT$3:$AT$30,0))</f>
        <v>62</v>
      </c>
      <c r="AV15" s="78">
        <f ca="1">SMALL($AS$3:$AS$30,ROWS(AV$3:AV15))</f>
        <v>44</v>
      </c>
      <c r="AW15" s="85">
        <f ca="1">VLOOKUP(SMALL($BB$3:$BB$16,AX15),$BB$3:$BC$30,2,0)</f>
        <v>27</v>
      </c>
      <c r="AX15" s="85">
        <f t="shared" si="14"/>
        <v>7</v>
      </c>
      <c r="BA15" s="85">
        <v>13</v>
      </c>
      <c r="BB15" s="85">
        <f t="shared" ca="1" si="11"/>
        <v>0.15222007299725748</v>
      </c>
      <c r="BC15" s="85">
        <f t="shared" ca="1" si="12"/>
        <v>44</v>
      </c>
    </row>
    <row r="16" spans="1:55" ht="16.5" x14ac:dyDescent="0.3">
      <c r="A16" s="9">
        <v>14</v>
      </c>
      <c r="B16" s="100">
        <v>58</v>
      </c>
      <c r="C16" s="101">
        <v>44</v>
      </c>
      <c r="D16" s="102">
        <v>50</v>
      </c>
      <c r="E16" s="142">
        <v>69</v>
      </c>
      <c r="AN16" s="88">
        <v>16</v>
      </c>
      <c r="AO16" s="88">
        <f t="shared" ca="1" si="7"/>
        <v>28.870436697540725</v>
      </c>
      <c r="AP16" s="88">
        <f ca="1">SMALL($AO$3:$AO$30,ROWS(AO$3:AO16))</f>
        <v>24.465950150510221</v>
      </c>
      <c r="AQ16" s="110">
        <f t="shared" ca="1" si="8"/>
        <v>2.3468605225636083</v>
      </c>
      <c r="AR16" s="110">
        <f t="shared" si="13"/>
        <v>1.5</v>
      </c>
      <c r="AS16" s="78">
        <f t="shared" ca="1" si="9"/>
        <v>58</v>
      </c>
      <c r="AT16" s="78">
        <f t="shared" ca="1" si="10"/>
        <v>0.96470268057071529</v>
      </c>
      <c r="AU16" s="78">
        <f ca="1">INDEX($AS$3:$AS$30,MATCH(SMALL($AT$3:$AT$30,ROWS(AT$3:AT16)),$AT$3:$AT$30,0))</f>
        <v>50</v>
      </c>
      <c r="AV16" s="78">
        <f ca="1">SMALL($AS$3:$AS$30,ROWS(AV$3:AV16))</f>
        <v>47</v>
      </c>
      <c r="AW16" s="85">
        <f ca="1">VLOOKUP(SMALL($BB$17:$BB$30,AX16),$BB$17:$BC$30,2,0)</f>
        <v>55</v>
      </c>
      <c r="AX16" s="85">
        <f t="shared" si="14"/>
        <v>7</v>
      </c>
      <c r="BA16" s="85">
        <v>14</v>
      </c>
      <c r="BB16" s="85">
        <f t="shared" ca="1" si="11"/>
        <v>6.4219688509244754E-2</v>
      </c>
      <c r="BC16" s="85">
        <f t="shared" ca="1" si="12"/>
        <v>47</v>
      </c>
    </row>
    <row r="17" spans="1:63" ht="16.5" x14ac:dyDescent="0.3">
      <c r="A17" s="9">
        <v>15</v>
      </c>
      <c r="B17" s="100">
        <v>49</v>
      </c>
      <c r="C17" s="101">
        <v>46</v>
      </c>
      <c r="D17" s="102">
        <v>69</v>
      </c>
      <c r="E17" s="142">
        <v>46</v>
      </c>
      <c r="J17" s="118"/>
      <c r="K17" s="118"/>
      <c r="AN17" s="88">
        <v>18</v>
      </c>
      <c r="AO17" s="88">
        <f t="shared" ca="1" si="7"/>
        <v>30.39338212525719</v>
      </c>
      <c r="AP17" s="88">
        <f ca="1">SMALL($AO$3:$AO$30,ROWS(AO$3:AO17))</f>
        <v>25.221934870761721</v>
      </c>
      <c r="AQ17" s="110">
        <f t="shared" ca="1" si="8"/>
        <v>2.9467546486386222</v>
      </c>
      <c r="AR17" s="110">
        <f t="shared" si="13"/>
        <v>2</v>
      </c>
      <c r="AS17" s="78">
        <f t="shared" ca="1" si="9"/>
        <v>75</v>
      </c>
      <c r="AT17" s="78">
        <f t="shared" ca="1" si="10"/>
        <v>5.6418495461158957E-2</v>
      </c>
      <c r="AU17" s="78">
        <f ca="1">INDEX($AS$3:$AS$30,MATCH(SMALL($AT$3:$AT$30,ROWS(AT$3:AT17)),$AT$3:$AT$30,0))</f>
        <v>33</v>
      </c>
      <c r="AV17" s="78">
        <f ca="1">SMALL($AS$3:$AS$30,ROWS(AV$3:AV17))</f>
        <v>48</v>
      </c>
      <c r="AW17" s="85">
        <f ca="1">VLOOKUP(SMALL($BB$17:$BB$30,AX17),$BB$17:$BC$30,2,0)</f>
        <v>97</v>
      </c>
      <c r="AX17" s="85">
        <f t="shared" si="14"/>
        <v>8</v>
      </c>
      <c r="BA17" s="85">
        <v>15</v>
      </c>
      <c r="BB17" s="85">
        <f t="shared" ca="1" si="11"/>
        <v>0.61915268721783667</v>
      </c>
      <c r="BC17" s="85">
        <f t="shared" ca="1" si="12"/>
        <v>48</v>
      </c>
    </row>
    <row r="18" spans="1:63" ht="16.5" x14ac:dyDescent="0.3">
      <c r="A18" s="9">
        <v>16</v>
      </c>
      <c r="B18" s="100">
        <v>56</v>
      </c>
      <c r="C18" s="101">
        <v>46</v>
      </c>
      <c r="D18" s="102">
        <v>36</v>
      </c>
      <c r="E18" s="142">
        <v>44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21.84896312692014</v>
      </c>
      <c r="AP18" s="88">
        <f ca="1">SMALL($AO$3:$AO$30,ROWS(AO$3:AO18))</f>
        <v>25.386679307705887</v>
      </c>
      <c r="AQ18" s="110">
        <f t="shared" ca="1" si="8"/>
        <v>1.6025746264607266</v>
      </c>
      <c r="AR18" s="110">
        <f t="shared" si="13"/>
        <v>1</v>
      </c>
      <c r="AS18" s="78">
        <f t="shared" ca="1" si="9"/>
        <v>41</v>
      </c>
      <c r="AT18" s="78">
        <f t="shared" ca="1" si="10"/>
        <v>0.84425100587099999</v>
      </c>
      <c r="AU18" s="78">
        <f ca="1">INDEX($AS$3:$AS$30,MATCH(SMALL($AT$3:$AT$30,ROWS(AT$3:AT18)),$AT$3:$AT$30,0))</f>
        <v>37</v>
      </c>
      <c r="AV18" s="78">
        <f ca="1">SMALL($AS$3:$AS$30,ROWS(AV$3:AV18))</f>
        <v>50</v>
      </c>
      <c r="AW18" s="85">
        <f ca="1">VLOOKUP(SMALL($BB$3:$BB$16,AX18),$BB$3:$BC$30,2,0)</f>
        <v>38</v>
      </c>
      <c r="AX18" s="85">
        <f t="shared" si="14"/>
        <v>8</v>
      </c>
      <c r="BA18" s="85">
        <v>16</v>
      </c>
      <c r="BB18" s="85">
        <f t="shared" ca="1" si="11"/>
        <v>0.52250326957594473</v>
      </c>
      <c r="BC18" s="85">
        <f t="shared" ca="1" si="12"/>
        <v>50</v>
      </c>
    </row>
    <row r="19" spans="1:63" ht="16.5" x14ac:dyDescent="0.3">
      <c r="A19" s="9">
        <v>17</v>
      </c>
      <c r="B19" s="100">
        <v>39</v>
      </c>
      <c r="C19" s="101">
        <v>49</v>
      </c>
      <c r="D19" s="102">
        <v>39</v>
      </c>
      <c r="E19" s="142">
        <v>28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24.465950150510221</v>
      </c>
      <c r="AP19" s="88">
        <f ca="1">SMALL($AO$3:$AO$30,ROWS(AO$3:AO19))</f>
        <v>27.094921801665251</v>
      </c>
      <c r="AQ19" s="110">
        <f t="shared" ca="1" si="8"/>
        <v>1.3515876717089008</v>
      </c>
      <c r="AR19" s="110">
        <f t="shared" si="13"/>
        <v>1</v>
      </c>
      <c r="AS19" s="78">
        <f t="shared" ca="1" si="9"/>
        <v>37</v>
      </c>
      <c r="AT19" s="78">
        <f t="shared" ca="1" si="10"/>
        <v>0.66171846532064993</v>
      </c>
      <c r="AU19" s="78">
        <f ca="1">INDEX($AS$3:$AS$30,MATCH(SMALL($AT$3:$AT$30,ROWS(AT$3:AT19)),$AT$3:$AT$30,0))</f>
        <v>44</v>
      </c>
      <c r="AV19" s="78">
        <f ca="1">SMALL($AS$3:$AS$30,ROWS(AV$3:AV19))</f>
        <v>51</v>
      </c>
      <c r="AW19" s="85">
        <f ca="1">VLOOKUP(SMALL($BB$3:$BB$16,AX19),$BB$3:$BC$30,2,0)</f>
        <v>37</v>
      </c>
      <c r="AX19" s="85">
        <f t="shared" si="14"/>
        <v>9</v>
      </c>
      <c r="BA19" s="85">
        <v>17</v>
      </c>
      <c r="BB19" s="85">
        <f t="shared" ca="1" si="11"/>
        <v>0.94793286716431047</v>
      </c>
      <c r="BC19" s="85">
        <f t="shared" ca="1" si="12"/>
        <v>51</v>
      </c>
    </row>
    <row r="20" spans="1:63" ht="16.5" x14ac:dyDescent="0.3">
      <c r="A20" s="9">
        <v>18</v>
      </c>
      <c r="B20" s="100">
        <v>35</v>
      </c>
      <c r="C20" s="101">
        <v>50</v>
      </c>
      <c r="D20" s="102">
        <v>58</v>
      </c>
      <c r="E20" s="142">
        <v>46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23.375308993220155</v>
      </c>
      <c r="AP20" s="88">
        <f ca="1">SMALL($AO$3:$AO$30,ROWS(AO$3:AO20))</f>
        <v>27.756118015836396</v>
      </c>
      <c r="AQ20" s="110">
        <f t="shared" ca="1" si="8"/>
        <v>1.9162697912467761</v>
      </c>
      <c r="AR20" s="110">
        <f t="shared" si="13"/>
        <v>1.5</v>
      </c>
      <c r="AS20" s="78">
        <f t="shared" ca="1" si="9"/>
        <v>54</v>
      </c>
      <c r="AT20" s="78">
        <f t="shared" ca="1" si="10"/>
        <v>0.86035835481176304</v>
      </c>
      <c r="AU20" s="78">
        <f ca="1">INDEX($AS$3:$AS$30,MATCH(SMALL($AT$3:$AT$30,ROWS(AT$3:AT20)),$AT$3:$AT$30,0))</f>
        <v>51</v>
      </c>
      <c r="AV20" s="78">
        <f ca="1">SMALL($AS$3:$AS$30,ROWS(AV$3:AV20))</f>
        <v>54</v>
      </c>
      <c r="AW20" s="85">
        <f ca="1">VLOOKUP(SMALL($BB$17:$BB$30,AX20),$BB$17:$BC$30,2,0)</f>
        <v>50</v>
      </c>
      <c r="AX20" s="85">
        <f t="shared" si="14"/>
        <v>9</v>
      </c>
      <c r="BA20" s="85">
        <v>18</v>
      </c>
      <c r="BB20" s="85">
        <f t="shared" ca="1" si="11"/>
        <v>0.32275005391337219</v>
      </c>
      <c r="BC20" s="85">
        <f t="shared" ca="1" si="12"/>
        <v>54</v>
      </c>
    </row>
    <row r="21" spans="1:63" ht="16.5" x14ac:dyDescent="0.3">
      <c r="A21" s="9">
        <v>19</v>
      </c>
      <c r="B21" s="100">
        <v>23</v>
      </c>
      <c r="C21" s="101">
        <v>53</v>
      </c>
      <c r="D21" s="102">
        <v>58</v>
      </c>
      <c r="E21" s="142">
        <v>67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29.87485035541269</v>
      </c>
      <c r="AP21" s="88">
        <f ca="1">SMALL($AO$3:$AO$30,ROWS(AO$3:AO21))</f>
        <v>27.910939329906526</v>
      </c>
      <c r="AQ21" s="110">
        <f t="shared" ca="1" si="8"/>
        <v>2.5001033678333422</v>
      </c>
      <c r="AR21" s="110">
        <f t="shared" si="13"/>
        <v>2</v>
      </c>
      <c r="AS21" s="78">
        <f t="shared" ca="1" si="9"/>
        <v>70</v>
      </c>
      <c r="AT21" s="78">
        <f t="shared" ca="1" si="10"/>
        <v>0.20318523021721624</v>
      </c>
      <c r="AU21" s="78">
        <f ca="1">INDEX($AS$3:$AS$30,MATCH(SMALL($AT$3:$AT$30,ROWS(AT$3:AT21)),$AT$3:$AT$30,0))</f>
        <v>39</v>
      </c>
      <c r="AV21" s="78">
        <f ca="1">SMALL($AS$3:$AS$30,ROWS(AV$3:AV21))</f>
        <v>55</v>
      </c>
      <c r="AW21" s="85">
        <f ca="1">VLOOKUP(SMALL($BB$17:$BB$30,AX21),$BB$17:$BC$30,2,0)</f>
        <v>48</v>
      </c>
      <c r="AX21" s="85">
        <f t="shared" si="14"/>
        <v>10</v>
      </c>
      <c r="BA21" s="85">
        <v>19</v>
      </c>
      <c r="BB21" s="85">
        <f t="shared" ca="1" si="11"/>
        <v>0.41102487078350647</v>
      </c>
      <c r="BC21" s="85">
        <f t="shared" ca="1" si="12"/>
        <v>55</v>
      </c>
    </row>
    <row r="22" spans="1:63" ht="16.5" x14ac:dyDescent="0.3">
      <c r="A22" s="9">
        <v>20</v>
      </c>
      <c r="B22" s="100">
        <v>36</v>
      </c>
      <c r="C22" s="101">
        <v>54</v>
      </c>
      <c r="D22" s="102">
        <v>39</v>
      </c>
      <c r="E22" s="142">
        <v>44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30.134043221389533</v>
      </c>
      <c r="AP22" s="88">
        <f ca="1">SMALL($AO$3:$AO$30,ROWS(AO$3:AO22))</f>
        <v>28.870436697540725</v>
      </c>
      <c r="AQ22" s="110">
        <f t="shared" ca="1" si="8"/>
        <v>1.8927672869303236</v>
      </c>
      <c r="AR22" s="110">
        <f t="shared" si="13"/>
        <v>1</v>
      </c>
      <c r="AS22" s="78">
        <f t="shared" ca="1" si="9"/>
        <v>55</v>
      </c>
      <c r="AT22" s="78">
        <f t="shared" ca="1" si="10"/>
        <v>0.97127786681893413</v>
      </c>
      <c r="AU22" s="78">
        <f ca="1">INDEX($AS$3:$AS$30,MATCH(SMALL($AT$3:$AT$30,ROWS(AT$3:AT22)),$AT$3:$AT$30,0))</f>
        <v>41</v>
      </c>
      <c r="AV22" s="78">
        <f ca="1">SMALL($AS$3:$AS$30,ROWS(AV$3:AV22))</f>
        <v>57</v>
      </c>
      <c r="AW22" s="85">
        <f ca="1">VLOOKUP(SMALL($BB$3:$BB$16,AX22),$BB$3:$BC$30,2,0)</f>
        <v>43</v>
      </c>
      <c r="AX22" s="85">
        <f t="shared" si="14"/>
        <v>10</v>
      </c>
      <c r="BA22" s="85">
        <v>20</v>
      </c>
      <c r="BB22" s="85">
        <f t="shared" ca="1" si="11"/>
        <v>0.71432878210367656</v>
      </c>
      <c r="BC22" s="85">
        <f t="shared" ca="1" si="12"/>
        <v>57</v>
      </c>
    </row>
    <row r="23" spans="1:63" ht="16.5" x14ac:dyDescent="0.3">
      <c r="A23" s="9">
        <v>21</v>
      </c>
      <c r="B23" s="100">
        <v>26</v>
      </c>
      <c r="C23" s="101">
        <v>56</v>
      </c>
      <c r="D23" s="102">
        <v>56</v>
      </c>
      <c r="E23" s="142">
        <v>9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23.680896374521492</v>
      </c>
      <c r="AP23" s="88">
        <f ca="1">SMALL($AO$3:$AO$30,ROWS(AO$3:AO23))</f>
        <v>29.666660413870233</v>
      </c>
      <c r="AQ23" s="110">
        <f t="shared" ca="1" si="8"/>
        <v>1.5698683608118005</v>
      </c>
      <c r="AR23" s="110">
        <f t="shared" si="13"/>
        <v>1</v>
      </c>
      <c r="AS23" s="78">
        <f t="shared" ca="1" si="9"/>
        <v>47</v>
      </c>
      <c r="AT23" s="78">
        <f t="shared" ca="1" si="10"/>
        <v>0.22085578912624504</v>
      </c>
      <c r="AU23" s="78">
        <f ca="1">INDEX($AS$3:$AS$30,MATCH(SMALL($AT$3:$AT$30,ROWS(AT$3:AT23)),$AT$3:$AT$30,0))</f>
        <v>54</v>
      </c>
      <c r="AV23" s="78">
        <f ca="1">SMALL($AS$3:$AS$30,ROWS(AV$3:AV23))</f>
        <v>58</v>
      </c>
      <c r="AW23" s="85">
        <f ca="1">VLOOKUP(SMALL($BB$3:$BB$16,AX23),$BB$3:$BC$30,2,0)</f>
        <v>39</v>
      </c>
      <c r="AX23" s="85">
        <f t="shared" si="14"/>
        <v>11</v>
      </c>
      <c r="BA23" s="85">
        <v>21</v>
      </c>
      <c r="BB23" s="85">
        <f t="shared" ca="1" si="11"/>
        <v>0.15262123725289289</v>
      </c>
      <c r="BC23" s="85">
        <f t="shared" ca="1" si="12"/>
        <v>58</v>
      </c>
    </row>
    <row r="24" spans="1:63" ht="16.5" x14ac:dyDescent="0.3">
      <c r="A24" s="9">
        <v>22</v>
      </c>
      <c r="B24" s="100">
        <v>76</v>
      </c>
      <c r="C24" s="101">
        <v>58</v>
      </c>
      <c r="D24" s="102">
        <v>44</v>
      </c>
      <c r="E24" s="142">
        <v>58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22.459120076123156</v>
      </c>
      <c r="AP24" s="88">
        <f ca="1">SMALL($AO$3:$AO$30,ROWS(AO$3:AO24))</f>
        <v>29.745860931714319</v>
      </c>
      <c r="AQ24" s="110">
        <f t="shared" ca="1" si="8"/>
        <v>1.8832531627167421</v>
      </c>
      <c r="AR24" s="110">
        <f t="shared" si="13"/>
        <v>1.5</v>
      </c>
      <c r="AS24" s="78">
        <f t="shared" ca="1" si="9"/>
        <v>57</v>
      </c>
      <c r="AT24" s="78">
        <f t="shared" ca="1" si="10"/>
        <v>0.18013912472838034</v>
      </c>
      <c r="AU24" s="78">
        <f ca="1">INDEX($AS$3:$AS$30,MATCH(SMALL($AT$3:$AT$30,ROWS(AT$3:AT24)),$AT$3:$AT$30,0))</f>
        <v>76</v>
      </c>
      <c r="AV24" s="78">
        <f ca="1">SMALL($AS$3:$AS$30,ROWS(AV$3:AV24))</f>
        <v>62</v>
      </c>
      <c r="AW24" s="85">
        <f ca="1">VLOOKUP(SMALL($BB$17:$BB$30,AX24),$BB$17:$BC$30,2,0)</f>
        <v>57</v>
      </c>
      <c r="AX24" s="85">
        <f t="shared" si="14"/>
        <v>11</v>
      </c>
      <c r="BA24" s="85">
        <v>22</v>
      </c>
      <c r="BB24" s="85">
        <f t="shared" ca="1" si="11"/>
        <v>0.96822420465600723</v>
      </c>
      <c r="BC24" s="85">
        <f t="shared" ca="1" si="12"/>
        <v>62</v>
      </c>
    </row>
    <row r="25" spans="1:63" ht="16.5" x14ac:dyDescent="0.3">
      <c r="A25" s="9">
        <v>23</v>
      </c>
      <c r="B25" s="100">
        <v>28</v>
      </c>
      <c r="C25" s="101">
        <v>58</v>
      </c>
      <c r="D25" s="102">
        <v>67</v>
      </c>
      <c r="E25" s="142">
        <v>76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22.870351951899782</v>
      </c>
      <c r="AP25" s="88">
        <f ca="1">SMALL($AO$3:$AO$30,ROWS(AO$3:AO25))</f>
        <v>29.87485035541269</v>
      </c>
      <c r="AQ25" s="110">
        <f t="shared" ca="1" si="8"/>
        <v>2.1846636169117408</v>
      </c>
      <c r="AR25" s="110">
        <f t="shared" si="13"/>
        <v>2</v>
      </c>
      <c r="AS25" s="78">
        <f t="shared" ca="1" si="9"/>
        <v>66</v>
      </c>
      <c r="AT25" s="78">
        <f t="shared" ca="1" si="10"/>
        <v>0.31307355623139388</v>
      </c>
      <c r="AU25" s="78">
        <f ca="1">INDEX($AS$3:$AS$30,MATCH(SMALL($AT$3:$AT$30,ROWS(AT$3:AT25)),$AT$3:$AT$30,0))</f>
        <v>27</v>
      </c>
      <c r="AV25" s="78">
        <f ca="1">SMALL($AS$3:$AS$30,ROWS(AV$3:AV25))</f>
        <v>66</v>
      </c>
      <c r="AW25" s="85">
        <f ca="1">VLOOKUP(SMALL($BB$17:$BB$30,AX25),$BB$17:$BC$30,2,0)</f>
        <v>70</v>
      </c>
      <c r="AX25" s="85">
        <f t="shared" si="14"/>
        <v>12</v>
      </c>
      <c r="BA25" s="85">
        <v>23</v>
      </c>
      <c r="BB25" s="85">
        <f t="shared" ca="1" si="11"/>
        <v>0.30152263843659755</v>
      </c>
      <c r="BC25" s="85">
        <f t="shared" ca="1" si="12"/>
        <v>66</v>
      </c>
    </row>
    <row r="26" spans="1:63" ht="16.5" x14ac:dyDescent="0.3">
      <c r="A26" s="9">
        <v>24</v>
      </c>
      <c r="B26" s="100">
        <v>39</v>
      </c>
      <c r="C26" s="101">
        <v>58</v>
      </c>
      <c r="D26" s="102">
        <v>58</v>
      </c>
      <c r="E26" s="142">
        <v>23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29.666660413870233</v>
      </c>
      <c r="AP26" s="88">
        <f ca="1">SMALL($AO$3:$AO$30,ROWS(AO$3:AO26))</f>
        <v>30.134043221389533</v>
      </c>
      <c r="AQ26" s="110">
        <f t="shared" ca="1" si="8"/>
        <v>1.0834333649114793</v>
      </c>
      <c r="AR26" s="110">
        <f t="shared" si="13"/>
        <v>1</v>
      </c>
      <c r="AS26" s="78">
        <f t="shared" ca="1" si="9"/>
        <v>33</v>
      </c>
      <c r="AT26" s="78">
        <f t="shared" ca="1" si="10"/>
        <v>0.66153438528248443</v>
      </c>
      <c r="AU26" s="78">
        <f ca="1">INDEX($AS$3:$AS$30,MATCH(SMALL($AT$3:$AT$30,ROWS(AT$3:AT26)),$AT$3:$AT$30,0))</f>
        <v>58</v>
      </c>
      <c r="AV26" s="78">
        <f ca="1">SMALL($AS$3:$AS$30,ROWS(AV$3:AV26))</f>
        <v>70</v>
      </c>
      <c r="AW26" s="85">
        <f ca="1">VLOOKUP(SMALL($BB$3:$BB$16,AX26),$BB$3:$BC$30,2,0)</f>
        <v>34</v>
      </c>
      <c r="AX26" s="85">
        <f t="shared" si="14"/>
        <v>12</v>
      </c>
      <c r="BA26" s="85">
        <v>24</v>
      </c>
      <c r="BB26" s="85">
        <f t="shared" ca="1" si="11"/>
        <v>0.86819422140658065</v>
      </c>
      <c r="BC26" s="85">
        <f t="shared" ca="1" si="12"/>
        <v>70</v>
      </c>
    </row>
    <row r="27" spans="1:63" ht="16.5" x14ac:dyDescent="0.3">
      <c r="A27" s="9">
        <v>25</v>
      </c>
      <c r="B27" s="100">
        <v>39</v>
      </c>
      <c r="C27" s="101">
        <v>67</v>
      </c>
      <c r="D27" s="102">
        <v>54</v>
      </c>
      <c r="E27" s="142">
        <v>26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19.289085794086141</v>
      </c>
      <c r="AP27" s="88">
        <f ca="1">SMALL($AO$3:$AO$30,ROWS(AO$3:AO27))</f>
        <v>30.39338212525719</v>
      </c>
      <c r="AQ27" s="110">
        <f t="shared" ca="1" si="8"/>
        <v>1.4359683186655057</v>
      </c>
      <c r="AR27" s="110">
        <f t="shared" si="13"/>
        <v>1</v>
      </c>
      <c r="AS27" s="78">
        <f t="shared" ca="1" si="9"/>
        <v>44</v>
      </c>
      <c r="AT27" s="78">
        <f t="shared" ca="1" si="10"/>
        <v>0.66554790691138599</v>
      </c>
      <c r="AU27" s="78">
        <f ca="1">INDEX($AS$3:$AS$30,MATCH(SMALL($AT$3:$AT$30,ROWS(AT$3:AT27)),$AT$3:$AT$30,0))</f>
        <v>55</v>
      </c>
      <c r="AV27" s="78">
        <f ca="1">SMALL($AS$3:$AS$30,ROWS(AV$3:AV27))</f>
        <v>75</v>
      </c>
      <c r="AW27" s="85">
        <f ca="1">VLOOKUP(SMALL($BB$3:$BB$16,AX27),$BB$3:$BC$30,2,0)</f>
        <v>26</v>
      </c>
      <c r="AX27" s="85">
        <f t="shared" si="14"/>
        <v>13</v>
      </c>
      <c r="BA27" s="85">
        <v>25</v>
      </c>
      <c r="BB27" s="85">
        <f t="shared" ca="1" si="11"/>
        <v>0.24683583698629741</v>
      </c>
      <c r="BC27" s="85">
        <f t="shared" ca="1" si="12"/>
        <v>75</v>
      </c>
    </row>
    <row r="28" spans="1:63" ht="16.5" x14ac:dyDescent="0.3">
      <c r="A28" s="9">
        <v>26</v>
      </c>
      <c r="B28" s="100">
        <v>34</v>
      </c>
      <c r="C28" s="101">
        <v>69</v>
      </c>
      <c r="D28" s="102">
        <v>85</v>
      </c>
      <c r="E28" s="142">
        <v>50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23.842841503085268</v>
      </c>
      <c r="AP28" s="88">
        <f ca="1">SMALL($AO$3:$AO$30,ROWS(AO$3:AO28))</f>
        <v>32.844350485758895</v>
      </c>
      <c r="AQ28" s="110">
        <f t="shared" ca="1" si="8"/>
        <v>2.2659012462689536</v>
      </c>
      <c r="AR28" s="110">
        <f t="shared" si="13"/>
        <v>1.5</v>
      </c>
      <c r="AS28" s="78">
        <f t="shared" ca="1" si="9"/>
        <v>75</v>
      </c>
      <c r="AT28" s="78">
        <f t="shared" ca="1" si="10"/>
        <v>0.99011901758333487</v>
      </c>
      <c r="AU28" s="78">
        <f ca="1">INDEX($AS$3:$AS$30,MATCH(SMALL($AT$3:$AT$30,ROWS(AT$3:AT28)),$AT$3:$AT$30,0))</f>
        <v>22</v>
      </c>
      <c r="AV28" s="78">
        <f ca="1">SMALL($AS$3:$AS$30,ROWS(AV$3:AV28))</f>
        <v>75</v>
      </c>
      <c r="AW28" s="85">
        <f ca="1">VLOOKUP(SMALL($BB$17:$BB$30,AX28),$BB$17:$BC$30,2,0)</f>
        <v>51</v>
      </c>
      <c r="AX28" s="85">
        <f t="shared" si="14"/>
        <v>13</v>
      </c>
      <c r="BA28" s="85">
        <v>26</v>
      </c>
      <c r="BB28" s="85">
        <f t="shared" ca="1" si="11"/>
        <v>0.29179480148019932</v>
      </c>
      <c r="BC28" s="85">
        <f t="shared" ca="1" si="12"/>
        <v>75</v>
      </c>
    </row>
    <row r="29" spans="1:63" ht="16.5" x14ac:dyDescent="0.3">
      <c r="A29" s="9">
        <v>27</v>
      </c>
      <c r="B29" s="100">
        <v>42</v>
      </c>
      <c r="C29" s="101">
        <v>76</v>
      </c>
      <c r="D29" s="102">
        <v>76</v>
      </c>
      <c r="E29" s="142">
        <v>58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25.221934870761721</v>
      </c>
      <c r="AP29" s="88">
        <f ca="1">SMALL($AO$3:$AO$30,ROWS(AO$3:AO29))</f>
        <v>36.438488614561336</v>
      </c>
      <c r="AQ29" s="110">
        <f t="shared" ca="1" si="8"/>
        <v>2.6393331730878229</v>
      </c>
      <c r="AR29" s="110">
        <f t="shared" si="13"/>
        <v>2</v>
      </c>
      <c r="AS29" s="78">
        <f t="shared" ca="1" si="9"/>
        <v>97</v>
      </c>
      <c r="AT29" s="78">
        <f t="shared" ca="1" si="10"/>
        <v>0.59355638185637449</v>
      </c>
      <c r="AU29" s="78">
        <f ca="1">INDEX($AS$3:$AS$30,MATCH(SMALL($AT$3:$AT$30,ROWS(AT$3:AT29)),$AT$3:$AT$30,0))</f>
        <v>43</v>
      </c>
      <c r="AV29" s="78">
        <f ca="1">SMALL($AS$3:$AS$30,ROWS(AV$3:AV29))</f>
        <v>76</v>
      </c>
      <c r="AW29" s="85">
        <f ca="1">VLOOKUP(SMALL($BB$17:$BB$30,AX29),$BB$17:$BC$30,2,0)</f>
        <v>62</v>
      </c>
      <c r="AX29" s="85">
        <f t="shared" si="14"/>
        <v>14</v>
      </c>
      <c r="BA29" s="85">
        <v>27</v>
      </c>
      <c r="BB29" s="85">
        <f t="shared" ca="1" si="11"/>
        <v>0.29738324961730833</v>
      </c>
      <c r="BC29" s="85">
        <f t="shared" ca="1" si="12"/>
        <v>76</v>
      </c>
    </row>
    <row r="30" spans="1:63" ht="16.5" x14ac:dyDescent="0.3">
      <c r="A30" s="9">
        <v>28</v>
      </c>
      <c r="B30" s="100">
        <v>54</v>
      </c>
      <c r="C30" s="101">
        <v>85</v>
      </c>
      <c r="D30" s="102">
        <v>49</v>
      </c>
      <c r="E30" s="142">
        <v>39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27.756118015836396</v>
      </c>
      <c r="AP30" s="88">
        <f ca="1">SMALL($AO$3:$AO$30,ROWS(AO$3:AO30))</f>
        <v>40.326747104214405</v>
      </c>
      <c r="AQ30" s="110">
        <f t="shared" ca="1" si="8"/>
        <v>1.8693498788793628</v>
      </c>
      <c r="AR30" s="110">
        <f t="shared" si="13"/>
        <v>1</v>
      </c>
      <c r="AS30" s="78">
        <f t="shared" ca="1" si="9"/>
        <v>76</v>
      </c>
      <c r="AT30" s="78">
        <f t="shared" ca="1" si="10"/>
        <v>0.89104338467857735</v>
      </c>
      <c r="AU30" s="78">
        <f ca="1">INDEX($AS$3:$AS$30,MATCH(SMALL($AT$3:$AT$30,ROWS(AT$3:AT30)),$AT$3:$AT$30,0))</f>
        <v>75</v>
      </c>
      <c r="AV30" s="78">
        <f ca="1">SMALL($AS$3:$AS$30,ROWS(AV$3:AV30))</f>
        <v>97</v>
      </c>
      <c r="AW30" s="85">
        <f ca="1">VLOOKUP(SMALL($BB$3:$BB$16,AX30),$BB$3:$BC$30,2,0)</f>
        <v>44</v>
      </c>
      <c r="AX30" s="85">
        <f t="shared" si="14"/>
        <v>14</v>
      </c>
      <c r="BA30" s="85">
        <v>28</v>
      </c>
      <c r="BB30" s="85">
        <f t="shared" ca="1" si="11"/>
        <v>0.47752201774336434</v>
      </c>
      <c r="BC30" s="85">
        <f t="shared" ca="1" si="12"/>
        <v>97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1409</v>
      </c>
      <c r="AT32"/>
      <c r="AU32" s="78">
        <f ca="1">SUM(AU3:AU30)</f>
        <v>1409</v>
      </c>
      <c r="AV32" s="78">
        <f ca="1">SUM(AV3:AV30)</f>
        <v>1409</v>
      </c>
      <c r="AW32" s="78">
        <f ca="1">SUM(AW3:AW30)</f>
        <v>1409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1290</v>
      </c>
      <c r="C88" s="100">
        <f>SUM(C3:C86)</f>
        <v>1290</v>
      </c>
      <c r="D88" s="100">
        <f>SUM(D3:D86)</f>
        <v>1290</v>
      </c>
      <c r="E88" s="100">
        <f>SUM(E3:E86)</f>
        <v>1290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2818</v>
      </c>
      <c r="AT88" s="78">
        <f ca="1">SUM(AT3:AT86)</f>
        <v>16.354247923814018</v>
      </c>
      <c r="AU88" s="78">
        <f ca="1">SUM(AU3:AU86)</f>
        <v>2818</v>
      </c>
      <c r="AV88" s="78">
        <f ca="1">SUM(AV3:AV86)</f>
        <v>2818</v>
      </c>
      <c r="AW88" s="78">
        <f ca="1">SUM(AW3:AW86)</f>
        <v>2818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69</v>
      </c>
      <c r="C98" s="69">
        <f>SUM(C$3:C3)</f>
        <v>9</v>
      </c>
      <c r="D98" s="69">
        <f>SUM(D$3:D3)</f>
        <v>9</v>
      </c>
      <c r="E98" s="69">
        <f>SUM(E$3:E3)</f>
        <v>35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127</v>
      </c>
      <c r="C99" s="69">
        <f>SUM(C$3:C4)</f>
        <v>32</v>
      </c>
      <c r="D99" s="69">
        <f>SUM(D$3:D4)</f>
        <v>48</v>
      </c>
      <c r="E99" s="69">
        <f>SUM(E$3:E4)</f>
        <v>89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173</v>
      </c>
      <c r="C100" s="69">
        <f>SUM(C$3:C5)</f>
        <v>58</v>
      </c>
      <c r="D100" s="69">
        <f>SUM(D$3:D5)</f>
        <v>90</v>
      </c>
      <c r="E100" s="69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217</v>
      </c>
      <c r="C101" s="69">
        <f>SUM(C$3:C6)</f>
        <v>85</v>
      </c>
      <c r="D101" s="69">
        <f>SUM(D$3:D6)</f>
        <v>118</v>
      </c>
      <c r="E101" s="69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275</v>
      </c>
      <c r="C102" s="69">
        <f>SUM(C$3:C7)</f>
        <v>113</v>
      </c>
      <c r="D102" s="69">
        <f>SUM(D$3:D7)</f>
        <v>145</v>
      </c>
      <c r="E102" s="69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325</v>
      </c>
      <c r="C103" s="69">
        <f>SUM(C$3:C8)</f>
        <v>147</v>
      </c>
      <c r="D103" s="69">
        <f>SUM(D$3:D8)</f>
        <v>191</v>
      </c>
      <c r="E103" s="69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369</v>
      </c>
      <c r="C104" s="69">
        <f>SUM(C$3:C9)</f>
        <v>182</v>
      </c>
      <c r="D104" s="69">
        <f>SUM(D$3:D9)</f>
        <v>235</v>
      </c>
      <c r="E104" s="69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454</v>
      </c>
      <c r="C105" s="69">
        <f>SUM(C$3:C10)</f>
        <v>218</v>
      </c>
      <c r="D105" s="69">
        <f>SUM(D$3:D10)</f>
        <v>258</v>
      </c>
      <c r="E105" s="69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481</v>
      </c>
      <c r="C106" s="69">
        <f>SUM(C$3:C11)</f>
        <v>257</v>
      </c>
      <c r="D106" s="69">
        <f>SUM(D$3:D11)</f>
        <v>292</v>
      </c>
      <c r="E106" s="69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527</v>
      </c>
      <c r="C107" s="69">
        <f>SUM(C$3:C12)</f>
        <v>296</v>
      </c>
      <c r="D107" s="69">
        <f>SUM(D$3:D12)</f>
        <v>338</v>
      </c>
      <c r="E107" s="69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536</v>
      </c>
      <c r="C108" s="69">
        <f>SUM(C$3:C13)</f>
        <v>335</v>
      </c>
      <c r="D108" s="69">
        <f>SUM(D$3:D13)</f>
        <v>391</v>
      </c>
      <c r="E108" s="69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603</v>
      </c>
      <c r="C109" s="69">
        <f>SUM(C$3:C14)</f>
        <v>377</v>
      </c>
      <c r="D109" s="69">
        <f>SUM(D$3:D14)</f>
        <v>426</v>
      </c>
      <c r="E109" s="69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656</v>
      </c>
      <c r="C110" s="69">
        <f>SUM(C$3:C15)</f>
        <v>421</v>
      </c>
      <c r="D110" s="69">
        <f>SUM(D$3:D15)</f>
        <v>452</v>
      </c>
      <c r="E110" s="69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714</v>
      </c>
      <c r="C111" s="69">
        <f>SUM(C$3:C16)</f>
        <v>465</v>
      </c>
      <c r="D111" s="69">
        <f>SUM(D$3:D16)</f>
        <v>502</v>
      </c>
      <c r="E111" s="69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763</v>
      </c>
      <c r="C112" s="69">
        <f>SUM(C$3:C17)</f>
        <v>511</v>
      </c>
      <c r="D112" s="69">
        <f>SUM(D$3:D17)</f>
        <v>571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819</v>
      </c>
      <c r="C113" s="69">
        <f>SUM(C$3:C18)</f>
        <v>557</v>
      </c>
      <c r="D113" s="69">
        <f>SUM(D$3:D18)</f>
        <v>607</v>
      </c>
      <c r="E113" s="69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858</v>
      </c>
      <c r="C114" s="69">
        <f>SUM(C$3:C19)</f>
        <v>606</v>
      </c>
      <c r="D114" s="69">
        <f>SUM(D$3:D19)</f>
        <v>646</v>
      </c>
      <c r="E114" s="69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893</v>
      </c>
      <c r="C115" s="69">
        <f>SUM(C$3:C20)</f>
        <v>656</v>
      </c>
      <c r="D115" s="69">
        <f>SUM(D$3:D20)</f>
        <v>704</v>
      </c>
      <c r="E115" s="69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916</v>
      </c>
      <c r="C116" s="69">
        <f>SUM(C$3:C21)</f>
        <v>709</v>
      </c>
      <c r="D116" s="69">
        <f>SUM(D$3:D21)</f>
        <v>762</v>
      </c>
      <c r="E116" s="69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952</v>
      </c>
      <c r="C117" s="69">
        <f>SUM(C$3:C22)</f>
        <v>763</v>
      </c>
      <c r="D117" s="69">
        <f>SUM(D$3:D22)</f>
        <v>801</v>
      </c>
      <c r="E117" s="69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978</v>
      </c>
      <c r="C118" s="69">
        <f>SUM(C$3:C23)</f>
        <v>819</v>
      </c>
      <c r="D118" s="69">
        <f>SUM(D$3:D23)</f>
        <v>857</v>
      </c>
      <c r="E118" s="69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1054</v>
      </c>
      <c r="C119" s="69">
        <f>SUM(C$3:C24)</f>
        <v>877</v>
      </c>
      <c r="D119" s="69">
        <f>SUM(D$3:D24)</f>
        <v>901</v>
      </c>
      <c r="E119" s="69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1082</v>
      </c>
      <c r="C120" s="69">
        <f>SUM(C$3:C25)</f>
        <v>935</v>
      </c>
      <c r="D120" s="69">
        <f>SUM(D$3:D25)</f>
        <v>968</v>
      </c>
      <c r="E120" s="69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1121</v>
      </c>
      <c r="C121" s="69">
        <f>SUM(C$3:C26)</f>
        <v>993</v>
      </c>
      <c r="D121" s="69">
        <f>SUM(D$3:D26)</f>
        <v>1026</v>
      </c>
      <c r="E121" s="69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1160</v>
      </c>
      <c r="C122" s="69">
        <f>SUM(C$3:C27)</f>
        <v>1060</v>
      </c>
      <c r="D122" s="69">
        <f>SUM(D$3:D27)</f>
        <v>1080</v>
      </c>
      <c r="E122" s="69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1194</v>
      </c>
      <c r="C123" s="69">
        <f>SUM(C$3:C28)</f>
        <v>1129</v>
      </c>
      <c r="D123" s="69">
        <f>SUM(D$3:D28)</f>
        <v>1165</v>
      </c>
      <c r="E123" s="69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1236</v>
      </c>
      <c r="C124" s="69">
        <f>SUM(C$3:C29)</f>
        <v>1205</v>
      </c>
      <c r="D124" s="69">
        <f>SUM(D$3:D29)</f>
        <v>1241</v>
      </c>
      <c r="E124" s="69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1290</v>
      </c>
      <c r="C125" s="69">
        <f>SUM(C$3:C30)</f>
        <v>1290</v>
      </c>
      <c r="D125" s="69">
        <f>SUM(D$3:D30)</f>
        <v>1290</v>
      </c>
      <c r="E125" s="69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4982-3BED-4179-90C1-595CB77D7144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14 - 21</v>
      </c>
      <c r="G2" s="164">
        <f>Y4</f>
        <v>14</v>
      </c>
      <c r="H2" s="96">
        <f t="shared" ref="H2:H14" si="1">G2+$Y$3</f>
        <v>21</v>
      </c>
      <c r="I2" s="137">
        <f t="shared" ref="I2:I14" si="2">COUNTIF($B$3:$B$86, "&lt;"&amp;H2)</f>
        <v>1</v>
      </c>
      <c r="J2" s="97">
        <f>I2</f>
        <v>1</v>
      </c>
      <c r="K2" s="98">
        <f t="shared" ref="K2:K14" si="3">J2/$J$15</f>
        <v>3.5714285714285712E-2</v>
      </c>
      <c r="L2" s="99">
        <f t="shared" ref="L2:L14" si="4">I2/$J$15</f>
        <v>3.5714285714285712E-2</v>
      </c>
      <c r="N2" s="163" t="s">
        <v>12</v>
      </c>
      <c r="O2" s="162">
        <f>AVERAGE($B$3:$B$86)</f>
        <v>48.428571428571431</v>
      </c>
      <c r="P2" s="162">
        <f>AVERAGE($B$3:$B$86)</f>
        <v>48.428571428571431</v>
      </c>
      <c r="Q2" s="162">
        <f>AVERAGE($B$3:$B$86)</f>
        <v>48.428571428571431</v>
      </c>
      <c r="R2" s="162">
        <f>AVERAGE($D$3:$D$86)</f>
        <v>48.428571428571431</v>
      </c>
      <c r="V2" s="85" t="s">
        <v>94</v>
      </c>
      <c r="Y2" s="85">
        <f>ROUND(O6/10,0)</f>
        <v>7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33</v>
      </c>
      <c r="C3" s="101">
        <v>17</v>
      </c>
      <c r="D3" s="102">
        <v>17</v>
      </c>
      <c r="E3" s="142">
        <v>32</v>
      </c>
      <c r="F3" s="104" t="str">
        <f t="shared" si="0"/>
        <v>21 - 28</v>
      </c>
      <c r="G3" s="105">
        <f t="shared" ref="G3:G14" si="5">H2</f>
        <v>21</v>
      </c>
      <c r="H3" s="106">
        <f t="shared" si="1"/>
        <v>28</v>
      </c>
      <c r="I3" s="137">
        <f t="shared" si="2"/>
        <v>2</v>
      </c>
      <c r="J3" s="157">
        <f t="shared" ref="J3:J14" si="6">I3-I2</f>
        <v>1</v>
      </c>
      <c r="K3" s="130">
        <f t="shared" si="3"/>
        <v>3.5714285714285712E-2</v>
      </c>
      <c r="L3" s="109">
        <f t="shared" si="4"/>
        <v>7.1428571428571425E-2</v>
      </c>
      <c r="N3" s="133" t="s">
        <v>91</v>
      </c>
      <c r="O3" s="135">
        <f>MEDIAN(B$3:B$86)</f>
        <v>46.5</v>
      </c>
      <c r="P3" s="135">
        <f>MEDIAN(C$3:C$86)</f>
        <v>46.5</v>
      </c>
      <c r="Q3" s="135">
        <f>MEDIAN(D$3:D$86)</f>
        <v>46.5</v>
      </c>
      <c r="R3" s="135">
        <f>MEDIAN(E$3:E$86)</f>
        <v>46.5</v>
      </c>
      <c r="V3" s="85" t="s">
        <v>95</v>
      </c>
      <c r="Y3" s="85">
        <f>ROUND(Y2,-LEN(Y2)+1)</f>
        <v>7</v>
      </c>
      <c r="AN3" s="88">
        <v>1</v>
      </c>
      <c r="AO3" s="88">
        <f t="shared" ref="AO3:AO30" ca="1" si="7">ABS(_xlfn.NORM.INV(RAND(),$AQ$1,$AS$1))</f>
        <v>23.429178339729866</v>
      </c>
      <c r="AP3" s="88">
        <f ca="1">SMALL($AO$3:$AO$30,ROWS(AO$3:AO3))</f>
        <v>15.837113657253342</v>
      </c>
      <c r="AQ3" s="110">
        <f t="shared" ref="AQ3:AQ30" ca="1" si="8">AR3+RAND()</f>
        <v>1.6932909249636174</v>
      </c>
      <c r="AR3" s="110">
        <v>1</v>
      </c>
      <c r="AS3" s="78">
        <f t="shared" ref="AS3:AS30" ca="1" si="9">ROUNDUP(AP3*AQ3,0)</f>
        <v>27</v>
      </c>
      <c r="AT3" s="78">
        <f t="shared" ref="AT3:AT30" ca="1" si="10">RAND()</f>
        <v>0.11966808366212245</v>
      </c>
      <c r="AU3" s="78">
        <f ca="1">INDEX($AS$3:$AS$30,MATCH(SMALL($AT$3:$AT$30,ROWS(AT$3:AT3)),$AT$3:$AT$30,0))</f>
        <v>52</v>
      </c>
      <c r="AV3" s="78">
        <f ca="1">SMALL($AS$3:$AS$30,ROWS(AV$3:AV3))</f>
        <v>27</v>
      </c>
      <c r="AW3" s="85">
        <f ca="1">VLOOKUP(SMALL($BB$3:$BB$16,AX3),$BB$3:$BC$30,2,0)</f>
        <v>36</v>
      </c>
      <c r="AX3" s="85">
        <v>1</v>
      </c>
      <c r="BA3" s="85">
        <v>1</v>
      </c>
      <c r="BB3" s="85">
        <f t="shared" ref="BB3:BB30" ca="1" si="11">RAND()</f>
        <v>0.31744479842102935</v>
      </c>
      <c r="BC3" s="85">
        <f t="shared" ref="BC3:BC30" ca="1" si="12">AV3</f>
        <v>27</v>
      </c>
    </row>
    <row r="4" spans="1:55" ht="17.25" thickBot="1" x14ac:dyDescent="0.35">
      <c r="A4" s="9">
        <v>2</v>
      </c>
      <c r="B4" s="100">
        <v>39</v>
      </c>
      <c r="C4" s="101">
        <v>22</v>
      </c>
      <c r="D4" s="102">
        <v>38</v>
      </c>
      <c r="E4" s="142">
        <v>55</v>
      </c>
      <c r="F4" s="104" t="str">
        <f t="shared" si="0"/>
        <v>28 - 35</v>
      </c>
      <c r="G4" s="105">
        <f t="shared" si="5"/>
        <v>28</v>
      </c>
      <c r="H4" s="106">
        <f t="shared" si="1"/>
        <v>35</v>
      </c>
      <c r="I4" s="137">
        <f t="shared" si="2"/>
        <v>4</v>
      </c>
      <c r="J4" s="157">
        <f t="shared" si="6"/>
        <v>2</v>
      </c>
      <c r="K4" s="130">
        <f t="shared" si="3"/>
        <v>7.1428571428571425E-2</v>
      </c>
      <c r="L4" s="109">
        <f t="shared" si="4"/>
        <v>0.14285714285714285</v>
      </c>
      <c r="N4" s="161" t="s">
        <v>13</v>
      </c>
      <c r="O4" s="160">
        <f>MAX(B$3:B$86)</f>
        <v>89</v>
      </c>
      <c r="P4" s="160">
        <f>MAX(C$3:C$86)</f>
        <v>89</v>
      </c>
      <c r="Q4" s="160">
        <f>MAX(D$3:D$86)</f>
        <v>89</v>
      </c>
      <c r="R4" s="160">
        <f>MAX(E$3:E$86)</f>
        <v>89</v>
      </c>
      <c r="V4" s="85" t="s">
        <v>96</v>
      </c>
      <c r="Y4" s="85">
        <f>Y3*INT(O5/Y3)</f>
        <v>14</v>
      </c>
      <c r="AN4" s="88">
        <v>2</v>
      </c>
      <c r="AO4" s="88">
        <f t="shared" ca="1" si="7"/>
        <v>34.860146395700241</v>
      </c>
      <c r="AP4" s="88">
        <f ca="1">SMALL($AO$3:$AO$30,ROWS(AO$3:AO4))</f>
        <v>18.164355787426512</v>
      </c>
      <c r="AQ4" s="110">
        <f t="shared" ca="1" si="8"/>
        <v>1.8539294172311997</v>
      </c>
      <c r="AR4" s="110">
        <v>1.5</v>
      </c>
      <c r="AS4" s="78">
        <f t="shared" ca="1" si="9"/>
        <v>34</v>
      </c>
      <c r="AT4" s="78">
        <f t="shared" ca="1" si="10"/>
        <v>0.61616822643418812</v>
      </c>
      <c r="AU4" s="78">
        <f ca="1">INDEX($AS$3:$AS$30,MATCH(SMALL($AT$3:$AT$30,ROWS(AT$3:AT4)),$AT$3:$AT$30,0))</f>
        <v>31</v>
      </c>
      <c r="AV4" s="78">
        <f ca="1">SMALL($AS$3:$AS$30,ROWS(AV$3:AV4))</f>
        <v>31</v>
      </c>
      <c r="AW4" s="85">
        <f ca="1">VLOOKUP(SMALL($BB$17:$BB$30,AX4),$BB$17:$BC$30,2,0)</f>
        <v>67</v>
      </c>
      <c r="AX4" s="85">
        <v>1</v>
      </c>
      <c r="BA4" s="85">
        <v>2</v>
      </c>
      <c r="BB4" s="85">
        <f t="shared" ca="1" si="11"/>
        <v>8.1648946091279151E-2</v>
      </c>
      <c r="BC4" s="85">
        <f t="shared" ca="1" si="12"/>
        <v>31</v>
      </c>
    </row>
    <row r="5" spans="1:55" ht="17.25" thickBot="1" x14ac:dyDescent="0.35">
      <c r="A5" s="9">
        <v>3</v>
      </c>
      <c r="B5" s="100">
        <v>52</v>
      </c>
      <c r="C5" s="101">
        <v>32</v>
      </c>
      <c r="D5" s="102">
        <v>52</v>
      </c>
      <c r="E5" s="142">
        <v>78</v>
      </c>
      <c r="F5" s="104" t="str">
        <f t="shared" si="0"/>
        <v>35 - 42</v>
      </c>
      <c r="G5" s="105">
        <f t="shared" si="5"/>
        <v>35</v>
      </c>
      <c r="H5" s="106">
        <f t="shared" si="1"/>
        <v>42</v>
      </c>
      <c r="I5" s="137">
        <f t="shared" si="2"/>
        <v>9</v>
      </c>
      <c r="J5" s="157">
        <f t="shared" si="6"/>
        <v>5</v>
      </c>
      <c r="K5" s="130">
        <f t="shared" si="3"/>
        <v>0.17857142857142858</v>
      </c>
      <c r="L5" s="109">
        <f t="shared" si="4"/>
        <v>0.32142857142857145</v>
      </c>
      <c r="N5" s="161" t="s">
        <v>14</v>
      </c>
      <c r="O5" s="160">
        <f>MIN(B$3:B$84)</f>
        <v>17</v>
      </c>
      <c r="P5" s="160">
        <f>MIN(C$3:C$84)</f>
        <v>17</v>
      </c>
      <c r="Q5" s="160">
        <f>MIN(D$3:D$84)</f>
        <v>17</v>
      </c>
      <c r="R5" s="160">
        <f>MIN(E$3:E$84)</f>
        <v>17</v>
      </c>
      <c r="V5" s="85" t="s">
        <v>93</v>
      </c>
      <c r="Y5" s="85">
        <f>ROUNDUP(O4/Y3,0)</f>
        <v>13</v>
      </c>
      <c r="AN5" s="88">
        <v>3</v>
      </c>
      <c r="AO5" s="88">
        <f t="shared" ca="1" si="7"/>
        <v>25.19162174774474</v>
      </c>
      <c r="AP5" s="88">
        <f ca="1">SMALL($AO$3:$AO$30,ROWS(AO$3:AO5))</f>
        <v>20.488474762462946</v>
      </c>
      <c r="AQ5" s="110">
        <f t="shared" ca="1" si="8"/>
        <v>2.7082215471853202</v>
      </c>
      <c r="AR5" s="110">
        <v>2</v>
      </c>
      <c r="AS5" s="78">
        <f t="shared" ca="1" si="9"/>
        <v>56</v>
      </c>
      <c r="AT5" s="78">
        <f t="shared" ca="1" si="10"/>
        <v>0.45867796121779836</v>
      </c>
      <c r="AU5" s="78">
        <f ca="1">INDEX($AS$3:$AS$30,MATCH(SMALL($AT$3:$AT$30,ROWS(AT$3:AT5)),$AT$3:$AT$30,0))</f>
        <v>54</v>
      </c>
      <c r="AV5" s="78">
        <f ca="1">SMALL($AS$3:$AS$30,ROWS(AV$3:AV5))</f>
        <v>34</v>
      </c>
      <c r="AW5" s="85">
        <f ca="1">VLOOKUP(SMALL($BB$17:$BB$30,AX5),$BB$17:$BC$30,2,0)</f>
        <v>56</v>
      </c>
      <c r="AX5" s="85">
        <v>2</v>
      </c>
      <c r="BA5" s="85">
        <v>3</v>
      </c>
      <c r="BB5" s="85">
        <f t="shared" ca="1" si="11"/>
        <v>0.21062456715770872</v>
      </c>
      <c r="BC5" s="85">
        <f t="shared" ca="1" si="12"/>
        <v>34</v>
      </c>
    </row>
    <row r="6" spans="1:55" ht="17.25" thickBot="1" x14ac:dyDescent="0.35">
      <c r="A6" s="9">
        <v>4</v>
      </c>
      <c r="B6" s="100">
        <v>43</v>
      </c>
      <c r="C6" s="101">
        <v>33</v>
      </c>
      <c r="D6" s="102">
        <v>35</v>
      </c>
      <c r="E6" s="142">
        <v>45</v>
      </c>
      <c r="F6" s="104" t="str">
        <f t="shared" si="0"/>
        <v>42 - 49</v>
      </c>
      <c r="G6" s="105">
        <f t="shared" si="5"/>
        <v>42</v>
      </c>
      <c r="H6" s="106">
        <f t="shared" si="1"/>
        <v>49</v>
      </c>
      <c r="I6" s="137">
        <f t="shared" si="2"/>
        <v>17</v>
      </c>
      <c r="J6" s="157">
        <f t="shared" si="6"/>
        <v>8</v>
      </c>
      <c r="K6" s="130">
        <f t="shared" si="3"/>
        <v>0.2857142857142857</v>
      </c>
      <c r="L6" s="109">
        <f t="shared" si="4"/>
        <v>0.6071428571428571</v>
      </c>
      <c r="N6" s="161" t="s">
        <v>5</v>
      </c>
      <c r="O6" s="160">
        <f>O4-O5</f>
        <v>72</v>
      </c>
      <c r="P6" s="160">
        <f>P4-P5</f>
        <v>72</v>
      </c>
      <c r="Q6" s="160">
        <f>Q4-Q5</f>
        <v>72</v>
      </c>
      <c r="R6" s="160">
        <f>R4-R5</f>
        <v>72</v>
      </c>
      <c r="V6" s="85" t="s">
        <v>97</v>
      </c>
      <c r="Y6" s="85">
        <f>Y5*Y3</f>
        <v>91</v>
      </c>
      <c r="AN6" s="88">
        <v>4</v>
      </c>
      <c r="AO6" s="88">
        <f t="shared" ca="1" si="7"/>
        <v>18.164355787426512</v>
      </c>
      <c r="AP6" s="88">
        <f ca="1">SMALL($AO$3:$AO$30,ROWS(AO$3:AO6))</f>
        <v>20.703199056347326</v>
      </c>
      <c r="AQ6" s="110">
        <f t="shared" ca="1" si="8"/>
        <v>1.6963129184111032</v>
      </c>
      <c r="AR6" s="110">
        <v>1</v>
      </c>
      <c r="AS6" s="78">
        <f t="shared" ca="1" si="9"/>
        <v>36</v>
      </c>
      <c r="AT6" s="78">
        <f t="shared" ca="1" si="10"/>
        <v>0.29214316396686568</v>
      </c>
      <c r="AU6" s="78">
        <f ca="1">INDEX($AS$3:$AS$30,MATCH(SMALL($AT$3:$AT$30,ROWS(AT$3:AT6)),$AT$3:$AT$30,0))</f>
        <v>27</v>
      </c>
      <c r="AV6" s="78">
        <f ca="1">SMALL($AS$3:$AS$30,ROWS(AV$3:AV6))</f>
        <v>35</v>
      </c>
      <c r="AW6" s="85">
        <f ca="1">VLOOKUP(SMALL($BB$3:$BB$16,AX6),$BB$3:$BC$30,2,0)</f>
        <v>31</v>
      </c>
      <c r="AX6" s="85">
        <v>2</v>
      </c>
      <c r="BA6" s="85">
        <v>4</v>
      </c>
      <c r="BB6" s="85">
        <f t="shared" ca="1" si="11"/>
        <v>0.12682005810156638</v>
      </c>
      <c r="BC6" s="85">
        <f t="shared" ca="1" si="12"/>
        <v>35</v>
      </c>
    </row>
    <row r="7" spans="1:55" ht="17.25" thickBot="1" x14ac:dyDescent="0.35">
      <c r="A7" s="9">
        <v>5</v>
      </c>
      <c r="B7" s="100">
        <v>32</v>
      </c>
      <c r="C7" s="101">
        <v>35</v>
      </c>
      <c r="D7" s="102">
        <v>22</v>
      </c>
      <c r="E7" s="142">
        <v>46</v>
      </c>
      <c r="F7" s="104" t="str">
        <f t="shared" si="0"/>
        <v>49 - 56</v>
      </c>
      <c r="G7" s="105">
        <f t="shared" si="5"/>
        <v>49</v>
      </c>
      <c r="H7" s="106">
        <f t="shared" si="1"/>
        <v>56</v>
      </c>
      <c r="I7" s="137">
        <f t="shared" si="2"/>
        <v>21</v>
      </c>
      <c r="J7" s="157">
        <f t="shared" si="6"/>
        <v>4</v>
      </c>
      <c r="K7" s="130">
        <f t="shared" si="3"/>
        <v>0.14285714285714285</v>
      </c>
      <c r="L7" s="109">
        <f t="shared" si="4"/>
        <v>0.75</v>
      </c>
      <c r="N7" s="161" t="s">
        <v>15</v>
      </c>
      <c r="O7" s="160">
        <f>_xlfn.STDEV.S(B$3:B$86)</f>
        <v>15.777218858868473</v>
      </c>
      <c r="P7" s="160">
        <f>_xlfn.STDEV.S(C$3:C$86)</f>
        <v>15.777218858868473</v>
      </c>
      <c r="Q7" s="160">
        <f>_xlfn.STDEV.S(D$3:D$86)</f>
        <v>15.777218858868473</v>
      </c>
      <c r="R7" s="160">
        <f>_xlfn.STDEV.S(E$3:E$86)</f>
        <v>15.777218858868473</v>
      </c>
      <c r="V7" s="85" t="s">
        <v>98</v>
      </c>
      <c r="Y7" s="85">
        <v>4</v>
      </c>
      <c r="AN7" s="88">
        <v>5</v>
      </c>
      <c r="AO7" s="88">
        <f t="shared" ca="1" si="7"/>
        <v>25.530385265910819</v>
      </c>
      <c r="AP7" s="88">
        <f ca="1">SMALL($AO$3:$AO$30,ROWS(AO$3:AO7))</f>
        <v>21.223335787149676</v>
      </c>
      <c r="AQ7" s="110">
        <f t="shared" ca="1" si="8"/>
        <v>1.6385148405624173</v>
      </c>
      <c r="AR7" s="110">
        <f t="shared" ref="AR7:AR30" si="13">AR3</f>
        <v>1</v>
      </c>
      <c r="AS7" s="78">
        <f t="shared" ca="1" si="9"/>
        <v>35</v>
      </c>
      <c r="AT7" s="78">
        <f t="shared" ca="1" si="10"/>
        <v>0.43155574011334585</v>
      </c>
      <c r="AU7" s="78">
        <f ca="1">INDEX($AS$3:$AS$30,MATCH(SMALL($AT$3:$AT$30,ROWS(AT$3:AT7)),$AT$3:$AT$30,0))</f>
        <v>47</v>
      </c>
      <c r="AV7" s="78">
        <f ca="1">SMALL($AS$3:$AS$30,ROWS(AV$3:AV7))</f>
        <v>36</v>
      </c>
      <c r="AW7" s="85">
        <f ca="1">VLOOKUP(SMALL($BB$3:$BB$16,AX7),$BB$3:$BC$30,2,0)</f>
        <v>35</v>
      </c>
      <c r="AX7" s="85">
        <f t="shared" ref="AX7:AX30" si="14">2+AX3</f>
        <v>3</v>
      </c>
      <c r="BA7" s="85">
        <v>5</v>
      </c>
      <c r="BB7" s="85">
        <f t="shared" ca="1" si="11"/>
        <v>4.4556056814553102E-2</v>
      </c>
      <c r="BC7" s="85">
        <f t="shared" ca="1" si="12"/>
        <v>36</v>
      </c>
    </row>
    <row r="8" spans="1:55" ht="17.25" thickBot="1" x14ac:dyDescent="0.35">
      <c r="A8" s="9">
        <v>6</v>
      </c>
      <c r="B8" s="100">
        <v>22</v>
      </c>
      <c r="C8" s="101">
        <v>38</v>
      </c>
      <c r="D8" s="102">
        <v>43</v>
      </c>
      <c r="E8" s="142">
        <v>71</v>
      </c>
      <c r="F8" s="104" t="str">
        <f t="shared" si="0"/>
        <v>56 - 63</v>
      </c>
      <c r="G8" s="105">
        <f t="shared" si="5"/>
        <v>56</v>
      </c>
      <c r="H8" s="106">
        <f t="shared" si="1"/>
        <v>63</v>
      </c>
      <c r="I8" s="137">
        <f t="shared" si="2"/>
        <v>23</v>
      </c>
      <c r="J8" s="157">
        <f t="shared" si="6"/>
        <v>2</v>
      </c>
      <c r="K8" s="130">
        <f t="shared" si="3"/>
        <v>7.1428571428571425E-2</v>
      </c>
      <c r="L8" s="109">
        <f t="shared" si="4"/>
        <v>0.8214285714285714</v>
      </c>
      <c r="N8" s="161" t="s">
        <v>16</v>
      </c>
      <c r="O8" s="160">
        <f>O7/O2</f>
        <v>0.32578328027162035</v>
      </c>
      <c r="P8" s="160">
        <f>P7/P2</f>
        <v>0.32578328027162035</v>
      </c>
      <c r="Q8" s="160">
        <f>Q7/Q2</f>
        <v>0.32578328027162035</v>
      </c>
      <c r="R8" s="160">
        <f>R7/R2</f>
        <v>0.32578328027162035</v>
      </c>
      <c r="AN8" s="88">
        <v>6</v>
      </c>
      <c r="AO8" s="88">
        <f t="shared" ca="1" si="7"/>
        <v>32.385677287676167</v>
      </c>
      <c r="AP8" s="88">
        <f ca="1">SMALL($AO$3:$AO$30,ROWS(AO$3:AO8))</f>
        <v>21.531474044061969</v>
      </c>
      <c r="AQ8" s="110">
        <f t="shared" ca="1" si="8"/>
        <v>2.4957831006396067</v>
      </c>
      <c r="AR8" s="110">
        <f t="shared" si="13"/>
        <v>1.5</v>
      </c>
      <c r="AS8" s="78">
        <f t="shared" ca="1" si="9"/>
        <v>54</v>
      </c>
      <c r="AT8" s="78">
        <f t="shared" ca="1" si="10"/>
        <v>3.3068123606069144E-2</v>
      </c>
      <c r="AU8" s="78">
        <f ca="1">INDEX($AS$3:$AS$30,MATCH(SMALL($AT$3:$AT$30,ROWS(AT$3:AT8)),$AT$3:$AT$30,0))</f>
        <v>37</v>
      </c>
      <c r="AV8" s="78">
        <f ca="1">SMALL($AS$3:$AS$30,ROWS(AV$3:AV8))</f>
        <v>37</v>
      </c>
      <c r="AW8" s="85">
        <f ca="1">VLOOKUP(SMALL($BB$17:$BB$30,AX8),$BB$17:$BC$30,2,0)</f>
        <v>99</v>
      </c>
      <c r="AX8" s="85">
        <f t="shared" si="14"/>
        <v>3</v>
      </c>
      <c r="BA8" s="85">
        <v>6</v>
      </c>
      <c r="BB8" s="85">
        <f t="shared" ca="1" si="11"/>
        <v>0.18958233858345863</v>
      </c>
      <c r="BC8" s="85">
        <f t="shared" ca="1" si="12"/>
        <v>37</v>
      </c>
    </row>
    <row r="9" spans="1:55" ht="17.25" thickBot="1" x14ac:dyDescent="0.35">
      <c r="A9" s="9">
        <v>7</v>
      </c>
      <c r="B9" s="100">
        <v>47</v>
      </c>
      <c r="C9" s="101">
        <v>39</v>
      </c>
      <c r="D9" s="102">
        <v>50</v>
      </c>
      <c r="E9" s="142">
        <v>48</v>
      </c>
      <c r="F9" s="104" t="str">
        <f t="shared" si="0"/>
        <v>63 - 70</v>
      </c>
      <c r="G9" s="105">
        <f t="shared" si="5"/>
        <v>63</v>
      </c>
      <c r="H9" s="106">
        <f t="shared" si="1"/>
        <v>70</v>
      </c>
      <c r="I9" s="137">
        <f t="shared" si="2"/>
        <v>25</v>
      </c>
      <c r="J9" s="157">
        <f t="shared" si="6"/>
        <v>2</v>
      </c>
      <c r="K9" s="130">
        <f t="shared" si="3"/>
        <v>7.1428571428571425E-2</v>
      </c>
      <c r="L9" s="109">
        <f t="shared" si="4"/>
        <v>0.8928571428571429</v>
      </c>
      <c r="N9" s="133" t="s">
        <v>92</v>
      </c>
      <c r="O9" s="134">
        <f>O2/O3</f>
        <v>1.0414746543778803</v>
      </c>
      <c r="P9" s="134">
        <f>P2/P3</f>
        <v>1.0414746543778803</v>
      </c>
      <c r="Q9" s="134">
        <f>Q2/Q3</f>
        <v>1.0414746543778803</v>
      </c>
      <c r="R9" s="134">
        <f>R2/R3</f>
        <v>1.0414746543778803</v>
      </c>
      <c r="AN9" s="88">
        <v>8</v>
      </c>
      <c r="AO9" s="88">
        <f t="shared" ca="1" si="7"/>
        <v>28.215167002866576</v>
      </c>
      <c r="AP9" s="88">
        <f ca="1">SMALL($AO$3:$AO$30,ROWS(AO$3:AO9))</f>
        <v>21.592039206111448</v>
      </c>
      <c r="AQ9" s="110">
        <f t="shared" ca="1" si="8"/>
        <v>2.3336977143043147</v>
      </c>
      <c r="AR9" s="110">
        <f t="shared" si="13"/>
        <v>2</v>
      </c>
      <c r="AS9" s="78">
        <f t="shared" ca="1" si="9"/>
        <v>51</v>
      </c>
      <c r="AT9" s="78">
        <f t="shared" ca="1" si="10"/>
        <v>0.57545973152568253</v>
      </c>
      <c r="AU9" s="78">
        <f ca="1">INDEX($AS$3:$AS$30,MATCH(SMALL($AT$3:$AT$30,ROWS(AT$3:AT9)),$AT$3:$AT$30,0))</f>
        <v>42</v>
      </c>
      <c r="AV9" s="78">
        <f ca="1">SMALL($AS$3:$AS$30,ROWS(AV$3:AV9))</f>
        <v>42</v>
      </c>
      <c r="AW9" s="85">
        <f ca="1">VLOOKUP(SMALL($BB$17:$BB$30,AX9),$BB$17:$BC$30,2,0)</f>
        <v>51</v>
      </c>
      <c r="AX9" s="85">
        <f t="shared" si="14"/>
        <v>4</v>
      </c>
      <c r="BA9" s="85">
        <v>7</v>
      </c>
      <c r="BB9" s="85">
        <f t="shared" ca="1" si="11"/>
        <v>0.8019027855267874</v>
      </c>
      <c r="BC9" s="85">
        <f t="shared" ca="1" si="12"/>
        <v>42</v>
      </c>
    </row>
    <row r="10" spans="1:55" ht="17.25" thickBot="1" x14ac:dyDescent="0.35">
      <c r="A10" s="9">
        <v>8</v>
      </c>
      <c r="B10" s="100">
        <v>89</v>
      </c>
      <c r="C10" s="101">
        <v>39</v>
      </c>
      <c r="D10" s="102">
        <v>39</v>
      </c>
      <c r="E10" s="142">
        <v>22</v>
      </c>
      <c r="F10" s="104" t="str">
        <f t="shared" si="0"/>
        <v>70 - 77</v>
      </c>
      <c r="G10" s="105">
        <f t="shared" si="5"/>
        <v>70</v>
      </c>
      <c r="H10" s="106">
        <f t="shared" si="1"/>
        <v>77</v>
      </c>
      <c r="I10" s="137">
        <f t="shared" si="2"/>
        <v>26</v>
      </c>
      <c r="J10" s="157">
        <f t="shared" si="6"/>
        <v>1</v>
      </c>
      <c r="K10" s="130">
        <f t="shared" si="3"/>
        <v>3.5714285714285712E-2</v>
      </c>
      <c r="L10" s="109">
        <f t="shared" si="4"/>
        <v>0.9285714285714286</v>
      </c>
      <c r="N10" s="159" t="s">
        <v>90</v>
      </c>
      <c r="O10" s="158">
        <f>O6/O2</f>
        <v>1.486725663716814</v>
      </c>
      <c r="P10" s="158">
        <f>P6/P2</f>
        <v>1.486725663716814</v>
      </c>
      <c r="Q10" s="158">
        <f>Q6/Q2</f>
        <v>1.486725663716814</v>
      </c>
      <c r="R10" s="158">
        <f>R6/R2</f>
        <v>1.486725663716814</v>
      </c>
      <c r="AN10" s="88">
        <v>7</v>
      </c>
      <c r="AO10" s="88">
        <f t="shared" ca="1" si="7"/>
        <v>27.767239847442053</v>
      </c>
      <c r="AP10" s="88">
        <f ca="1">SMALL($AO$3:$AO$30,ROWS(AO$3:AO10))</f>
        <v>22.251305655534612</v>
      </c>
      <c r="AQ10" s="110">
        <f t="shared" ca="1" si="8"/>
        <v>1.8654230717904889</v>
      </c>
      <c r="AR10" s="110">
        <f t="shared" si="13"/>
        <v>1</v>
      </c>
      <c r="AS10" s="78">
        <f t="shared" ca="1" si="9"/>
        <v>42</v>
      </c>
      <c r="AT10" s="78">
        <f t="shared" ca="1" si="10"/>
        <v>0.49630402766242854</v>
      </c>
      <c r="AU10" s="78">
        <f ca="1">INDEX($AS$3:$AS$30,MATCH(SMALL($AT$3:$AT$30,ROWS(AT$3:AT10)),$AT$3:$AT$30,0))</f>
        <v>99</v>
      </c>
      <c r="AV10" s="78">
        <f ca="1">SMALL($AS$3:$AS$30,ROWS(AV$3:AV10))</f>
        <v>42</v>
      </c>
      <c r="AW10" s="85">
        <f ca="1">VLOOKUP(SMALL($BB$3:$BB$16,AX10),$BB$3:$BC$30,2,0)</f>
        <v>47</v>
      </c>
      <c r="AX10" s="85">
        <f t="shared" si="14"/>
        <v>4</v>
      </c>
      <c r="BA10" s="85">
        <v>8</v>
      </c>
      <c r="BB10" s="85">
        <f t="shared" ca="1" si="11"/>
        <v>0.18511663762392883</v>
      </c>
      <c r="BC10" s="85">
        <f t="shared" ca="1" si="12"/>
        <v>42</v>
      </c>
    </row>
    <row r="11" spans="1:55" ht="17.25" thickBot="1" x14ac:dyDescent="0.35">
      <c r="A11" s="9">
        <v>9</v>
      </c>
      <c r="B11" s="100">
        <v>52</v>
      </c>
      <c r="C11" s="101">
        <v>40</v>
      </c>
      <c r="D11" s="102">
        <v>46</v>
      </c>
      <c r="E11" s="142">
        <v>17</v>
      </c>
      <c r="F11" s="104" t="str">
        <f t="shared" si="0"/>
        <v>77 - 84</v>
      </c>
      <c r="G11" s="105">
        <f t="shared" si="5"/>
        <v>77</v>
      </c>
      <c r="H11" s="106">
        <f t="shared" si="1"/>
        <v>84</v>
      </c>
      <c r="I11" s="137">
        <f t="shared" si="2"/>
        <v>27</v>
      </c>
      <c r="J11" s="157">
        <f t="shared" si="6"/>
        <v>1</v>
      </c>
      <c r="K11" s="130">
        <f t="shared" si="3"/>
        <v>3.5714285714285712E-2</v>
      </c>
      <c r="L11" s="109">
        <f t="shared" si="4"/>
        <v>0.9642857142857143</v>
      </c>
      <c r="AN11" s="88">
        <v>12</v>
      </c>
      <c r="AO11" s="88">
        <f t="shared" ca="1" si="7"/>
        <v>20.703199056347326</v>
      </c>
      <c r="AP11" s="88">
        <f ca="1">SMALL($AO$3:$AO$30,ROWS(AO$3:AO11))</f>
        <v>23.278115325159543</v>
      </c>
      <c r="AQ11" s="110">
        <f t="shared" ca="1" si="8"/>
        <v>1.3203478392200763</v>
      </c>
      <c r="AR11" s="110">
        <f t="shared" si="13"/>
        <v>1</v>
      </c>
      <c r="AS11" s="78">
        <f t="shared" ca="1" si="9"/>
        <v>31</v>
      </c>
      <c r="AT11" s="78">
        <f t="shared" ca="1" si="10"/>
        <v>2.6926734928648277E-2</v>
      </c>
      <c r="AU11" s="78">
        <f ca="1">INDEX($AS$3:$AS$30,MATCH(SMALL($AT$3:$AT$30,ROWS(AT$3:AT11)),$AT$3:$AT$30,0))</f>
        <v>36</v>
      </c>
      <c r="AV11" s="78">
        <f ca="1">SMALL($AS$3:$AS$30,ROWS(AV$3:AV11))</f>
        <v>42</v>
      </c>
      <c r="AW11" s="85">
        <f ca="1">VLOOKUP(SMALL($BB$3:$BB$16,AX11),$BB$3:$BC$30,2,0)</f>
        <v>42</v>
      </c>
      <c r="AX11" s="85">
        <f t="shared" si="14"/>
        <v>5</v>
      </c>
      <c r="BA11" s="85">
        <v>9</v>
      </c>
      <c r="BB11" s="85">
        <f t="shared" ca="1" si="11"/>
        <v>0.86362701450688295</v>
      </c>
      <c r="BC11" s="85">
        <f t="shared" ca="1" si="12"/>
        <v>42</v>
      </c>
    </row>
    <row r="12" spans="1:55" ht="17.25" thickBot="1" x14ac:dyDescent="0.35">
      <c r="A12" s="9">
        <v>10</v>
      </c>
      <c r="B12" s="100">
        <v>71</v>
      </c>
      <c r="C12" s="101">
        <v>43</v>
      </c>
      <c r="D12" s="102">
        <v>48</v>
      </c>
      <c r="E12" s="142">
        <v>48</v>
      </c>
      <c r="F12" s="104" t="str">
        <f t="shared" si="0"/>
        <v>84 - 91</v>
      </c>
      <c r="G12" s="105">
        <f t="shared" si="5"/>
        <v>84</v>
      </c>
      <c r="H12" s="106">
        <f t="shared" si="1"/>
        <v>91</v>
      </c>
      <c r="I12" s="137">
        <f t="shared" si="2"/>
        <v>28</v>
      </c>
      <c r="J12" s="157">
        <f t="shared" si="6"/>
        <v>1</v>
      </c>
      <c r="K12" s="130">
        <f t="shared" si="3"/>
        <v>3.5714285714285712E-2</v>
      </c>
      <c r="L12" s="109">
        <f t="shared" si="4"/>
        <v>1</v>
      </c>
      <c r="AN12" s="88">
        <v>9</v>
      </c>
      <c r="AO12" s="88">
        <f t="shared" ca="1" si="7"/>
        <v>28.539712277516323</v>
      </c>
      <c r="AP12" s="88">
        <f ca="1">SMALL($AO$3:$AO$30,ROWS(AO$3:AO12))</f>
        <v>23.429178339729866</v>
      </c>
      <c r="AQ12" s="110">
        <f t="shared" ca="1" si="8"/>
        <v>2.1953522161835606</v>
      </c>
      <c r="AR12" s="110">
        <f t="shared" si="13"/>
        <v>1.5</v>
      </c>
      <c r="AS12" s="78">
        <f t="shared" ca="1" si="9"/>
        <v>52</v>
      </c>
      <c r="AT12" s="78">
        <f t="shared" ca="1" si="10"/>
        <v>4.1911028411341089E-3</v>
      </c>
      <c r="AU12" s="78">
        <f ca="1">INDEX($AS$3:$AS$30,MATCH(SMALL($AT$3:$AT$30,ROWS(AT$3:AT12)),$AT$3:$AT$30,0))</f>
        <v>67</v>
      </c>
      <c r="AV12" s="78">
        <f ca="1">SMALL($AS$3:$AS$30,ROWS(AV$3:AV12))</f>
        <v>47</v>
      </c>
      <c r="AW12" s="85">
        <f ca="1">VLOOKUP(SMALL($BB$17:$BB$30,AX12),$BB$17:$BC$30,2,0)</f>
        <v>68</v>
      </c>
      <c r="AX12" s="85">
        <f t="shared" si="14"/>
        <v>5</v>
      </c>
      <c r="BA12" s="85">
        <v>10</v>
      </c>
      <c r="BB12" s="85">
        <f t="shared" ca="1" si="11"/>
        <v>0.15222769946144643</v>
      </c>
      <c r="BC12" s="85">
        <f t="shared" ca="1" si="12"/>
        <v>47</v>
      </c>
    </row>
    <row r="13" spans="1:55" ht="17.25" thickBot="1" x14ac:dyDescent="0.35">
      <c r="A13" s="9">
        <v>11</v>
      </c>
      <c r="B13" s="100">
        <v>45</v>
      </c>
      <c r="C13" s="101">
        <v>43</v>
      </c>
      <c r="D13" s="102">
        <v>66</v>
      </c>
      <c r="E13" s="142">
        <v>66</v>
      </c>
      <c r="F13" s="104" t="str">
        <f t="shared" si="0"/>
        <v>91 - 98</v>
      </c>
      <c r="G13" s="105">
        <f t="shared" si="5"/>
        <v>91</v>
      </c>
      <c r="H13" s="106">
        <f t="shared" si="1"/>
        <v>98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26.129891991449064</v>
      </c>
      <c r="AP13" s="88">
        <f ca="1">SMALL($AO$3:$AO$30,ROWS(AO$3:AO13))</f>
        <v>23.688171359423979</v>
      </c>
      <c r="AQ13" s="110">
        <f t="shared" ca="1" si="8"/>
        <v>2.0600741695859224</v>
      </c>
      <c r="AR13" s="110">
        <f t="shared" si="13"/>
        <v>2</v>
      </c>
      <c r="AS13" s="78">
        <f t="shared" ca="1" si="9"/>
        <v>49</v>
      </c>
      <c r="AT13" s="78">
        <f t="shared" ca="1" si="10"/>
        <v>0.57733102450680285</v>
      </c>
      <c r="AU13" s="78">
        <f ca="1">INDEX($AS$3:$AS$30,MATCH(SMALL($AT$3:$AT$30,ROWS(AT$3:AT13)),$AT$3:$AT$30,0))</f>
        <v>61</v>
      </c>
      <c r="AV13" s="78">
        <f ca="1">SMALL($AS$3:$AS$30,ROWS(AV$3:AV13))</f>
        <v>47</v>
      </c>
      <c r="AW13" s="85">
        <f ca="1">VLOOKUP(SMALL($BB$17:$BB$30,AX13),$BB$17:$BC$30,2,0)</f>
        <v>54</v>
      </c>
      <c r="AX13" s="85">
        <f t="shared" si="14"/>
        <v>6</v>
      </c>
      <c r="BA13" s="85">
        <v>11</v>
      </c>
      <c r="BB13" s="85">
        <f t="shared" ca="1" si="11"/>
        <v>0.81962643072733032</v>
      </c>
      <c r="BC13" s="85">
        <f t="shared" ca="1" si="12"/>
        <v>47</v>
      </c>
    </row>
    <row r="14" spans="1:55" ht="17.25" thickBot="1" x14ac:dyDescent="0.35">
      <c r="A14" s="9">
        <v>12</v>
      </c>
      <c r="B14" s="100">
        <v>64</v>
      </c>
      <c r="C14" s="101">
        <v>45</v>
      </c>
      <c r="D14" s="102">
        <v>48</v>
      </c>
      <c r="E14" s="142">
        <v>43</v>
      </c>
      <c r="F14" s="111" t="str">
        <f t="shared" si="0"/>
        <v>98 - 105</v>
      </c>
      <c r="G14" s="112">
        <f t="shared" si="5"/>
        <v>98</v>
      </c>
      <c r="H14" s="113">
        <f t="shared" si="1"/>
        <v>105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26.655002386071686</v>
      </c>
      <c r="AP14" s="88">
        <f ca="1">SMALL($AO$3:$AO$30,ROWS(AO$3:AO14))</f>
        <v>25.19162174774474</v>
      </c>
      <c r="AQ14" s="110">
        <f t="shared" ca="1" si="8"/>
        <v>1.981025303076513</v>
      </c>
      <c r="AR14" s="110">
        <f t="shared" si="13"/>
        <v>1</v>
      </c>
      <c r="AS14" s="78">
        <f t="shared" ca="1" si="9"/>
        <v>50</v>
      </c>
      <c r="AT14" s="78">
        <f t="shared" ca="1" si="10"/>
        <v>0.78831132034230234</v>
      </c>
      <c r="AU14" s="78">
        <f ca="1">INDEX($AS$3:$AS$30,MATCH(SMALL($AT$3:$AT$30,ROWS(AT$3:AT14)),$AT$3:$AT$30,0))</f>
        <v>42</v>
      </c>
      <c r="AV14" s="78">
        <f ca="1">SMALL($AS$3:$AS$30,ROWS(AV$3:AV14))</f>
        <v>47</v>
      </c>
      <c r="AW14" s="85">
        <f ca="1">VLOOKUP(SMALL($BB$3:$BB$16,AX14),$BB$3:$BC$30,2,0)</f>
        <v>37</v>
      </c>
      <c r="AX14" s="85">
        <f t="shared" si="14"/>
        <v>6</v>
      </c>
      <c r="BA14" s="85">
        <v>12</v>
      </c>
      <c r="BB14" s="85">
        <f t="shared" ca="1" si="11"/>
        <v>0.71495261117020736</v>
      </c>
      <c r="BC14" s="85">
        <f t="shared" ca="1" si="12"/>
        <v>47</v>
      </c>
    </row>
    <row r="15" spans="1:55" ht="16.5" x14ac:dyDescent="0.3">
      <c r="A15" s="9">
        <v>13</v>
      </c>
      <c r="B15" s="100">
        <v>59</v>
      </c>
      <c r="C15" s="101">
        <v>45</v>
      </c>
      <c r="D15" s="102">
        <v>45</v>
      </c>
      <c r="E15" s="142">
        <v>40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0.99999999999999989</v>
      </c>
      <c r="L15" s="130"/>
      <c r="AN15" s="88">
        <v>14</v>
      </c>
      <c r="AO15" s="88">
        <f t="shared" ca="1" si="7"/>
        <v>21.531474044061969</v>
      </c>
      <c r="AP15" s="88">
        <f ca="1">SMALL($AO$3:$AO$30,ROWS(AO$3:AO15))</f>
        <v>25.24002737590304</v>
      </c>
      <c r="AQ15" s="110">
        <f t="shared" ca="1" si="8"/>
        <v>1.8366058971834442</v>
      </c>
      <c r="AR15" s="110">
        <f t="shared" si="13"/>
        <v>1</v>
      </c>
      <c r="AS15" s="78">
        <f t="shared" ca="1" si="9"/>
        <v>47</v>
      </c>
      <c r="AT15" s="78">
        <f t="shared" ca="1" si="10"/>
        <v>0.51246288353462432</v>
      </c>
      <c r="AU15" s="78">
        <f ca="1">INDEX($AS$3:$AS$30,MATCH(SMALL($AT$3:$AT$30,ROWS(AT$3:AT15)),$AT$3:$AT$30,0))</f>
        <v>83</v>
      </c>
      <c r="AV15" s="78">
        <f ca="1">SMALL($AS$3:$AS$30,ROWS(AV$3:AV15))</f>
        <v>49</v>
      </c>
      <c r="AW15" s="85">
        <f ca="1">VLOOKUP(SMALL($BB$3:$BB$16,AX15),$BB$3:$BC$30,2,0)</f>
        <v>34</v>
      </c>
      <c r="AX15" s="85">
        <f t="shared" si="14"/>
        <v>7</v>
      </c>
      <c r="BA15" s="85">
        <v>13</v>
      </c>
      <c r="BB15" s="85">
        <f t="shared" ca="1" si="11"/>
        <v>0.96197179198736638</v>
      </c>
      <c r="BC15" s="85">
        <f t="shared" ca="1" si="12"/>
        <v>49</v>
      </c>
    </row>
    <row r="16" spans="1:55" ht="16.5" x14ac:dyDescent="0.3">
      <c r="A16" s="9">
        <v>14</v>
      </c>
      <c r="B16" s="100">
        <v>48</v>
      </c>
      <c r="C16" s="101">
        <v>46</v>
      </c>
      <c r="D16" s="102">
        <v>45</v>
      </c>
      <c r="E16" s="142">
        <v>47</v>
      </c>
      <c r="AN16" s="88">
        <v>16</v>
      </c>
      <c r="AO16" s="88">
        <f t="shared" ca="1" si="7"/>
        <v>21.592039206111448</v>
      </c>
      <c r="AP16" s="88">
        <f ca="1">SMALL($AO$3:$AO$30,ROWS(AO$3:AO16))</f>
        <v>25.530385265910819</v>
      </c>
      <c r="AQ16" s="110">
        <f t="shared" ca="1" si="8"/>
        <v>2.3807792507784926</v>
      </c>
      <c r="AR16" s="110">
        <f t="shared" si="13"/>
        <v>1.5</v>
      </c>
      <c r="AS16" s="78">
        <f t="shared" ca="1" si="9"/>
        <v>61</v>
      </c>
      <c r="AT16" s="78">
        <f t="shared" ca="1" si="10"/>
        <v>0.34419352296634032</v>
      </c>
      <c r="AU16" s="78">
        <f ca="1">INDEX($AS$3:$AS$30,MATCH(SMALL($AT$3:$AT$30,ROWS(AT$3:AT16)),$AT$3:$AT$30,0))</f>
        <v>35</v>
      </c>
      <c r="AV16" s="78">
        <f ca="1">SMALL($AS$3:$AS$30,ROWS(AV$3:AV16))</f>
        <v>50</v>
      </c>
      <c r="AW16" s="85">
        <f ca="1">VLOOKUP(SMALL($BB$17:$BB$30,AX16),$BB$17:$BC$30,2,0)</f>
        <v>71</v>
      </c>
      <c r="AX16" s="85">
        <f t="shared" si="14"/>
        <v>7</v>
      </c>
      <c r="BA16" s="85">
        <v>14</v>
      </c>
      <c r="BB16" s="85">
        <f t="shared" ca="1" si="11"/>
        <v>0.33936573574829865</v>
      </c>
      <c r="BC16" s="85">
        <f t="shared" ca="1" si="12"/>
        <v>50</v>
      </c>
    </row>
    <row r="17" spans="1:63" ht="16.5" x14ac:dyDescent="0.3">
      <c r="A17" s="9">
        <v>15</v>
      </c>
      <c r="B17" s="100">
        <v>60</v>
      </c>
      <c r="C17" s="101">
        <v>47</v>
      </c>
      <c r="D17" s="102">
        <v>64</v>
      </c>
      <c r="E17" s="142">
        <v>64</v>
      </c>
      <c r="J17" s="118"/>
      <c r="K17" s="118"/>
      <c r="AN17" s="88">
        <v>18</v>
      </c>
      <c r="AO17" s="88">
        <f t="shared" ca="1" si="7"/>
        <v>21.223335787149676</v>
      </c>
      <c r="AP17" s="88">
        <f ca="1">SMALL($AO$3:$AO$30,ROWS(AO$3:AO17))</f>
        <v>25.779072015810314</v>
      </c>
      <c r="AQ17" s="110">
        <f t="shared" ca="1" si="8"/>
        <v>2.5781787931656659</v>
      </c>
      <c r="AR17" s="110">
        <f t="shared" si="13"/>
        <v>2</v>
      </c>
      <c r="AS17" s="78">
        <f t="shared" ca="1" si="9"/>
        <v>67</v>
      </c>
      <c r="AT17" s="78">
        <f t="shared" ca="1" si="10"/>
        <v>0.33975422222035212</v>
      </c>
      <c r="AU17" s="78">
        <f ca="1">INDEX($AS$3:$AS$30,MATCH(SMALL($AT$3:$AT$30,ROWS(AT$3:AT17)),$AT$3:$AT$30,0))</f>
        <v>56</v>
      </c>
      <c r="AV17" s="78">
        <f ca="1">SMALL($AS$3:$AS$30,ROWS(AV$3:AV17))</f>
        <v>51</v>
      </c>
      <c r="AW17" s="85">
        <f ca="1">VLOOKUP(SMALL($BB$17:$BB$30,AX17),$BB$17:$BC$30,2,0)</f>
        <v>54</v>
      </c>
      <c r="AX17" s="85">
        <f t="shared" si="14"/>
        <v>8</v>
      </c>
      <c r="BA17" s="85">
        <v>15</v>
      </c>
      <c r="BB17" s="85">
        <f t="shared" ca="1" si="11"/>
        <v>0.39251047047214294</v>
      </c>
      <c r="BC17" s="85">
        <f t="shared" ca="1" si="12"/>
        <v>51</v>
      </c>
    </row>
    <row r="18" spans="1:63" ht="16.5" x14ac:dyDescent="0.3">
      <c r="A18" s="9">
        <v>16</v>
      </c>
      <c r="B18" s="100">
        <v>17</v>
      </c>
      <c r="C18" s="101">
        <v>48</v>
      </c>
      <c r="D18" s="102">
        <v>33</v>
      </c>
      <c r="E18" s="142">
        <v>35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30.61842226334447</v>
      </c>
      <c r="AP18" s="88">
        <f ca="1">SMALL($AO$3:$AO$30,ROWS(AO$3:AO18))</f>
        <v>26.129891991449064</v>
      </c>
      <c r="AQ18" s="110">
        <f t="shared" ca="1" si="8"/>
        <v>1.7846299786831974</v>
      </c>
      <c r="AR18" s="110">
        <f t="shared" si="13"/>
        <v>1</v>
      </c>
      <c r="AS18" s="78">
        <f t="shared" ca="1" si="9"/>
        <v>47</v>
      </c>
      <c r="AT18" s="78">
        <f t="shared" ca="1" si="10"/>
        <v>0.81598310673854346</v>
      </c>
      <c r="AU18" s="78">
        <f ca="1">INDEX($AS$3:$AS$30,MATCH(SMALL($AT$3:$AT$30,ROWS(AT$3:AT18)),$AT$3:$AT$30,0))</f>
        <v>54</v>
      </c>
      <c r="AV18" s="78">
        <f ca="1">SMALL($AS$3:$AS$30,ROWS(AV$3:AV18))</f>
        <v>52</v>
      </c>
      <c r="AW18" s="85">
        <f ca="1">VLOOKUP(SMALL($BB$3:$BB$16,AX18),$BB$3:$BC$30,2,0)</f>
        <v>27</v>
      </c>
      <c r="AX18" s="85">
        <f t="shared" si="14"/>
        <v>8</v>
      </c>
      <c r="BA18" s="85">
        <v>16</v>
      </c>
      <c r="BB18" s="85">
        <f t="shared" ca="1" si="11"/>
        <v>0.67111077179899292</v>
      </c>
      <c r="BC18" s="85">
        <f t="shared" ca="1" si="12"/>
        <v>52</v>
      </c>
    </row>
    <row r="19" spans="1:63" ht="16.5" x14ac:dyDescent="0.3">
      <c r="A19" s="9">
        <v>17</v>
      </c>
      <c r="B19" s="100">
        <v>50</v>
      </c>
      <c r="C19" s="101">
        <v>48</v>
      </c>
      <c r="D19" s="102">
        <v>47</v>
      </c>
      <c r="E19" s="142">
        <v>39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22.251305655534612</v>
      </c>
      <c r="AP19" s="88">
        <f ca="1">SMALL($AO$3:$AO$30,ROWS(AO$3:AO19))</f>
        <v>26.250910305843963</v>
      </c>
      <c r="AQ19" s="110">
        <f t="shared" ca="1" si="8"/>
        <v>1.9523185527270763</v>
      </c>
      <c r="AR19" s="110">
        <f t="shared" si="13"/>
        <v>1</v>
      </c>
      <c r="AS19" s="78">
        <f t="shared" ca="1" si="9"/>
        <v>52</v>
      </c>
      <c r="AT19" s="78">
        <f t="shared" ca="1" si="10"/>
        <v>0.61731305969282058</v>
      </c>
      <c r="AU19" s="78">
        <f ca="1">INDEX($AS$3:$AS$30,MATCH(SMALL($AT$3:$AT$30,ROWS(AT$3:AT19)),$AT$3:$AT$30,0))</f>
        <v>42</v>
      </c>
      <c r="AV19" s="78">
        <f ca="1">SMALL($AS$3:$AS$30,ROWS(AV$3:AV19))</f>
        <v>52</v>
      </c>
      <c r="AW19" s="85">
        <f ca="1">VLOOKUP(SMALL($BB$3:$BB$16,AX19),$BB$3:$BC$30,2,0)</f>
        <v>50</v>
      </c>
      <c r="AX19" s="85">
        <f t="shared" si="14"/>
        <v>9</v>
      </c>
      <c r="BA19" s="85">
        <v>17</v>
      </c>
      <c r="BB19" s="85">
        <f t="shared" ca="1" si="11"/>
        <v>0.92961937562041175</v>
      </c>
      <c r="BC19" s="85">
        <f t="shared" ca="1" si="12"/>
        <v>52</v>
      </c>
    </row>
    <row r="20" spans="1:63" ht="16.5" x14ac:dyDescent="0.3">
      <c r="A20" s="9">
        <v>18</v>
      </c>
      <c r="B20" s="100">
        <v>35</v>
      </c>
      <c r="C20" s="101">
        <v>50</v>
      </c>
      <c r="D20" s="102">
        <v>55</v>
      </c>
      <c r="E20" s="142">
        <v>50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23.688171359423979</v>
      </c>
      <c r="AP20" s="88">
        <f ca="1">SMALL($AO$3:$AO$30,ROWS(AO$3:AO20))</f>
        <v>26.655002386071686</v>
      </c>
      <c r="AQ20" s="110">
        <f t="shared" ca="1" si="8"/>
        <v>1.5440395078513633</v>
      </c>
      <c r="AR20" s="110">
        <f t="shared" si="13"/>
        <v>1.5</v>
      </c>
      <c r="AS20" s="78">
        <f t="shared" ca="1" si="9"/>
        <v>42</v>
      </c>
      <c r="AT20" s="78">
        <f t="shared" ca="1" si="10"/>
        <v>0.41839077396509783</v>
      </c>
      <c r="AU20" s="78">
        <f ca="1">INDEX($AS$3:$AS$30,MATCH(SMALL($AT$3:$AT$30,ROWS(AT$3:AT20)),$AT$3:$AT$30,0))</f>
        <v>47</v>
      </c>
      <c r="AV20" s="78">
        <f ca="1">SMALL($AS$3:$AS$30,ROWS(AV$3:AV20))</f>
        <v>54</v>
      </c>
      <c r="AW20" s="85">
        <f ca="1">VLOOKUP(SMALL($BB$17:$BB$30,AX20),$BB$17:$BC$30,2,0)</f>
        <v>52</v>
      </c>
      <c r="AX20" s="85">
        <f t="shared" si="14"/>
        <v>9</v>
      </c>
      <c r="BA20" s="85">
        <v>18</v>
      </c>
      <c r="BB20" s="85">
        <f t="shared" ca="1" si="11"/>
        <v>0.47248585078956506</v>
      </c>
      <c r="BC20" s="85">
        <f t="shared" ca="1" si="12"/>
        <v>54</v>
      </c>
    </row>
    <row r="21" spans="1:63" ht="16.5" x14ac:dyDescent="0.3">
      <c r="A21" s="9">
        <v>19</v>
      </c>
      <c r="B21" s="100">
        <v>46</v>
      </c>
      <c r="C21" s="101">
        <v>52</v>
      </c>
      <c r="D21" s="102">
        <v>78</v>
      </c>
      <c r="E21" s="142">
        <v>59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29.908154960004559</v>
      </c>
      <c r="AP21" s="88">
        <f ca="1">SMALL($AO$3:$AO$30,ROWS(AO$3:AO21))</f>
        <v>26.665107485242345</v>
      </c>
      <c r="AQ21" s="110">
        <f t="shared" ca="1" si="8"/>
        <v>2.6588431025956574</v>
      </c>
      <c r="AR21" s="110">
        <f t="shared" si="13"/>
        <v>2</v>
      </c>
      <c r="AS21" s="78">
        <f t="shared" ca="1" si="9"/>
        <v>71</v>
      </c>
      <c r="AT21" s="78">
        <f t="shared" ca="1" si="10"/>
        <v>0.73918009113086425</v>
      </c>
      <c r="AU21" s="78">
        <f ca="1">INDEX($AS$3:$AS$30,MATCH(SMALL($AT$3:$AT$30,ROWS(AT$3:AT21)),$AT$3:$AT$30,0))</f>
        <v>51</v>
      </c>
      <c r="AV21" s="78">
        <f ca="1">SMALL($AS$3:$AS$30,ROWS(AV$3:AV21))</f>
        <v>54</v>
      </c>
      <c r="AW21" s="85">
        <f ca="1">VLOOKUP(SMALL($BB$17:$BB$30,AX21),$BB$17:$BC$30,2,0)</f>
        <v>55</v>
      </c>
      <c r="AX21" s="85">
        <f t="shared" si="14"/>
        <v>10</v>
      </c>
      <c r="BA21" s="85">
        <v>19</v>
      </c>
      <c r="BB21" s="85">
        <f t="shared" ca="1" si="11"/>
        <v>0.56628765668122161</v>
      </c>
      <c r="BC21" s="85">
        <f t="shared" ca="1" si="12"/>
        <v>54</v>
      </c>
    </row>
    <row r="22" spans="1:63" ht="16.5" x14ac:dyDescent="0.3">
      <c r="A22" s="9">
        <v>20</v>
      </c>
      <c r="B22" s="100">
        <v>78</v>
      </c>
      <c r="C22" s="101">
        <v>52</v>
      </c>
      <c r="D22" s="102">
        <v>43</v>
      </c>
      <c r="E22" s="142">
        <v>33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29.626860126107175</v>
      </c>
      <c r="AP22" s="88">
        <f ca="1">SMALL($AO$3:$AO$30,ROWS(AO$3:AO22))</f>
        <v>27.767239847442053</v>
      </c>
      <c r="AQ22" s="110">
        <f t="shared" ca="1" si="8"/>
        <v>1.9469162305386687</v>
      </c>
      <c r="AR22" s="110">
        <f t="shared" si="13"/>
        <v>1</v>
      </c>
      <c r="AS22" s="78">
        <f t="shared" ca="1" si="9"/>
        <v>55</v>
      </c>
      <c r="AT22" s="78">
        <f t="shared" ca="1" si="10"/>
        <v>0.60617457874297231</v>
      </c>
      <c r="AU22" s="78">
        <f ca="1">INDEX($AS$3:$AS$30,MATCH(SMALL($AT$3:$AT$30,ROWS(AT$3:AT22)),$AT$3:$AT$30,0))</f>
        <v>49</v>
      </c>
      <c r="AV22" s="78">
        <f ca="1">SMALL($AS$3:$AS$30,ROWS(AV$3:AV22))</f>
        <v>55</v>
      </c>
      <c r="AW22" s="85">
        <f ca="1">VLOOKUP(SMALL($BB$3:$BB$16,AX22),$BB$3:$BC$30,2,0)</f>
        <v>47</v>
      </c>
      <c r="AX22" s="85">
        <f t="shared" si="14"/>
        <v>10</v>
      </c>
      <c r="BA22" s="85">
        <v>20</v>
      </c>
      <c r="BB22" s="85">
        <f t="shared" ca="1" si="11"/>
        <v>0.71817023137154834</v>
      </c>
      <c r="BC22" s="85">
        <f t="shared" ca="1" si="12"/>
        <v>55</v>
      </c>
    </row>
    <row r="23" spans="1:63" ht="16.5" x14ac:dyDescent="0.3">
      <c r="A23" s="9">
        <v>21</v>
      </c>
      <c r="B23" s="100">
        <v>38</v>
      </c>
      <c r="C23" s="101">
        <v>55</v>
      </c>
      <c r="D23" s="102">
        <v>32</v>
      </c>
      <c r="E23" s="142">
        <v>38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23.278115325159543</v>
      </c>
      <c r="AP23" s="88">
        <f ca="1">SMALL($AO$3:$AO$30,ROWS(AO$3:AO23))</f>
        <v>28.215167002866576</v>
      </c>
      <c r="AQ23" s="110">
        <f t="shared" ca="1" si="8"/>
        <v>1.2842744025620842</v>
      </c>
      <c r="AR23" s="110">
        <f t="shared" si="13"/>
        <v>1</v>
      </c>
      <c r="AS23" s="78">
        <f t="shared" ca="1" si="9"/>
        <v>37</v>
      </c>
      <c r="AT23" s="78">
        <f t="shared" ca="1" si="10"/>
        <v>0.17410708788164109</v>
      </c>
      <c r="AU23" s="78">
        <f ca="1">INDEX($AS$3:$AS$30,MATCH(SMALL($AT$3:$AT$30,ROWS(AT$3:AT23)),$AT$3:$AT$30,0))</f>
        <v>55</v>
      </c>
      <c r="AV23" s="78">
        <f ca="1">SMALL($AS$3:$AS$30,ROWS(AV$3:AV23))</f>
        <v>56</v>
      </c>
      <c r="AW23" s="85">
        <f ca="1">VLOOKUP(SMALL($BB$3:$BB$16,AX23),$BB$3:$BC$30,2,0)</f>
        <v>42</v>
      </c>
      <c r="AX23" s="85">
        <f t="shared" si="14"/>
        <v>11</v>
      </c>
      <c r="BA23" s="85">
        <v>21</v>
      </c>
      <c r="BB23" s="85">
        <f t="shared" ca="1" si="11"/>
        <v>0.32178047384041375</v>
      </c>
      <c r="BC23" s="85">
        <f t="shared" ca="1" si="12"/>
        <v>56</v>
      </c>
    </row>
    <row r="24" spans="1:63" ht="16.5" x14ac:dyDescent="0.3">
      <c r="A24" s="9">
        <v>22</v>
      </c>
      <c r="B24" s="100">
        <v>39</v>
      </c>
      <c r="C24" s="101">
        <v>59</v>
      </c>
      <c r="D24" s="102">
        <v>60</v>
      </c>
      <c r="E24" s="142">
        <v>52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15.837113657253342</v>
      </c>
      <c r="AP24" s="88">
        <f ca="1">SMALL($AO$3:$AO$30,ROWS(AO$3:AO24))</f>
        <v>28.539712277516323</v>
      </c>
      <c r="AQ24" s="110">
        <f t="shared" ca="1" si="8"/>
        <v>2.3510883160133287</v>
      </c>
      <c r="AR24" s="110">
        <f t="shared" si="13"/>
        <v>1.5</v>
      </c>
      <c r="AS24" s="78">
        <f t="shared" ca="1" si="9"/>
        <v>68</v>
      </c>
      <c r="AT24" s="78">
        <f t="shared" ca="1" si="10"/>
        <v>0.77517090676014244</v>
      </c>
      <c r="AU24" s="78">
        <f ca="1">INDEX($AS$3:$AS$30,MATCH(SMALL($AT$3:$AT$30,ROWS(AT$3:AT24)),$AT$3:$AT$30,0))</f>
        <v>34</v>
      </c>
      <c r="AV24" s="78">
        <f ca="1">SMALL($AS$3:$AS$30,ROWS(AV$3:AV24))</f>
        <v>61</v>
      </c>
      <c r="AW24" s="85">
        <f ca="1">VLOOKUP(SMALL($BB$17:$BB$30,AX24),$BB$17:$BC$30,2,0)</f>
        <v>61</v>
      </c>
      <c r="AX24" s="85">
        <f t="shared" si="14"/>
        <v>11</v>
      </c>
      <c r="BA24" s="85">
        <v>22</v>
      </c>
      <c r="BB24" s="85">
        <f t="shared" ca="1" si="11"/>
        <v>0.78897629645296419</v>
      </c>
      <c r="BC24" s="85">
        <f t="shared" ca="1" si="12"/>
        <v>61</v>
      </c>
    </row>
    <row r="25" spans="1:63" ht="16.5" x14ac:dyDescent="0.3">
      <c r="A25" s="9">
        <v>23</v>
      </c>
      <c r="B25" s="100">
        <v>45</v>
      </c>
      <c r="C25" s="101">
        <v>60</v>
      </c>
      <c r="D25" s="102">
        <v>71</v>
      </c>
      <c r="E25" s="142">
        <v>60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26.665107485242345</v>
      </c>
      <c r="AP25" s="88">
        <f ca="1">SMALL($AO$3:$AO$30,ROWS(AO$3:AO25))</f>
        <v>29.626860126107175</v>
      </c>
      <c r="AQ25" s="110">
        <f t="shared" ca="1" si="8"/>
        <v>2.7761469103956431</v>
      </c>
      <c r="AR25" s="110">
        <f t="shared" si="13"/>
        <v>2</v>
      </c>
      <c r="AS25" s="78">
        <f t="shared" ca="1" si="9"/>
        <v>83</v>
      </c>
      <c r="AT25" s="78">
        <f t="shared" ca="1" si="10"/>
        <v>0.4190877942521789</v>
      </c>
      <c r="AU25" s="78">
        <f ca="1">INDEX($AS$3:$AS$30,MATCH(SMALL($AT$3:$AT$30,ROWS(AT$3:AT25)),$AT$3:$AT$30,0))</f>
        <v>52</v>
      </c>
      <c r="AV25" s="78">
        <f ca="1">SMALL($AS$3:$AS$30,ROWS(AV$3:AV25))</f>
        <v>67</v>
      </c>
      <c r="AW25" s="85">
        <f ca="1">VLOOKUP(SMALL($BB$17:$BB$30,AX25),$BB$17:$BC$30,2,0)</f>
        <v>77</v>
      </c>
      <c r="AX25" s="85">
        <f t="shared" si="14"/>
        <v>12</v>
      </c>
      <c r="BA25" s="85">
        <v>23</v>
      </c>
      <c r="BB25" s="85">
        <f t="shared" ca="1" si="11"/>
        <v>0.29823861541793228</v>
      </c>
      <c r="BC25" s="85">
        <f t="shared" ca="1" si="12"/>
        <v>67</v>
      </c>
    </row>
    <row r="26" spans="1:63" ht="16.5" x14ac:dyDescent="0.3">
      <c r="A26" s="9">
        <v>24</v>
      </c>
      <c r="B26" s="100">
        <v>66</v>
      </c>
      <c r="C26" s="101">
        <v>64</v>
      </c>
      <c r="D26" s="102">
        <v>39</v>
      </c>
      <c r="E26" s="142">
        <v>45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26.250910305843963</v>
      </c>
      <c r="AP26" s="88">
        <f ca="1">SMALL($AO$3:$AO$30,ROWS(AO$3:AO26))</f>
        <v>29.908154960004559</v>
      </c>
      <c r="AQ26" s="110">
        <f t="shared" ca="1" si="8"/>
        <v>1.4020310860332565</v>
      </c>
      <c r="AR26" s="110">
        <f t="shared" si="13"/>
        <v>1</v>
      </c>
      <c r="AS26" s="78">
        <f t="shared" ca="1" si="9"/>
        <v>42</v>
      </c>
      <c r="AT26" s="78">
        <f t="shared" ca="1" si="10"/>
        <v>0.22789751357837973</v>
      </c>
      <c r="AU26" s="78">
        <f ca="1">INDEX($AS$3:$AS$30,MATCH(SMALL($AT$3:$AT$30,ROWS(AT$3:AT26)),$AT$3:$AT$30,0))</f>
        <v>71</v>
      </c>
      <c r="AV26" s="78">
        <f ca="1">SMALL($AS$3:$AS$30,ROWS(AV$3:AV26))</f>
        <v>68</v>
      </c>
      <c r="AW26" s="85">
        <f ca="1">VLOOKUP(SMALL($BB$3:$BB$16,AX26),$BB$3:$BC$30,2,0)</f>
        <v>47</v>
      </c>
      <c r="AX26" s="85">
        <f t="shared" si="14"/>
        <v>12</v>
      </c>
      <c r="BA26" s="85">
        <v>24</v>
      </c>
      <c r="BB26" s="85">
        <f t="shared" ca="1" si="11"/>
        <v>0.44815356887278879</v>
      </c>
      <c r="BC26" s="85">
        <f t="shared" ca="1" si="12"/>
        <v>68</v>
      </c>
    </row>
    <row r="27" spans="1:63" ht="16.5" x14ac:dyDescent="0.3">
      <c r="A27" s="9">
        <v>25</v>
      </c>
      <c r="B27" s="100">
        <v>40</v>
      </c>
      <c r="C27" s="101">
        <v>66</v>
      </c>
      <c r="D27" s="102">
        <v>59</v>
      </c>
      <c r="E27" s="142">
        <v>39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20.488474762462946</v>
      </c>
      <c r="AP27" s="88">
        <f ca="1">SMALL($AO$3:$AO$30,ROWS(AO$3:AO27))</f>
        <v>30.61842226334447</v>
      </c>
      <c r="AQ27" s="110">
        <f t="shared" ca="1" si="8"/>
        <v>1.7511916774377947</v>
      </c>
      <c r="AR27" s="110">
        <f t="shared" si="13"/>
        <v>1</v>
      </c>
      <c r="AS27" s="78">
        <f t="shared" ca="1" si="9"/>
        <v>54</v>
      </c>
      <c r="AT27" s="78">
        <f t="shared" ca="1" si="10"/>
        <v>0.4823162615527028</v>
      </c>
      <c r="AU27" s="78">
        <f ca="1">INDEX($AS$3:$AS$30,MATCH(SMALL($AT$3:$AT$30,ROWS(AT$3:AT27)),$AT$3:$AT$30,0))</f>
        <v>68</v>
      </c>
      <c r="AV27" s="78">
        <f ca="1">SMALL($AS$3:$AS$30,ROWS(AV$3:AV27))</f>
        <v>71</v>
      </c>
      <c r="AW27" s="85">
        <f ca="1">VLOOKUP(SMALL($BB$3:$BB$16,AX27),$BB$3:$BC$30,2,0)</f>
        <v>42</v>
      </c>
      <c r="AX27" s="85">
        <f t="shared" si="14"/>
        <v>13</v>
      </c>
      <c r="BA27" s="85">
        <v>25</v>
      </c>
      <c r="BB27" s="85">
        <f t="shared" ca="1" si="11"/>
        <v>0.54869914796915553</v>
      </c>
      <c r="BC27" s="85">
        <f t="shared" ca="1" si="12"/>
        <v>71</v>
      </c>
    </row>
    <row r="28" spans="1:63" ht="16.5" x14ac:dyDescent="0.3">
      <c r="A28" s="9">
        <v>26</v>
      </c>
      <c r="B28" s="100">
        <v>43</v>
      </c>
      <c r="C28" s="101">
        <v>71</v>
      </c>
      <c r="D28" s="102">
        <v>52</v>
      </c>
      <c r="E28" s="142">
        <v>52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25.24002737590304</v>
      </c>
      <c r="AP28" s="88">
        <f ca="1">SMALL($AO$3:$AO$30,ROWS(AO$3:AO28))</f>
        <v>32.385677287676167</v>
      </c>
      <c r="AQ28" s="110">
        <f t="shared" ca="1" si="8"/>
        <v>2.3636517270433455</v>
      </c>
      <c r="AR28" s="110">
        <f t="shared" si="13"/>
        <v>1.5</v>
      </c>
      <c r="AS28" s="78">
        <f t="shared" ca="1" si="9"/>
        <v>77</v>
      </c>
      <c r="AT28" s="78">
        <f t="shared" ca="1" si="10"/>
        <v>0.78041003987890356</v>
      </c>
      <c r="AU28" s="78">
        <f ca="1">INDEX($AS$3:$AS$30,MATCH(SMALL($AT$3:$AT$30,ROWS(AT$3:AT28)),$AT$3:$AT$30,0))</f>
        <v>77</v>
      </c>
      <c r="AV28" s="78">
        <f ca="1">SMALL($AS$3:$AS$30,ROWS(AV$3:AV28))</f>
        <v>77</v>
      </c>
      <c r="AW28" s="85">
        <f ca="1">VLOOKUP(SMALL($BB$17:$BB$30,AX28),$BB$17:$BC$30,2,0)</f>
        <v>83</v>
      </c>
      <c r="AX28" s="85">
        <f t="shared" si="14"/>
        <v>13</v>
      </c>
      <c r="BA28" s="85">
        <v>26</v>
      </c>
      <c r="BB28" s="85">
        <f t="shared" ca="1" si="11"/>
        <v>0.85722171822594573</v>
      </c>
      <c r="BC28" s="85">
        <f t="shared" ca="1" si="12"/>
        <v>77</v>
      </c>
    </row>
    <row r="29" spans="1:63" ht="16.5" x14ac:dyDescent="0.3">
      <c r="A29" s="9">
        <v>27</v>
      </c>
      <c r="B29" s="100">
        <v>55</v>
      </c>
      <c r="C29" s="101">
        <v>78</v>
      </c>
      <c r="D29" s="102">
        <v>89</v>
      </c>
      <c r="E29" s="142">
        <v>89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25.779072015810314</v>
      </c>
      <c r="AP29" s="88">
        <f ca="1">SMALL($AO$3:$AO$30,ROWS(AO$3:AO29))</f>
        <v>33.667877164474682</v>
      </c>
      <c r="AQ29" s="110">
        <f t="shared" ca="1" si="8"/>
        <v>2.9386810967263362</v>
      </c>
      <c r="AR29" s="110">
        <f t="shared" si="13"/>
        <v>2</v>
      </c>
      <c r="AS29" s="78">
        <f t="shared" ca="1" si="9"/>
        <v>99</v>
      </c>
      <c r="AT29" s="78">
        <f t="shared" ca="1" si="10"/>
        <v>0.25669710478294838</v>
      </c>
      <c r="AU29" s="78">
        <f ca="1">INDEX($AS$3:$AS$30,MATCH(SMALL($AT$3:$AT$30,ROWS(AT$3:AT29)),$AT$3:$AT$30,0))</f>
        <v>50</v>
      </c>
      <c r="AV29" s="78">
        <f ca="1">SMALL($AS$3:$AS$30,ROWS(AV$3:AV29))</f>
        <v>83</v>
      </c>
      <c r="AW29" s="85">
        <f ca="1">VLOOKUP(SMALL($BB$17:$BB$30,AX29),$BB$17:$BC$30,2,0)</f>
        <v>52</v>
      </c>
      <c r="AX29" s="85">
        <f t="shared" si="14"/>
        <v>14</v>
      </c>
      <c r="BA29" s="85">
        <v>27</v>
      </c>
      <c r="BB29" s="85">
        <f t="shared" ca="1" si="11"/>
        <v>0.91984747100958797</v>
      </c>
      <c r="BC29" s="85">
        <f t="shared" ca="1" si="12"/>
        <v>83</v>
      </c>
    </row>
    <row r="30" spans="1:63" ht="16.5" x14ac:dyDescent="0.3">
      <c r="A30" s="9">
        <v>28</v>
      </c>
      <c r="B30" s="100">
        <v>48</v>
      </c>
      <c r="C30" s="101">
        <v>89</v>
      </c>
      <c r="D30" s="102">
        <v>40</v>
      </c>
      <c r="E30" s="142">
        <v>43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33.667877164474682</v>
      </c>
      <c r="AP30" s="88">
        <f ca="1">SMALL($AO$3:$AO$30,ROWS(AO$3:AO30))</f>
        <v>34.860146395700241</v>
      </c>
      <c r="AQ30" s="110">
        <f t="shared" ca="1" si="8"/>
        <v>1.3479723583414054</v>
      </c>
      <c r="AR30" s="110">
        <f t="shared" si="13"/>
        <v>1</v>
      </c>
      <c r="AS30" s="78">
        <f t="shared" ca="1" si="9"/>
        <v>47</v>
      </c>
      <c r="AT30" s="78">
        <f t="shared" ca="1" si="10"/>
        <v>0.15287409490604642</v>
      </c>
      <c r="AU30" s="78">
        <f ca="1">INDEX($AS$3:$AS$30,MATCH(SMALL($AT$3:$AT$30,ROWS(AT$3:AT30)),$AT$3:$AT$30,0))</f>
        <v>47</v>
      </c>
      <c r="AV30" s="78">
        <f ca="1">SMALL($AS$3:$AS$30,ROWS(AV$3:AV30))</f>
        <v>99</v>
      </c>
      <c r="AW30" s="85">
        <f ca="1">VLOOKUP(SMALL($BB$3:$BB$16,AX30),$BB$3:$BC$30,2,0)</f>
        <v>49</v>
      </c>
      <c r="AX30" s="85">
        <f t="shared" si="14"/>
        <v>14</v>
      </c>
      <c r="BA30" s="85">
        <v>28</v>
      </c>
      <c r="BB30" s="85">
        <f t="shared" ca="1" si="11"/>
        <v>0.37650060923536621</v>
      </c>
      <c r="BC30" s="85">
        <f t="shared" ca="1" si="12"/>
        <v>99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1466</v>
      </c>
      <c r="AT32"/>
      <c r="AU32" s="78">
        <f ca="1">SUM(AU3:AU30)</f>
        <v>1466</v>
      </c>
      <c r="AV32" s="78">
        <f ca="1">SUM(AV3:AV30)</f>
        <v>1466</v>
      </c>
      <c r="AW32" s="78">
        <f ca="1">SUM(AW3:AW30)</f>
        <v>1466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1356</v>
      </c>
      <c r="C88" s="100">
        <f>SUM(C3:C86)</f>
        <v>1356</v>
      </c>
      <c r="D88" s="100">
        <f>SUM(D3:D86)</f>
        <v>1356</v>
      </c>
      <c r="E88" s="100">
        <f>SUM(E3:E86)</f>
        <v>1356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2932</v>
      </c>
      <c r="AT88" s="78">
        <f ca="1">SUM(AT3:AT86)</f>
        <v>12.081818283391947</v>
      </c>
      <c r="AU88" s="78">
        <f ca="1">SUM(AU3:AU86)</f>
        <v>2932</v>
      </c>
      <c r="AV88" s="78">
        <f ca="1">SUM(AV3:AV86)</f>
        <v>2932</v>
      </c>
      <c r="AW88" s="78">
        <f ca="1">SUM(AW3:AW86)</f>
        <v>2932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33</v>
      </c>
      <c r="C98" s="69">
        <f>SUM(C$3:C3)</f>
        <v>17</v>
      </c>
      <c r="D98" s="69">
        <f>SUM(D$3:D3)</f>
        <v>17</v>
      </c>
      <c r="E98" s="69">
        <f>SUM(E$3:E3)</f>
        <v>32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72</v>
      </c>
      <c r="C99" s="69">
        <f>SUM(C$3:C4)</f>
        <v>39</v>
      </c>
      <c r="D99" s="69">
        <f>SUM(D$3:D4)</f>
        <v>55</v>
      </c>
      <c r="E99" s="69">
        <f>SUM(E$3:E4)</f>
        <v>87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124</v>
      </c>
      <c r="C100" s="69">
        <f>SUM(C$3:C5)</f>
        <v>71</v>
      </c>
      <c r="D100" s="69">
        <f>SUM(D$3:D5)</f>
        <v>107</v>
      </c>
      <c r="E100" s="69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167</v>
      </c>
      <c r="C101" s="69">
        <f>SUM(C$3:C6)</f>
        <v>104</v>
      </c>
      <c r="D101" s="69">
        <f>SUM(D$3:D6)</f>
        <v>142</v>
      </c>
      <c r="E101" s="69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199</v>
      </c>
      <c r="C102" s="69">
        <f>SUM(C$3:C7)</f>
        <v>139</v>
      </c>
      <c r="D102" s="69">
        <f>SUM(D$3:D7)</f>
        <v>164</v>
      </c>
      <c r="E102" s="69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221</v>
      </c>
      <c r="C103" s="69">
        <f>SUM(C$3:C8)</f>
        <v>177</v>
      </c>
      <c r="D103" s="69">
        <f>SUM(D$3:D8)</f>
        <v>207</v>
      </c>
      <c r="E103" s="69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268</v>
      </c>
      <c r="C104" s="69">
        <f>SUM(C$3:C9)</f>
        <v>216</v>
      </c>
      <c r="D104" s="69">
        <f>SUM(D$3:D9)</f>
        <v>257</v>
      </c>
      <c r="E104" s="69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357</v>
      </c>
      <c r="C105" s="69">
        <f>SUM(C$3:C10)</f>
        <v>255</v>
      </c>
      <c r="D105" s="69">
        <f>SUM(D$3:D10)</f>
        <v>296</v>
      </c>
      <c r="E105" s="69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409</v>
      </c>
      <c r="C106" s="69">
        <f>SUM(C$3:C11)</f>
        <v>295</v>
      </c>
      <c r="D106" s="69">
        <f>SUM(D$3:D11)</f>
        <v>342</v>
      </c>
      <c r="E106" s="69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480</v>
      </c>
      <c r="C107" s="69">
        <f>SUM(C$3:C12)</f>
        <v>338</v>
      </c>
      <c r="D107" s="69">
        <f>SUM(D$3:D12)</f>
        <v>390</v>
      </c>
      <c r="E107" s="69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525</v>
      </c>
      <c r="C108" s="69">
        <f>SUM(C$3:C13)</f>
        <v>381</v>
      </c>
      <c r="D108" s="69">
        <f>SUM(D$3:D13)</f>
        <v>456</v>
      </c>
      <c r="E108" s="69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589</v>
      </c>
      <c r="C109" s="69">
        <f>SUM(C$3:C14)</f>
        <v>426</v>
      </c>
      <c r="D109" s="69">
        <f>SUM(D$3:D14)</f>
        <v>504</v>
      </c>
      <c r="E109" s="69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648</v>
      </c>
      <c r="C110" s="69">
        <f>SUM(C$3:C15)</f>
        <v>471</v>
      </c>
      <c r="D110" s="69">
        <f>SUM(D$3:D15)</f>
        <v>549</v>
      </c>
      <c r="E110" s="69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696</v>
      </c>
      <c r="C111" s="69">
        <f>SUM(C$3:C16)</f>
        <v>517</v>
      </c>
      <c r="D111" s="69">
        <f>SUM(D$3:D16)</f>
        <v>594</v>
      </c>
      <c r="E111" s="69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756</v>
      </c>
      <c r="C112" s="69">
        <f>SUM(C$3:C17)</f>
        <v>564</v>
      </c>
      <c r="D112" s="69">
        <f>SUM(D$3:D17)</f>
        <v>658</v>
      </c>
      <c r="E112" s="69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773</v>
      </c>
      <c r="C113" s="69">
        <f>SUM(C$3:C18)</f>
        <v>612</v>
      </c>
      <c r="D113" s="69">
        <f>SUM(D$3:D18)</f>
        <v>691</v>
      </c>
      <c r="E113" s="69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823</v>
      </c>
      <c r="C114" s="69">
        <f>SUM(C$3:C19)</f>
        <v>660</v>
      </c>
      <c r="D114" s="69">
        <f>SUM(D$3:D19)</f>
        <v>738</v>
      </c>
      <c r="E114" s="69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858</v>
      </c>
      <c r="C115" s="69">
        <f>SUM(C$3:C20)</f>
        <v>710</v>
      </c>
      <c r="D115" s="69">
        <f>SUM(D$3:D20)</f>
        <v>793</v>
      </c>
      <c r="E115" s="69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904</v>
      </c>
      <c r="C116" s="69">
        <f>SUM(C$3:C21)</f>
        <v>762</v>
      </c>
      <c r="D116" s="69">
        <f>SUM(D$3:D21)</f>
        <v>871</v>
      </c>
      <c r="E116" s="69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982</v>
      </c>
      <c r="C117" s="69">
        <f>SUM(C$3:C22)</f>
        <v>814</v>
      </c>
      <c r="D117" s="69">
        <f>SUM(D$3:D22)</f>
        <v>914</v>
      </c>
      <c r="E117" s="69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1020</v>
      </c>
      <c r="C118" s="69">
        <f>SUM(C$3:C23)</f>
        <v>869</v>
      </c>
      <c r="D118" s="69">
        <f>SUM(D$3:D23)</f>
        <v>946</v>
      </c>
      <c r="E118" s="69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1059</v>
      </c>
      <c r="C119" s="69">
        <f>SUM(C$3:C24)</f>
        <v>928</v>
      </c>
      <c r="D119" s="69">
        <f>SUM(D$3:D24)</f>
        <v>1006</v>
      </c>
      <c r="E119" s="69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1104</v>
      </c>
      <c r="C120" s="69">
        <f>SUM(C$3:C25)</f>
        <v>988</v>
      </c>
      <c r="D120" s="69">
        <f>SUM(D$3:D25)</f>
        <v>1077</v>
      </c>
      <c r="E120" s="69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1170</v>
      </c>
      <c r="C121" s="69">
        <f>SUM(C$3:C26)</f>
        <v>1052</v>
      </c>
      <c r="D121" s="69">
        <f>SUM(D$3:D26)</f>
        <v>1116</v>
      </c>
      <c r="E121" s="69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1210</v>
      </c>
      <c r="C122" s="69">
        <f>SUM(C$3:C27)</f>
        <v>1118</v>
      </c>
      <c r="D122" s="69">
        <f>SUM(D$3:D27)</f>
        <v>1175</v>
      </c>
      <c r="E122" s="69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1253</v>
      </c>
      <c r="C123" s="69">
        <f>SUM(C$3:C28)</f>
        <v>1189</v>
      </c>
      <c r="D123" s="69">
        <f>SUM(D$3:D28)</f>
        <v>1227</v>
      </c>
      <c r="E123" s="69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1308</v>
      </c>
      <c r="C124" s="69">
        <f>SUM(C$3:C29)</f>
        <v>1267</v>
      </c>
      <c r="D124" s="69">
        <f>SUM(D$3:D29)</f>
        <v>1316</v>
      </c>
      <c r="E124" s="69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1356</v>
      </c>
      <c r="C125" s="69">
        <f>SUM(C$3:C30)</f>
        <v>1356</v>
      </c>
      <c r="D125" s="69">
        <f>SUM(D$3:D30)</f>
        <v>1356</v>
      </c>
      <c r="E125" s="69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22FC-58E2-4630-B2D4-EF1F34DC1202}">
  <dimension ref="A1:BK307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85" bestFit="1" customWidth="1"/>
    <col min="2" max="2" width="9.7109375" style="85" bestFit="1" customWidth="1"/>
    <col min="3" max="3" width="6.7109375" style="85" bestFit="1" customWidth="1"/>
    <col min="4" max="4" width="11.7109375" style="85" bestFit="1" customWidth="1"/>
    <col min="5" max="5" width="9.140625" style="85" customWidth="1"/>
    <col min="6" max="6" width="13" style="85" customWidth="1"/>
    <col min="7" max="8" width="5.85546875" style="85" customWidth="1"/>
    <col min="9" max="9" width="9.7109375" style="85" customWidth="1"/>
    <col min="10" max="10" width="6" style="85" bestFit="1" customWidth="1"/>
    <col min="11" max="11" width="4.85546875" style="85" bestFit="1" customWidth="1"/>
    <col min="12" max="12" width="8.7109375" style="85" bestFit="1" customWidth="1"/>
    <col min="13" max="13" width="9.140625" style="85"/>
    <col min="14" max="14" width="12.140625" style="85" bestFit="1" customWidth="1"/>
    <col min="15" max="15" width="13.85546875" style="85" bestFit="1" customWidth="1"/>
    <col min="16" max="16" width="12.42578125" style="85" bestFit="1" customWidth="1"/>
    <col min="17" max="17" width="12.140625" style="85" bestFit="1" customWidth="1"/>
    <col min="18" max="21" width="9.28515625" style="85" bestFit="1" customWidth="1"/>
    <col min="22" max="23" width="9.140625" style="85"/>
    <col min="24" max="24" width="9.28515625" style="85" bestFit="1" customWidth="1"/>
    <col min="25" max="35" width="9.140625" style="85"/>
    <col min="36" max="36" width="9.140625" style="85" customWidth="1"/>
    <col min="37" max="39" width="9.140625" style="85"/>
    <col min="40" max="40" width="9.28515625" style="85" bestFit="1" customWidth="1"/>
    <col min="41" max="41" width="14" style="85" customWidth="1"/>
    <col min="42" max="42" width="12.28515625" style="85" customWidth="1"/>
    <col min="43" max="43" width="10.140625" style="85" bestFit="1" customWidth="1"/>
    <col min="44" max="44" width="10.140625" style="85" customWidth="1"/>
    <col min="45" max="47" width="9.28515625" style="85" customWidth="1"/>
    <col min="48" max="48" width="9.28515625" style="85" bestFit="1" customWidth="1"/>
    <col min="49" max="49" width="12.28515625" style="85" bestFit="1" customWidth="1"/>
    <col min="50" max="16384" width="9.140625" style="85"/>
  </cols>
  <sheetData>
    <row r="1" spans="1:55" ht="17.25" thickBot="1" x14ac:dyDescent="0.35">
      <c r="A1" s="79" t="s">
        <v>17</v>
      </c>
      <c r="B1" s="80"/>
      <c r="C1" s="81"/>
      <c r="D1" s="80"/>
      <c r="E1" s="165"/>
      <c r="F1" s="82" t="s">
        <v>5</v>
      </c>
      <c r="G1" s="82" t="s">
        <v>6</v>
      </c>
      <c r="H1" s="83" t="s">
        <v>7</v>
      </c>
      <c r="I1" s="136" t="s">
        <v>8</v>
      </c>
      <c r="J1" s="84" t="s">
        <v>9</v>
      </c>
      <c r="K1" s="84" t="s">
        <v>10</v>
      </c>
      <c r="L1" s="84" t="s">
        <v>11</v>
      </c>
      <c r="N1" s="125" t="s">
        <v>86</v>
      </c>
      <c r="O1" s="127" t="s">
        <v>87</v>
      </c>
      <c r="P1" s="126" t="s">
        <v>88</v>
      </c>
      <c r="Q1" s="126" t="s">
        <v>89</v>
      </c>
      <c r="R1" s="126" t="s">
        <v>104</v>
      </c>
      <c r="S1" s="86" t="s">
        <v>23</v>
      </c>
      <c r="AN1" s="87" t="s">
        <v>18</v>
      </c>
      <c r="AO1" s="87"/>
      <c r="AP1" s="87"/>
      <c r="AQ1" s="88">
        <v>25</v>
      </c>
      <c r="AR1" s="88"/>
      <c r="AS1" s="88">
        <v>5</v>
      </c>
      <c r="AT1" s="88"/>
      <c r="AU1" s="88"/>
      <c r="AW1" s="88"/>
      <c r="AX1" s="78"/>
    </row>
    <row r="2" spans="1:55" ht="17.25" thickBot="1" x14ac:dyDescent="0.35">
      <c r="A2" s="89" t="s">
        <v>4</v>
      </c>
      <c r="B2" s="90" t="s">
        <v>106</v>
      </c>
      <c r="C2" s="91" t="s">
        <v>19</v>
      </c>
      <c r="D2" s="92" t="s">
        <v>22</v>
      </c>
      <c r="E2" s="85" t="s">
        <v>107</v>
      </c>
      <c r="F2" s="94" t="str">
        <f t="shared" ref="F2:F14" si="0">G2&amp;" - "&amp;H2</f>
        <v>18 - 24</v>
      </c>
      <c r="G2" s="164">
        <f>Y4</f>
        <v>18</v>
      </c>
      <c r="H2" s="96">
        <f t="shared" ref="H2:H14" si="1">G2+$Y$3</f>
        <v>24</v>
      </c>
      <c r="I2" s="137">
        <f t="shared" ref="I2:I14" si="2">COUNTIF($B$3:$B$86, "&lt;"&amp;H2)</f>
        <v>1</v>
      </c>
      <c r="J2" s="97">
        <f>I2</f>
        <v>1</v>
      </c>
      <c r="K2" s="98">
        <f t="shared" ref="K2:K14" si="3">J2/$J$15</f>
        <v>3.5714285714285712E-2</v>
      </c>
      <c r="L2" s="99">
        <f t="shared" ref="L2:L14" si="4">I2/$J$15</f>
        <v>3.5714285714285712E-2</v>
      </c>
      <c r="N2" s="163" t="s">
        <v>12</v>
      </c>
      <c r="O2" s="162">
        <f>AVERAGE($B$3:$B$86)</f>
        <v>49.821428571428569</v>
      </c>
      <c r="P2" s="162">
        <f>AVERAGE($B$3:$B$86)</f>
        <v>49.821428571428569</v>
      </c>
      <c r="Q2" s="162">
        <f>AVERAGE($B$3:$B$86)</f>
        <v>49.821428571428569</v>
      </c>
      <c r="R2" s="162">
        <f>AVERAGE($D$3:$D$86)</f>
        <v>49.821428571428569</v>
      </c>
      <c r="V2" s="85" t="s">
        <v>94</v>
      </c>
      <c r="Y2" s="85">
        <f>ROUND(O6/10,0)</f>
        <v>6</v>
      </c>
      <c r="AN2" s="88"/>
      <c r="AO2" s="88" t="s">
        <v>99</v>
      </c>
      <c r="AP2" s="88" t="s">
        <v>100</v>
      </c>
      <c r="AQ2" s="78" t="s">
        <v>20</v>
      </c>
      <c r="AR2" s="78" t="s">
        <v>110</v>
      </c>
      <c r="AS2" s="92" t="s">
        <v>108</v>
      </c>
      <c r="AT2" s="78" t="s">
        <v>102</v>
      </c>
      <c r="AU2" s="90" t="s">
        <v>103</v>
      </c>
      <c r="AV2" s="91" t="s">
        <v>19</v>
      </c>
      <c r="AW2" s="85" t="s">
        <v>105</v>
      </c>
    </row>
    <row r="3" spans="1:55" ht="17.25" thickBot="1" x14ac:dyDescent="0.35">
      <c r="A3" s="9">
        <v>1</v>
      </c>
      <c r="B3" s="100">
        <v>40</v>
      </c>
      <c r="C3" s="101">
        <v>18</v>
      </c>
      <c r="D3" s="102">
        <v>18</v>
      </c>
      <c r="E3" s="142">
        <v>49</v>
      </c>
      <c r="F3" s="104" t="str">
        <f t="shared" si="0"/>
        <v>24 - 30</v>
      </c>
      <c r="G3" s="105">
        <f t="shared" ref="G3:G14" si="5">H2</f>
        <v>24</v>
      </c>
      <c r="H3" s="106">
        <f t="shared" si="1"/>
        <v>30</v>
      </c>
      <c r="I3" s="137">
        <f t="shared" si="2"/>
        <v>3</v>
      </c>
      <c r="J3" s="157">
        <f t="shared" ref="J3:J14" si="6">I3-I2</f>
        <v>2</v>
      </c>
      <c r="K3" s="130">
        <f t="shared" si="3"/>
        <v>7.1428571428571425E-2</v>
      </c>
      <c r="L3" s="109">
        <f t="shared" si="4"/>
        <v>0.10714285714285714</v>
      </c>
      <c r="N3" s="133" t="s">
        <v>91</v>
      </c>
      <c r="O3" s="135">
        <f>MEDIAN(B$3:B$86)</f>
        <v>51</v>
      </c>
      <c r="P3" s="135">
        <f>MEDIAN(C$3:C$86)</f>
        <v>51</v>
      </c>
      <c r="Q3" s="135">
        <f>MEDIAN(D$3:D$86)</f>
        <v>51</v>
      </c>
      <c r="R3" s="135">
        <f>MEDIAN(E$3:E$86)</f>
        <v>51</v>
      </c>
      <c r="V3" s="85" t="s">
        <v>95</v>
      </c>
      <c r="Y3" s="85">
        <f>ROUND(Y2,-LEN(Y2)+1)</f>
        <v>6</v>
      </c>
      <c r="AN3" s="88">
        <v>1</v>
      </c>
      <c r="AO3" s="88">
        <f t="shared" ref="AO3:AO30" ca="1" si="7">ABS(_xlfn.NORM.INV(RAND(),$AQ$1,$AS$1))</f>
        <v>31.487204506507798</v>
      </c>
      <c r="AP3" s="88">
        <f ca="1">SMALL($AO$3:$AO$30,ROWS(AO$3:AO3))</f>
        <v>17.101696753841683</v>
      </c>
      <c r="AQ3" s="110">
        <f t="shared" ref="AQ3:AQ30" ca="1" si="8">AR3+RAND()</f>
        <v>1.3838601636650383</v>
      </c>
      <c r="AR3" s="110">
        <v>1</v>
      </c>
      <c r="AS3" s="78">
        <f t="shared" ref="AS3:AS30" ca="1" si="9">ROUNDUP(AP3*AQ3,0)</f>
        <v>24</v>
      </c>
      <c r="AT3" s="78">
        <f t="shared" ref="AT3:AT30" ca="1" si="10">RAND()</f>
        <v>0.46704135725804652</v>
      </c>
      <c r="AU3" s="78">
        <f ca="1">INDEX($AS$3:$AS$30,MATCH(SMALL($AT$3:$AT$30,ROWS(AT$3:AT3)),$AT$3:$AT$30,0))</f>
        <v>35</v>
      </c>
      <c r="AV3" s="78">
        <f ca="1">SMALL($AS$3:$AS$30,ROWS(AV$3:AV3))</f>
        <v>24</v>
      </c>
      <c r="AW3" s="85">
        <f ca="1">VLOOKUP(SMALL($BB$3:$BB$16,AX3),$BB$3:$BC$30,2,0)</f>
        <v>44</v>
      </c>
      <c r="AX3" s="85">
        <v>1</v>
      </c>
      <c r="BA3" s="85">
        <v>1</v>
      </c>
      <c r="BB3" s="85">
        <f t="shared" ref="BB3:BB30" ca="1" si="11">RAND()</f>
        <v>0.59724583756021865</v>
      </c>
      <c r="BC3" s="85">
        <f t="shared" ref="BC3:BC30" ca="1" si="12">AV3</f>
        <v>24</v>
      </c>
    </row>
    <row r="4" spans="1:55" ht="17.25" thickBot="1" x14ac:dyDescent="0.35">
      <c r="A4" s="9">
        <v>2</v>
      </c>
      <c r="B4" s="100">
        <v>53</v>
      </c>
      <c r="C4" s="101">
        <v>25</v>
      </c>
      <c r="D4" s="102">
        <v>30</v>
      </c>
      <c r="E4" s="142">
        <v>54</v>
      </c>
      <c r="F4" s="104" t="str">
        <f t="shared" si="0"/>
        <v>30 - 36</v>
      </c>
      <c r="G4" s="105">
        <f t="shared" si="5"/>
        <v>30</v>
      </c>
      <c r="H4" s="106">
        <f t="shared" si="1"/>
        <v>36</v>
      </c>
      <c r="I4" s="137">
        <f t="shared" si="2"/>
        <v>6</v>
      </c>
      <c r="J4" s="157">
        <f t="shared" si="6"/>
        <v>3</v>
      </c>
      <c r="K4" s="130">
        <f t="shared" si="3"/>
        <v>0.10714285714285714</v>
      </c>
      <c r="L4" s="109">
        <f t="shared" si="4"/>
        <v>0.21428571428571427</v>
      </c>
      <c r="N4" s="161" t="s">
        <v>13</v>
      </c>
      <c r="O4" s="160">
        <f>MAX(B$3:B$86)</f>
        <v>81</v>
      </c>
      <c r="P4" s="160">
        <f>MAX(C$3:C$86)</f>
        <v>81</v>
      </c>
      <c r="Q4" s="160">
        <f>MAX(D$3:D$86)</f>
        <v>81</v>
      </c>
      <c r="R4" s="160">
        <f>MAX(E$3:E$86)</f>
        <v>81</v>
      </c>
      <c r="V4" s="85" t="s">
        <v>96</v>
      </c>
      <c r="Y4" s="85">
        <f>Y3*INT(O5/Y3)</f>
        <v>18</v>
      </c>
      <c r="AN4" s="88">
        <v>2</v>
      </c>
      <c r="AO4" s="88">
        <f t="shared" ca="1" si="7"/>
        <v>24.485596225713135</v>
      </c>
      <c r="AP4" s="88">
        <f ca="1">SMALL($AO$3:$AO$30,ROWS(AO$3:AO4))</f>
        <v>19.737806402466688</v>
      </c>
      <c r="AQ4" s="110">
        <f t="shared" ca="1" si="8"/>
        <v>2.2955679583178394</v>
      </c>
      <c r="AR4" s="110">
        <v>1.5</v>
      </c>
      <c r="AS4" s="78">
        <f t="shared" ca="1" si="9"/>
        <v>46</v>
      </c>
      <c r="AT4" s="78">
        <f t="shared" ca="1" si="10"/>
        <v>4.2050021781758318E-2</v>
      </c>
      <c r="AU4" s="78">
        <f ca="1">INDEX($AS$3:$AS$30,MATCH(SMALL($AT$3:$AT$30,ROWS(AT$3:AT4)),$AT$3:$AT$30,0))</f>
        <v>48</v>
      </c>
      <c r="AV4" s="78">
        <f ca="1">SMALL($AS$3:$AS$30,ROWS(AV$3:AV4))</f>
        <v>30</v>
      </c>
      <c r="AW4" s="85">
        <f ca="1">VLOOKUP(SMALL($BB$17:$BB$30,AX4),$BB$17:$BC$30,2,0)</f>
        <v>74</v>
      </c>
      <c r="AX4" s="85">
        <v>1</v>
      </c>
      <c r="BA4" s="85">
        <v>2</v>
      </c>
      <c r="BB4" s="85">
        <f t="shared" ca="1" si="11"/>
        <v>0.43198289852059901</v>
      </c>
      <c r="BC4" s="85">
        <f t="shared" ca="1" si="12"/>
        <v>30</v>
      </c>
    </row>
    <row r="5" spans="1:55" ht="17.25" thickBot="1" x14ac:dyDescent="0.35">
      <c r="A5" s="9">
        <v>3</v>
      </c>
      <c r="B5" s="100">
        <v>65</v>
      </c>
      <c r="C5" s="101">
        <v>29</v>
      </c>
      <c r="D5" s="102">
        <v>37</v>
      </c>
      <c r="E5" s="142">
        <v>73</v>
      </c>
      <c r="F5" s="104" t="str">
        <f t="shared" si="0"/>
        <v>36 - 42</v>
      </c>
      <c r="G5" s="105">
        <f t="shared" si="5"/>
        <v>36</v>
      </c>
      <c r="H5" s="106">
        <f t="shared" si="1"/>
        <v>42</v>
      </c>
      <c r="I5" s="137">
        <f t="shared" si="2"/>
        <v>10</v>
      </c>
      <c r="J5" s="157">
        <f t="shared" si="6"/>
        <v>4</v>
      </c>
      <c r="K5" s="130">
        <f t="shared" si="3"/>
        <v>0.14285714285714285</v>
      </c>
      <c r="L5" s="109">
        <f t="shared" si="4"/>
        <v>0.35714285714285715</v>
      </c>
      <c r="N5" s="161" t="s">
        <v>14</v>
      </c>
      <c r="O5" s="160">
        <f>MIN(B$3:B$84)</f>
        <v>18</v>
      </c>
      <c r="P5" s="160">
        <f>MIN(C$3:C$84)</f>
        <v>18</v>
      </c>
      <c r="Q5" s="160">
        <f>MIN(D$3:D$84)</f>
        <v>18</v>
      </c>
      <c r="R5" s="160">
        <f>MIN(E$3:E$84)</f>
        <v>18</v>
      </c>
      <c r="V5" s="85" t="s">
        <v>93</v>
      </c>
      <c r="Y5" s="85">
        <f>ROUNDUP(O4/Y3,0)</f>
        <v>14</v>
      </c>
      <c r="AN5" s="88">
        <v>3</v>
      </c>
      <c r="AO5" s="88">
        <f t="shared" ca="1" si="7"/>
        <v>24.657969295439607</v>
      </c>
      <c r="AP5" s="88">
        <f ca="1">SMALL($AO$3:$AO$30,ROWS(AO$3:AO5))</f>
        <v>21.675244853452384</v>
      </c>
      <c r="AQ5" s="110">
        <f t="shared" ca="1" si="8"/>
        <v>2.6971145545352249</v>
      </c>
      <c r="AR5" s="110">
        <v>2</v>
      </c>
      <c r="AS5" s="78">
        <f t="shared" ca="1" si="9"/>
        <v>59</v>
      </c>
      <c r="AT5" s="78">
        <f t="shared" ca="1" si="10"/>
        <v>0.6252654014551795</v>
      </c>
      <c r="AU5" s="78">
        <f ca="1">INDEX($AS$3:$AS$30,MATCH(SMALL($AT$3:$AT$30,ROWS(AT$3:AT5)),$AT$3:$AT$30,0))</f>
        <v>46</v>
      </c>
      <c r="AV5" s="78">
        <f ca="1">SMALL($AS$3:$AS$30,ROWS(AV$3:AV5))</f>
        <v>30</v>
      </c>
      <c r="AW5" s="85">
        <f ca="1">VLOOKUP(SMALL($BB$17:$BB$30,AX5),$BB$17:$BC$30,2,0)</f>
        <v>64</v>
      </c>
      <c r="AX5" s="85">
        <v>2</v>
      </c>
      <c r="BA5" s="85">
        <v>3</v>
      </c>
      <c r="BB5" s="85">
        <f t="shared" ca="1" si="11"/>
        <v>0.66302854276711221</v>
      </c>
      <c r="BC5" s="85">
        <f t="shared" ca="1" si="12"/>
        <v>30</v>
      </c>
    </row>
    <row r="6" spans="1:55" ht="17.25" thickBot="1" x14ac:dyDescent="0.35">
      <c r="A6" s="9">
        <v>4</v>
      </c>
      <c r="B6" s="100">
        <v>30</v>
      </c>
      <c r="C6" s="101">
        <v>30</v>
      </c>
      <c r="D6" s="102">
        <v>33</v>
      </c>
      <c r="E6" s="142">
        <v>30</v>
      </c>
      <c r="F6" s="104" t="str">
        <f t="shared" si="0"/>
        <v>42 - 48</v>
      </c>
      <c r="G6" s="105">
        <f t="shared" si="5"/>
        <v>42</v>
      </c>
      <c r="H6" s="106">
        <f t="shared" si="1"/>
        <v>48</v>
      </c>
      <c r="I6" s="137">
        <f t="shared" si="2"/>
        <v>12</v>
      </c>
      <c r="J6" s="157">
        <f t="shared" si="6"/>
        <v>2</v>
      </c>
      <c r="K6" s="130">
        <f t="shared" si="3"/>
        <v>7.1428571428571425E-2</v>
      </c>
      <c r="L6" s="109">
        <f t="shared" si="4"/>
        <v>0.42857142857142855</v>
      </c>
      <c r="N6" s="161" t="s">
        <v>5</v>
      </c>
      <c r="O6" s="160">
        <f>O4-O5</f>
        <v>63</v>
      </c>
      <c r="P6" s="160">
        <f>P4-P5</f>
        <v>63</v>
      </c>
      <c r="Q6" s="160">
        <f>Q4-Q5</f>
        <v>63</v>
      </c>
      <c r="R6" s="160">
        <f>R4-R5</f>
        <v>63</v>
      </c>
      <c r="V6" s="85" t="s">
        <v>97</v>
      </c>
      <c r="Y6" s="85">
        <f>Y5*Y3</f>
        <v>84</v>
      </c>
      <c r="AN6" s="88">
        <v>4</v>
      </c>
      <c r="AO6" s="88">
        <f t="shared" ca="1" si="7"/>
        <v>29.692079541981119</v>
      </c>
      <c r="AP6" s="88">
        <f ca="1">SMALL($AO$3:$AO$30,ROWS(AO$3:AO6))</f>
        <v>21.708386830109106</v>
      </c>
      <c r="AQ6" s="110">
        <f t="shared" ca="1" si="8"/>
        <v>1.4934497229845953</v>
      </c>
      <c r="AR6" s="110">
        <v>1</v>
      </c>
      <c r="AS6" s="78">
        <f t="shared" ca="1" si="9"/>
        <v>33</v>
      </c>
      <c r="AT6" s="78">
        <f t="shared" ca="1" si="10"/>
        <v>0.33174566395313521</v>
      </c>
      <c r="AU6" s="78">
        <f ca="1">INDEX($AS$3:$AS$30,MATCH(SMALL($AT$3:$AT$30,ROWS(AT$3:AT6)),$AT$3:$AT$30,0))</f>
        <v>56</v>
      </c>
      <c r="AV6" s="78">
        <f ca="1">SMALL($AS$3:$AS$30,ROWS(AV$3:AV6))</f>
        <v>33</v>
      </c>
      <c r="AW6" s="85">
        <f ca="1">VLOOKUP(SMALL($BB$3:$BB$16,AX6),$BB$3:$BC$30,2,0)</f>
        <v>33</v>
      </c>
      <c r="AX6" s="85">
        <v>2</v>
      </c>
      <c r="BA6" s="85">
        <v>4</v>
      </c>
      <c r="BB6" s="85">
        <f t="shared" ca="1" si="11"/>
        <v>0.28594090644543624</v>
      </c>
      <c r="BC6" s="85">
        <f t="shared" ca="1" si="12"/>
        <v>33</v>
      </c>
    </row>
    <row r="7" spans="1:55" ht="17.25" thickBot="1" x14ac:dyDescent="0.35">
      <c r="A7" s="9">
        <v>5</v>
      </c>
      <c r="B7" s="100">
        <v>46</v>
      </c>
      <c r="C7" s="101">
        <v>30</v>
      </c>
      <c r="D7" s="102">
        <v>40</v>
      </c>
      <c r="E7" s="142">
        <v>37</v>
      </c>
      <c r="F7" s="104" t="str">
        <f t="shared" si="0"/>
        <v>48 - 54</v>
      </c>
      <c r="G7" s="105">
        <f t="shared" si="5"/>
        <v>48</v>
      </c>
      <c r="H7" s="106">
        <f t="shared" si="1"/>
        <v>54</v>
      </c>
      <c r="I7" s="137">
        <f t="shared" si="2"/>
        <v>16</v>
      </c>
      <c r="J7" s="157">
        <f t="shared" si="6"/>
        <v>4</v>
      </c>
      <c r="K7" s="130">
        <f t="shared" si="3"/>
        <v>0.14285714285714285</v>
      </c>
      <c r="L7" s="109">
        <f t="shared" si="4"/>
        <v>0.5714285714285714</v>
      </c>
      <c r="N7" s="161" t="s">
        <v>15</v>
      </c>
      <c r="O7" s="160">
        <f>_xlfn.STDEV.S(B$3:B$86)</f>
        <v>16.291450999262644</v>
      </c>
      <c r="P7" s="160">
        <f>_xlfn.STDEV.S(C$3:C$86)</f>
        <v>16.291450999262644</v>
      </c>
      <c r="Q7" s="160">
        <f>_xlfn.STDEV.S(D$3:D$86)</f>
        <v>16.291450999262644</v>
      </c>
      <c r="R7" s="160">
        <f>_xlfn.STDEV.S(E$3:E$86)</f>
        <v>16.291450999262644</v>
      </c>
      <c r="V7" s="85" t="s">
        <v>98</v>
      </c>
      <c r="Y7" s="85">
        <v>4</v>
      </c>
      <c r="AN7" s="88">
        <v>5</v>
      </c>
      <c r="AO7" s="88">
        <f t="shared" ca="1" si="7"/>
        <v>32.765557773638434</v>
      </c>
      <c r="AP7" s="88">
        <f ca="1">SMALL($AO$3:$AO$30,ROWS(AO$3:AO7))</f>
        <v>22.314240980395056</v>
      </c>
      <c r="AQ7" s="110">
        <f t="shared" ca="1" si="8"/>
        <v>1.8620034664932441</v>
      </c>
      <c r="AR7" s="110">
        <f t="shared" ref="AR7:AR30" si="13">AR3</f>
        <v>1</v>
      </c>
      <c r="AS7" s="78">
        <f t="shared" ca="1" si="9"/>
        <v>42</v>
      </c>
      <c r="AT7" s="78">
        <f t="shared" ca="1" si="10"/>
        <v>0.42821362041615207</v>
      </c>
      <c r="AU7" s="78">
        <f ca="1">INDEX($AS$3:$AS$30,MATCH(SMALL($AT$3:$AT$30,ROWS(AT$3:AT7)),$AT$3:$AT$30,0))</f>
        <v>63</v>
      </c>
      <c r="AV7" s="78">
        <f ca="1">SMALL($AS$3:$AS$30,ROWS(AV$3:AV7))</f>
        <v>33</v>
      </c>
      <c r="AW7" s="85">
        <f ca="1">VLOOKUP(SMALL($BB$3:$BB$16,AX7),$BB$3:$BC$30,2,0)</f>
        <v>46</v>
      </c>
      <c r="AX7" s="85">
        <f t="shared" ref="AX7:AX30" si="14">2+AX3</f>
        <v>3</v>
      </c>
      <c r="BA7" s="85">
        <v>5</v>
      </c>
      <c r="BB7" s="85">
        <f t="shared" ca="1" si="11"/>
        <v>0.13191736270785204</v>
      </c>
      <c r="BC7" s="85">
        <f t="shared" ca="1" si="12"/>
        <v>33</v>
      </c>
    </row>
    <row r="8" spans="1:55" ht="17.25" thickBot="1" x14ac:dyDescent="0.35">
      <c r="A8" s="9">
        <v>6</v>
      </c>
      <c r="B8" s="100">
        <v>51</v>
      </c>
      <c r="C8" s="101">
        <v>33</v>
      </c>
      <c r="D8" s="102">
        <v>51</v>
      </c>
      <c r="E8" s="142">
        <v>51</v>
      </c>
      <c r="F8" s="104" t="str">
        <f t="shared" si="0"/>
        <v>54 - 60</v>
      </c>
      <c r="G8" s="105">
        <f t="shared" si="5"/>
        <v>54</v>
      </c>
      <c r="H8" s="106">
        <f t="shared" si="1"/>
        <v>60</v>
      </c>
      <c r="I8" s="137">
        <f t="shared" si="2"/>
        <v>20</v>
      </c>
      <c r="J8" s="157">
        <f t="shared" si="6"/>
        <v>4</v>
      </c>
      <c r="K8" s="130">
        <f t="shared" si="3"/>
        <v>0.14285714285714285</v>
      </c>
      <c r="L8" s="109">
        <f t="shared" si="4"/>
        <v>0.7142857142857143</v>
      </c>
      <c r="N8" s="161" t="s">
        <v>16</v>
      </c>
      <c r="O8" s="160">
        <f>O7/O2</f>
        <v>0.32699686593502081</v>
      </c>
      <c r="P8" s="160">
        <f>P7/P2</f>
        <v>0.32699686593502081</v>
      </c>
      <c r="Q8" s="160">
        <f>Q7/Q2</f>
        <v>0.32699686593502081</v>
      </c>
      <c r="R8" s="160">
        <f>R7/R2</f>
        <v>0.32699686593502081</v>
      </c>
      <c r="AN8" s="88">
        <v>6</v>
      </c>
      <c r="AO8" s="88">
        <f t="shared" ca="1" si="7"/>
        <v>29.218036686234221</v>
      </c>
      <c r="AP8" s="88">
        <f ca="1">SMALL($AO$3:$AO$30,ROWS(AO$3:AO8))</f>
        <v>23.004721853725961</v>
      </c>
      <c r="AQ8" s="110">
        <f t="shared" ca="1" si="8"/>
        <v>1.7394774601814631</v>
      </c>
      <c r="AR8" s="110">
        <f t="shared" si="13"/>
        <v>1.5</v>
      </c>
      <c r="AS8" s="78">
        <f t="shared" ca="1" si="9"/>
        <v>41</v>
      </c>
      <c r="AT8" s="78">
        <f t="shared" ca="1" si="10"/>
        <v>0.185995510771226</v>
      </c>
      <c r="AU8" s="78">
        <f ca="1">INDEX($AS$3:$AS$30,MATCH(SMALL($AT$3:$AT$30,ROWS(AT$3:AT8)),$AT$3:$AT$30,0))</f>
        <v>59</v>
      </c>
      <c r="AV8" s="78">
        <f ca="1">SMALL($AS$3:$AS$30,ROWS(AV$3:AV8))</f>
        <v>35</v>
      </c>
      <c r="AW8" s="85">
        <f ca="1">VLOOKUP(SMALL($BB$17:$BB$30,AX8),$BB$17:$BC$30,2,0)</f>
        <v>72</v>
      </c>
      <c r="AX8" s="85">
        <f t="shared" si="14"/>
        <v>3</v>
      </c>
      <c r="BA8" s="85">
        <v>6</v>
      </c>
      <c r="BB8" s="85">
        <f t="shared" ca="1" si="11"/>
        <v>0.80973450728695329</v>
      </c>
      <c r="BC8" s="85">
        <f t="shared" ca="1" si="12"/>
        <v>35</v>
      </c>
    </row>
    <row r="9" spans="1:55" ht="17.25" thickBot="1" x14ac:dyDescent="0.35">
      <c r="A9" s="9">
        <v>7</v>
      </c>
      <c r="B9" s="100">
        <v>39</v>
      </c>
      <c r="C9" s="101">
        <v>37</v>
      </c>
      <c r="D9" s="102">
        <v>51</v>
      </c>
      <c r="E9" s="142">
        <v>70</v>
      </c>
      <c r="F9" s="104" t="str">
        <f t="shared" si="0"/>
        <v>60 - 66</v>
      </c>
      <c r="G9" s="105">
        <f t="shared" si="5"/>
        <v>60</v>
      </c>
      <c r="H9" s="106">
        <f t="shared" si="1"/>
        <v>66</v>
      </c>
      <c r="I9" s="137">
        <f t="shared" si="2"/>
        <v>23</v>
      </c>
      <c r="J9" s="157">
        <f t="shared" si="6"/>
        <v>3</v>
      </c>
      <c r="K9" s="130">
        <f t="shared" si="3"/>
        <v>0.10714285714285714</v>
      </c>
      <c r="L9" s="109">
        <f t="shared" si="4"/>
        <v>0.8214285714285714</v>
      </c>
      <c r="N9" s="133" t="s">
        <v>92</v>
      </c>
      <c r="O9" s="134">
        <f>O2/O3</f>
        <v>0.97689075630252098</v>
      </c>
      <c r="P9" s="134">
        <f>P2/P3</f>
        <v>0.97689075630252098</v>
      </c>
      <c r="Q9" s="134">
        <f>Q2/Q3</f>
        <v>0.97689075630252098</v>
      </c>
      <c r="R9" s="134">
        <f>R2/R3</f>
        <v>0.97689075630252098</v>
      </c>
      <c r="AN9" s="88">
        <v>8</v>
      </c>
      <c r="AO9" s="88">
        <f t="shared" ca="1" si="7"/>
        <v>19.737806402466688</v>
      </c>
      <c r="AP9" s="88">
        <f ca="1">SMALL($AO$3:$AO$30,ROWS(AO$3:AO9))</f>
        <v>24.204429565776731</v>
      </c>
      <c r="AQ9" s="110">
        <f t="shared" ca="1" si="8"/>
        <v>2.2971328062191523</v>
      </c>
      <c r="AR9" s="110">
        <f t="shared" si="13"/>
        <v>2</v>
      </c>
      <c r="AS9" s="78">
        <f t="shared" ca="1" si="9"/>
        <v>56</v>
      </c>
      <c r="AT9" s="78">
        <f t="shared" ca="1" si="10"/>
        <v>0.66390966323285838</v>
      </c>
      <c r="AU9" s="78">
        <f ca="1">INDEX($AS$3:$AS$30,MATCH(SMALL($AT$3:$AT$30,ROWS(AT$3:AT9)),$AT$3:$AT$30,0))</f>
        <v>41</v>
      </c>
      <c r="AV9" s="78">
        <f ca="1">SMALL($AS$3:$AS$30,ROWS(AV$3:AV9))</f>
        <v>41</v>
      </c>
      <c r="AW9" s="85">
        <f ca="1">VLOOKUP(SMALL($BB$17:$BB$30,AX9),$BB$17:$BC$30,2,0)</f>
        <v>56</v>
      </c>
      <c r="AX9" s="85">
        <f t="shared" si="14"/>
        <v>4</v>
      </c>
      <c r="BA9" s="85">
        <v>7</v>
      </c>
      <c r="BB9" s="85">
        <f t="shared" ca="1" si="11"/>
        <v>0.54302806132947301</v>
      </c>
      <c r="BC9" s="85">
        <f t="shared" ca="1" si="12"/>
        <v>41</v>
      </c>
    </row>
    <row r="10" spans="1:55" ht="17.25" thickBot="1" x14ac:dyDescent="0.35">
      <c r="A10" s="9">
        <v>8</v>
      </c>
      <c r="B10" s="100">
        <v>33</v>
      </c>
      <c r="C10" s="101">
        <v>38</v>
      </c>
      <c r="D10" s="102">
        <v>29</v>
      </c>
      <c r="E10" s="142">
        <v>51</v>
      </c>
      <c r="F10" s="104" t="str">
        <f t="shared" si="0"/>
        <v>66 - 72</v>
      </c>
      <c r="G10" s="105">
        <f t="shared" si="5"/>
        <v>66</v>
      </c>
      <c r="H10" s="106">
        <f t="shared" si="1"/>
        <v>72</v>
      </c>
      <c r="I10" s="137">
        <f t="shared" si="2"/>
        <v>25</v>
      </c>
      <c r="J10" s="157">
        <f t="shared" si="6"/>
        <v>2</v>
      </c>
      <c r="K10" s="130">
        <f t="shared" si="3"/>
        <v>7.1428571428571425E-2</v>
      </c>
      <c r="L10" s="109">
        <f t="shared" si="4"/>
        <v>0.8928571428571429</v>
      </c>
      <c r="N10" s="159" t="s">
        <v>90</v>
      </c>
      <c r="O10" s="158">
        <f>O6/O2</f>
        <v>1.2645161290322582</v>
      </c>
      <c r="P10" s="158">
        <f>P6/P2</f>
        <v>1.2645161290322582</v>
      </c>
      <c r="Q10" s="158">
        <f>Q6/Q2</f>
        <v>1.2645161290322582</v>
      </c>
      <c r="R10" s="158">
        <f>R6/R2</f>
        <v>1.2645161290322582</v>
      </c>
      <c r="AN10" s="88">
        <v>7</v>
      </c>
      <c r="AO10" s="88">
        <f t="shared" ca="1" si="7"/>
        <v>32.551757798101036</v>
      </c>
      <c r="AP10" s="88">
        <f ca="1">SMALL($AO$3:$AO$30,ROWS(AO$3:AO10))</f>
        <v>24.485596225713135</v>
      </c>
      <c r="AQ10" s="110">
        <f t="shared" ca="1" si="8"/>
        <v>1.7778466078298214</v>
      </c>
      <c r="AR10" s="110">
        <f t="shared" si="13"/>
        <v>1</v>
      </c>
      <c r="AS10" s="78">
        <f t="shared" ca="1" si="9"/>
        <v>44</v>
      </c>
      <c r="AT10" s="78">
        <f t="shared" ca="1" si="10"/>
        <v>0.34340708084572513</v>
      </c>
      <c r="AU10" s="78">
        <f ca="1">INDEX($AS$3:$AS$30,MATCH(SMALL($AT$3:$AT$30,ROWS(AT$3:AT10)),$AT$3:$AT$30,0))</f>
        <v>33</v>
      </c>
      <c r="AV10" s="78">
        <f ca="1">SMALL($AS$3:$AS$30,ROWS(AV$3:AV10))</f>
        <v>42</v>
      </c>
      <c r="AW10" s="85">
        <f ca="1">VLOOKUP(SMALL($BB$3:$BB$16,AX10),$BB$3:$BC$30,2,0)</f>
        <v>33</v>
      </c>
      <c r="AX10" s="85">
        <f t="shared" si="14"/>
        <v>4</v>
      </c>
      <c r="BA10" s="85">
        <v>8</v>
      </c>
      <c r="BB10" s="85">
        <f t="shared" ca="1" si="11"/>
        <v>0.88288860894530163</v>
      </c>
      <c r="BC10" s="85">
        <f t="shared" ca="1" si="12"/>
        <v>42</v>
      </c>
    </row>
    <row r="11" spans="1:55" ht="17.25" thickBot="1" x14ac:dyDescent="0.35">
      <c r="A11" s="9">
        <v>9</v>
      </c>
      <c r="B11" s="100">
        <v>81</v>
      </c>
      <c r="C11" s="101">
        <v>39</v>
      </c>
      <c r="D11" s="102">
        <v>25</v>
      </c>
      <c r="E11" s="142">
        <v>18</v>
      </c>
      <c r="F11" s="104" t="str">
        <f t="shared" si="0"/>
        <v>72 - 78</v>
      </c>
      <c r="G11" s="105">
        <f t="shared" si="5"/>
        <v>72</v>
      </c>
      <c r="H11" s="106">
        <f t="shared" si="1"/>
        <v>78</v>
      </c>
      <c r="I11" s="137">
        <f t="shared" si="2"/>
        <v>27</v>
      </c>
      <c r="J11" s="157">
        <f t="shared" si="6"/>
        <v>2</v>
      </c>
      <c r="K11" s="130">
        <f t="shared" si="3"/>
        <v>7.1428571428571425E-2</v>
      </c>
      <c r="L11" s="109">
        <f t="shared" si="4"/>
        <v>0.9642857142857143</v>
      </c>
      <c r="AN11" s="88">
        <v>12</v>
      </c>
      <c r="AO11" s="88">
        <f t="shared" ca="1" si="7"/>
        <v>22.314240980395056</v>
      </c>
      <c r="AP11" s="88">
        <f ca="1">SMALL($AO$3:$AO$30,ROWS(AO$3:AO11))</f>
        <v>24.657969295439607</v>
      </c>
      <c r="AQ11" s="110">
        <f t="shared" ca="1" si="8"/>
        <v>1.6859831569738006</v>
      </c>
      <c r="AR11" s="110">
        <f t="shared" si="13"/>
        <v>1</v>
      </c>
      <c r="AS11" s="78">
        <f t="shared" ca="1" si="9"/>
        <v>42</v>
      </c>
      <c r="AT11" s="78">
        <f t="shared" ca="1" si="10"/>
        <v>0.90183939359147469</v>
      </c>
      <c r="AU11" s="78">
        <f ca="1">INDEX($AS$3:$AS$30,MATCH(SMALL($AT$3:$AT$30,ROWS(AT$3:AT11)),$AT$3:$AT$30,0))</f>
        <v>95</v>
      </c>
      <c r="AV11" s="78">
        <f ca="1">SMALL($AS$3:$AS$30,ROWS(AV$3:AV11))</f>
        <v>42</v>
      </c>
      <c r="AW11" s="85">
        <f ca="1">VLOOKUP(SMALL($BB$3:$BB$16,AX11),$BB$3:$BC$30,2,0)</f>
        <v>44</v>
      </c>
      <c r="AX11" s="85">
        <f t="shared" si="14"/>
        <v>5</v>
      </c>
      <c r="BA11" s="85">
        <v>9</v>
      </c>
      <c r="BB11" s="85">
        <f t="shared" ca="1" si="11"/>
        <v>0.88924518737825897</v>
      </c>
      <c r="BC11" s="85">
        <f t="shared" ca="1" si="12"/>
        <v>42</v>
      </c>
    </row>
    <row r="12" spans="1:55" ht="17.25" thickBot="1" x14ac:dyDescent="0.35">
      <c r="A12" s="9">
        <v>10</v>
      </c>
      <c r="B12" s="100">
        <v>37</v>
      </c>
      <c r="C12" s="101">
        <v>40</v>
      </c>
      <c r="D12" s="102">
        <v>54</v>
      </c>
      <c r="E12" s="142">
        <v>81</v>
      </c>
      <c r="F12" s="104" t="str">
        <f t="shared" si="0"/>
        <v>78 - 84</v>
      </c>
      <c r="G12" s="105">
        <f t="shared" si="5"/>
        <v>78</v>
      </c>
      <c r="H12" s="106">
        <f t="shared" si="1"/>
        <v>84</v>
      </c>
      <c r="I12" s="137">
        <f t="shared" si="2"/>
        <v>28</v>
      </c>
      <c r="J12" s="157">
        <f t="shared" si="6"/>
        <v>1</v>
      </c>
      <c r="K12" s="130">
        <f t="shared" si="3"/>
        <v>3.5714285714285712E-2</v>
      </c>
      <c r="L12" s="109">
        <f t="shared" si="4"/>
        <v>1</v>
      </c>
      <c r="AN12" s="88">
        <v>9</v>
      </c>
      <c r="AO12" s="88">
        <f t="shared" ca="1" si="7"/>
        <v>28.612429137621206</v>
      </c>
      <c r="AP12" s="88">
        <f ca="1">SMALL($AO$3:$AO$30,ROWS(AO$3:AO12))</f>
        <v>25.081621619207837</v>
      </c>
      <c r="AQ12" s="110">
        <f t="shared" ca="1" si="8"/>
        <v>1.744954367365239</v>
      </c>
      <c r="AR12" s="110">
        <f t="shared" si="13"/>
        <v>1.5</v>
      </c>
      <c r="AS12" s="78">
        <f t="shared" ca="1" si="9"/>
        <v>44</v>
      </c>
      <c r="AT12" s="78">
        <f t="shared" ca="1" si="10"/>
        <v>0.57608618007452961</v>
      </c>
      <c r="AU12" s="78">
        <f ca="1">INDEX($AS$3:$AS$30,MATCH(SMALL($AT$3:$AT$30,ROWS(AT$3:AT12)),$AT$3:$AT$30,0))</f>
        <v>44</v>
      </c>
      <c r="AV12" s="78">
        <f ca="1">SMALL($AS$3:$AS$30,ROWS(AV$3:AV12))</f>
        <v>42</v>
      </c>
      <c r="AW12" s="85">
        <f ca="1">VLOOKUP(SMALL($BB$17:$BB$30,AX12),$BB$17:$BC$30,2,0)</f>
        <v>63</v>
      </c>
      <c r="AX12" s="85">
        <f t="shared" si="14"/>
        <v>5</v>
      </c>
      <c r="BA12" s="85">
        <v>10</v>
      </c>
      <c r="BB12" s="85">
        <f t="shared" ca="1" si="11"/>
        <v>0.97010815214894153</v>
      </c>
      <c r="BC12" s="85">
        <f t="shared" ca="1" si="12"/>
        <v>42</v>
      </c>
    </row>
    <row r="13" spans="1:55" ht="17.25" thickBot="1" x14ac:dyDescent="0.35">
      <c r="A13" s="9">
        <v>11</v>
      </c>
      <c r="B13" s="100">
        <v>57</v>
      </c>
      <c r="C13" s="101">
        <v>46</v>
      </c>
      <c r="D13" s="102">
        <v>70</v>
      </c>
      <c r="E13" s="142">
        <v>58</v>
      </c>
      <c r="F13" s="104" t="str">
        <f t="shared" si="0"/>
        <v>84 - 90</v>
      </c>
      <c r="G13" s="105">
        <f t="shared" si="5"/>
        <v>84</v>
      </c>
      <c r="H13" s="106">
        <f t="shared" si="1"/>
        <v>90</v>
      </c>
      <c r="I13" s="137">
        <f t="shared" si="2"/>
        <v>28</v>
      </c>
      <c r="J13" s="157">
        <f t="shared" si="6"/>
        <v>0</v>
      </c>
      <c r="K13" s="130">
        <f t="shared" si="3"/>
        <v>0</v>
      </c>
      <c r="L13" s="109">
        <f t="shared" si="4"/>
        <v>1</v>
      </c>
      <c r="AN13" s="88">
        <v>10</v>
      </c>
      <c r="AO13" s="88">
        <f t="shared" ca="1" si="7"/>
        <v>27.054786131178172</v>
      </c>
      <c r="AP13" s="88">
        <f ca="1">SMALL($AO$3:$AO$30,ROWS(AO$3:AO13))</f>
        <v>25.264373869767489</v>
      </c>
      <c r="AQ13" s="110">
        <f t="shared" ca="1" si="8"/>
        <v>2.4608722073014988</v>
      </c>
      <c r="AR13" s="110">
        <f t="shared" si="13"/>
        <v>2</v>
      </c>
      <c r="AS13" s="78">
        <f t="shared" ca="1" si="9"/>
        <v>63</v>
      </c>
      <c r="AT13" s="78">
        <f t="shared" ca="1" si="10"/>
        <v>0.12014096832674614</v>
      </c>
      <c r="AU13" s="78">
        <f ca="1">INDEX($AS$3:$AS$30,MATCH(SMALL($AT$3:$AT$30,ROWS(AT$3:AT13)),$AT$3:$AT$30,0))</f>
        <v>72</v>
      </c>
      <c r="AV13" s="78">
        <f ca="1">SMALL($AS$3:$AS$30,ROWS(AV$3:AV13))</f>
        <v>44</v>
      </c>
      <c r="AW13" s="85">
        <f ca="1">VLOOKUP(SMALL($BB$17:$BB$30,AX13),$BB$17:$BC$30,2,0)</f>
        <v>52</v>
      </c>
      <c r="AX13" s="85">
        <f t="shared" si="14"/>
        <v>6</v>
      </c>
      <c r="BA13" s="85">
        <v>11</v>
      </c>
      <c r="BB13" s="85">
        <f t="shared" ca="1" si="11"/>
        <v>4.6896971792957265E-2</v>
      </c>
      <c r="BC13" s="85">
        <f t="shared" ca="1" si="12"/>
        <v>44</v>
      </c>
    </row>
    <row r="14" spans="1:55" ht="17.25" thickBot="1" x14ac:dyDescent="0.35">
      <c r="A14" s="9">
        <v>12</v>
      </c>
      <c r="B14" s="100">
        <v>66</v>
      </c>
      <c r="C14" s="101">
        <v>46</v>
      </c>
      <c r="D14" s="102">
        <v>38</v>
      </c>
      <c r="E14" s="142">
        <v>33</v>
      </c>
      <c r="F14" s="111" t="str">
        <f t="shared" si="0"/>
        <v>90 - 96</v>
      </c>
      <c r="G14" s="112">
        <f t="shared" si="5"/>
        <v>90</v>
      </c>
      <c r="H14" s="113">
        <f t="shared" si="1"/>
        <v>96</v>
      </c>
      <c r="I14" s="138">
        <f t="shared" si="2"/>
        <v>28</v>
      </c>
      <c r="J14" s="114">
        <f t="shared" si="6"/>
        <v>0</v>
      </c>
      <c r="K14" s="115">
        <f t="shared" si="3"/>
        <v>0</v>
      </c>
      <c r="L14" s="116">
        <f t="shared" si="4"/>
        <v>1</v>
      </c>
      <c r="AN14" s="88">
        <v>11</v>
      </c>
      <c r="AO14" s="88">
        <f t="shared" ca="1" si="7"/>
        <v>23.004721853725961</v>
      </c>
      <c r="AP14" s="88">
        <f ca="1">SMALL($AO$3:$AO$30,ROWS(AO$3:AO14))</f>
        <v>25.442904223809261</v>
      </c>
      <c r="AQ14" s="110">
        <f t="shared" ca="1" si="8"/>
        <v>1.1572979830746708</v>
      </c>
      <c r="AR14" s="110">
        <f t="shared" si="13"/>
        <v>1</v>
      </c>
      <c r="AS14" s="78">
        <f t="shared" ca="1" si="9"/>
        <v>30</v>
      </c>
      <c r="AT14" s="78">
        <f t="shared" ca="1" si="10"/>
        <v>0.90883254568328686</v>
      </c>
      <c r="AU14" s="78">
        <f ca="1">INDEX($AS$3:$AS$30,MATCH(SMALL($AT$3:$AT$30,ROWS(AT$3:AT14)),$AT$3:$AT$30,0))</f>
        <v>74</v>
      </c>
      <c r="AV14" s="78">
        <f ca="1">SMALL($AS$3:$AS$30,ROWS(AV$3:AV14))</f>
        <v>44</v>
      </c>
      <c r="AW14" s="85">
        <f ca="1">VLOOKUP(SMALL($BB$3:$BB$16,AX14),$BB$3:$BC$30,2,0)</f>
        <v>30</v>
      </c>
      <c r="AX14" s="85">
        <f t="shared" si="14"/>
        <v>6</v>
      </c>
      <c r="BA14" s="85">
        <v>12</v>
      </c>
      <c r="BB14" s="85">
        <f t="shared" ca="1" si="11"/>
        <v>0.3925338952058407</v>
      </c>
      <c r="BC14" s="85">
        <f t="shared" ca="1" si="12"/>
        <v>44</v>
      </c>
    </row>
    <row r="15" spans="1:55" ht="16.5" x14ac:dyDescent="0.3">
      <c r="A15" s="9">
        <v>13</v>
      </c>
      <c r="B15" s="100">
        <v>29</v>
      </c>
      <c r="C15" s="101">
        <v>49</v>
      </c>
      <c r="D15" s="102">
        <v>39</v>
      </c>
      <c r="E15" s="142">
        <v>39</v>
      </c>
      <c r="F15" s="118"/>
      <c r="G15" s="157"/>
      <c r="H15" s="157"/>
      <c r="I15" s="157"/>
      <c r="J15" s="157">
        <f>SUM(J2:J14)</f>
        <v>28</v>
      </c>
      <c r="K15" s="130">
        <f>SUM(K2:K14)</f>
        <v>0.99999999999999978</v>
      </c>
      <c r="L15" s="130"/>
      <c r="AN15" s="88">
        <v>14</v>
      </c>
      <c r="AO15" s="88">
        <f t="shared" ca="1" si="7"/>
        <v>21.708386830109106</v>
      </c>
      <c r="AP15" s="88">
        <f ca="1">SMALL($AO$3:$AO$30,ROWS(AO$3:AO15))</f>
        <v>25.685939645261133</v>
      </c>
      <c r="AQ15" s="110">
        <f t="shared" ca="1" si="8"/>
        <v>1.250469461785741</v>
      </c>
      <c r="AR15" s="110">
        <f t="shared" si="13"/>
        <v>1</v>
      </c>
      <c r="AS15" s="78">
        <f t="shared" ca="1" si="9"/>
        <v>33</v>
      </c>
      <c r="AT15" s="78">
        <f t="shared" ca="1" si="10"/>
        <v>0.54594110225310144</v>
      </c>
      <c r="AU15" s="78">
        <f ca="1">INDEX($AS$3:$AS$30,MATCH(SMALL($AT$3:$AT$30,ROWS(AT$3:AT15)),$AT$3:$AT$30,0))</f>
        <v>42</v>
      </c>
      <c r="AV15" s="78">
        <f ca="1">SMALL($AS$3:$AS$30,ROWS(AV$3:AV15))</f>
        <v>46</v>
      </c>
      <c r="AW15" s="85">
        <f ca="1">VLOOKUP(SMALL($BB$3:$BB$16,AX15),$BB$3:$BC$30,2,0)</f>
        <v>41</v>
      </c>
      <c r="AX15" s="85">
        <f t="shared" si="14"/>
        <v>7</v>
      </c>
      <c r="BA15" s="85">
        <v>13</v>
      </c>
      <c r="BB15" s="85">
        <f t="shared" ca="1" si="11"/>
        <v>0.13968737879365956</v>
      </c>
      <c r="BC15" s="85">
        <f t="shared" ca="1" si="12"/>
        <v>46</v>
      </c>
    </row>
    <row r="16" spans="1:55" ht="16.5" x14ac:dyDescent="0.3">
      <c r="A16" s="9">
        <v>14</v>
      </c>
      <c r="B16" s="100">
        <v>18</v>
      </c>
      <c r="C16" s="101">
        <v>51</v>
      </c>
      <c r="D16" s="102">
        <v>61</v>
      </c>
      <c r="E16" s="142">
        <v>65</v>
      </c>
      <c r="AN16" s="88">
        <v>16</v>
      </c>
      <c r="AO16" s="88">
        <f t="shared" ca="1" si="7"/>
        <v>28.627319330514929</v>
      </c>
      <c r="AP16" s="88">
        <f ca="1">SMALL($AO$3:$AO$30,ROWS(AO$3:AO16))</f>
        <v>27.054786131178172</v>
      </c>
      <c r="AQ16" s="110">
        <f t="shared" ca="1" si="8"/>
        <v>2.3476321843558545</v>
      </c>
      <c r="AR16" s="110">
        <f t="shared" si="13"/>
        <v>1.5</v>
      </c>
      <c r="AS16" s="78">
        <f t="shared" ca="1" si="9"/>
        <v>64</v>
      </c>
      <c r="AT16" s="78">
        <f t="shared" ca="1" si="10"/>
        <v>0.92670457158536579</v>
      </c>
      <c r="AU16" s="78">
        <f ca="1">INDEX($AS$3:$AS$30,MATCH(SMALL($AT$3:$AT$30,ROWS(AT$3:AT16)),$AT$3:$AT$30,0))</f>
        <v>24</v>
      </c>
      <c r="AV16" s="78">
        <f ca="1">SMALL($AS$3:$AS$30,ROWS(AV$3:AV16))</f>
        <v>48</v>
      </c>
      <c r="AW16" s="85">
        <f ca="1">VLOOKUP(SMALL($BB$17:$BB$30,AX16),$BB$17:$BC$30,2,0)</f>
        <v>49</v>
      </c>
      <c r="AX16" s="85">
        <f t="shared" si="14"/>
        <v>7</v>
      </c>
      <c r="BA16" s="85">
        <v>14</v>
      </c>
      <c r="BB16" s="85">
        <f t="shared" ca="1" si="11"/>
        <v>0.74076444147318987</v>
      </c>
      <c r="BC16" s="85">
        <f t="shared" ca="1" si="12"/>
        <v>48</v>
      </c>
    </row>
    <row r="17" spans="1:63" ht="16.5" x14ac:dyDescent="0.3">
      <c r="A17" s="9">
        <v>15</v>
      </c>
      <c r="B17" s="100">
        <v>73</v>
      </c>
      <c r="C17" s="101">
        <v>51</v>
      </c>
      <c r="D17" s="102">
        <v>73</v>
      </c>
      <c r="E17" s="142">
        <v>61</v>
      </c>
      <c r="J17" s="118"/>
      <c r="K17" s="118"/>
      <c r="AN17" s="88">
        <v>18</v>
      </c>
      <c r="AO17" s="88">
        <f t="shared" ca="1" si="7"/>
        <v>27.438190715250258</v>
      </c>
      <c r="AP17" s="88">
        <f ca="1">SMALL($AO$3:$AO$30,ROWS(AO$3:AO17))</f>
        <v>27.354739973956239</v>
      </c>
      <c r="AQ17" s="110">
        <f t="shared" ca="1" si="8"/>
        <v>2.1391946367476695</v>
      </c>
      <c r="AR17" s="110">
        <f t="shared" si="13"/>
        <v>2</v>
      </c>
      <c r="AS17" s="78">
        <f t="shared" ca="1" si="9"/>
        <v>59</v>
      </c>
      <c r="AT17" s="78">
        <f t="shared" ca="1" si="10"/>
        <v>0.12287647767753163</v>
      </c>
      <c r="AU17" s="78">
        <f ca="1">INDEX($AS$3:$AS$30,MATCH(SMALL($AT$3:$AT$30,ROWS(AT$3:AT17)),$AT$3:$AT$30,0))</f>
        <v>63</v>
      </c>
      <c r="AV17" s="78">
        <f ca="1">SMALL($AS$3:$AS$30,ROWS(AV$3:AV17))</f>
        <v>49</v>
      </c>
      <c r="AW17" s="85">
        <f ca="1">VLOOKUP(SMALL($BB$17:$BB$30,AX17),$BB$17:$BC$30,2,0)</f>
        <v>52</v>
      </c>
      <c r="AX17" s="85">
        <f t="shared" si="14"/>
        <v>8</v>
      </c>
      <c r="BA17" s="85">
        <v>15</v>
      </c>
      <c r="BB17" s="85">
        <f t="shared" ca="1" si="11"/>
        <v>0.40854812850973821</v>
      </c>
      <c r="BC17" s="85">
        <f t="shared" ca="1" si="12"/>
        <v>49</v>
      </c>
    </row>
    <row r="18" spans="1:63" ht="16.5" x14ac:dyDescent="0.3">
      <c r="A18" s="9">
        <v>16</v>
      </c>
      <c r="B18" s="100">
        <v>25</v>
      </c>
      <c r="C18" s="101">
        <v>53</v>
      </c>
      <c r="D18" s="102">
        <v>49</v>
      </c>
      <c r="E18" s="142">
        <v>38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N18" s="88">
        <v>13</v>
      </c>
      <c r="AO18" s="88">
        <f t="shared" ca="1" si="7"/>
        <v>29.114995543902957</v>
      </c>
      <c r="AP18" s="88">
        <f ca="1">SMALL($AO$3:$AO$30,ROWS(AO$3:AO18))</f>
        <v>27.438190715250258</v>
      </c>
      <c r="AQ18" s="110">
        <f t="shared" ca="1" si="8"/>
        <v>1.0716535059995467</v>
      </c>
      <c r="AR18" s="110">
        <f t="shared" si="13"/>
        <v>1</v>
      </c>
      <c r="AS18" s="78">
        <f t="shared" ca="1" si="9"/>
        <v>30</v>
      </c>
      <c r="AT18" s="78">
        <f t="shared" ca="1" si="10"/>
        <v>0.62466585441950861</v>
      </c>
      <c r="AU18" s="78">
        <f ca="1">INDEX($AS$3:$AS$30,MATCH(SMALL($AT$3:$AT$30,ROWS(AT$3:AT18)),$AT$3:$AT$30,0))</f>
        <v>33</v>
      </c>
      <c r="AV18" s="78">
        <f ca="1">SMALL($AS$3:$AS$30,ROWS(AV$3:AV18))</f>
        <v>52</v>
      </c>
      <c r="AW18" s="85">
        <f ca="1">VLOOKUP(SMALL($BB$3:$BB$16,AX18),$BB$3:$BC$30,2,0)</f>
        <v>24</v>
      </c>
      <c r="AX18" s="85">
        <f t="shared" si="14"/>
        <v>8</v>
      </c>
      <c r="BA18" s="85">
        <v>16</v>
      </c>
      <c r="BB18" s="85">
        <f t="shared" ca="1" si="11"/>
        <v>0.4327842159427453</v>
      </c>
      <c r="BC18" s="85">
        <f t="shared" ca="1" si="12"/>
        <v>52</v>
      </c>
    </row>
    <row r="19" spans="1:63" ht="16.5" x14ac:dyDescent="0.3">
      <c r="A19" s="9">
        <v>17</v>
      </c>
      <c r="B19" s="100">
        <v>51</v>
      </c>
      <c r="C19" s="101">
        <v>54</v>
      </c>
      <c r="D19" s="102">
        <v>30</v>
      </c>
      <c r="E19" s="142">
        <v>30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N19" s="88">
        <v>17</v>
      </c>
      <c r="AO19" s="88">
        <f t="shared" ca="1" si="7"/>
        <v>37.283600102866224</v>
      </c>
      <c r="AP19" s="88">
        <f ca="1">SMALL($AO$3:$AO$30,ROWS(AO$3:AO19))</f>
        <v>28.612429137621206</v>
      </c>
      <c r="AQ19" s="110">
        <f t="shared" ca="1" si="8"/>
        <v>1.8088371056961099</v>
      </c>
      <c r="AR19" s="110">
        <f t="shared" si="13"/>
        <v>1</v>
      </c>
      <c r="AS19" s="78">
        <f t="shared" ca="1" si="9"/>
        <v>52</v>
      </c>
      <c r="AT19" s="78">
        <f t="shared" ca="1" si="10"/>
        <v>0.86570772372621874</v>
      </c>
      <c r="AU19" s="78">
        <f ca="1">INDEX($AS$3:$AS$30,MATCH(SMALL($AT$3:$AT$30,ROWS(AT$3:AT19)),$AT$3:$AT$30,0))</f>
        <v>44</v>
      </c>
      <c r="AV19" s="78">
        <f ca="1">SMALL($AS$3:$AS$30,ROWS(AV$3:AV19))</f>
        <v>52</v>
      </c>
      <c r="AW19" s="85">
        <f ca="1">VLOOKUP(SMALL($BB$3:$BB$16,AX19),$BB$3:$BC$30,2,0)</f>
        <v>30</v>
      </c>
      <c r="AX19" s="85">
        <f t="shared" si="14"/>
        <v>9</v>
      </c>
      <c r="BA19" s="85">
        <v>17</v>
      </c>
      <c r="BB19" s="85">
        <f t="shared" ca="1" si="11"/>
        <v>0.3669000225516692</v>
      </c>
      <c r="BC19" s="85">
        <f t="shared" ca="1" si="12"/>
        <v>52</v>
      </c>
    </row>
    <row r="20" spans="1:63" ht="16.5" x14ac:dyDescent="0.3">
      <c r="A20" s="9">
        <v>18</v>
      </c>
      <c r="B20" s="100">
        <v>54</v>
      </c>
      <c r="C20" s="101">
        <v>57</v>
      </c>
      <c r="D20" s="102">
        <v>65</v>
      </c>
      <c r="E20" s="142">
        <v>58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N20" s="88">
        <v>15</v>
      </c>
      <c r="AO20" s="88">
        <f t="shared" ca="1" si="7"/>
        <v>21.675244853452384</v>
      </c>
      <c r="AP20" s="88">
        <f ca="1">SMALL($AO$3:$AO$30,ROWS(AO$3:AO20))</f>
        <v>28.627319330514929</v>
      </c>
      <c r="AQ20" s="110">
        <f t="shared" ca="1" si="8"/>
        <v>1.6565321027069646</v>
      </c>
      <c r="AR20" s="110">
        <f t="shared" si="13"/>
        <v>1.5</v>
      </c>
      <c r="AS20" s="78">
        <f t="shared" ca="1" si="9"/>
        <v>48</v>
      </c>
      <c r="AT20" s="78">
        <f t="shared" ca="1" si="10"/>
        <v>2.4870924108661541E-2</v>
      </c>
      <c r="AU20" s="78">
        <f ca="1">INDEX($AS$3:$AS$30,MATCH(SMALL($AT$3:$AT$30,ROWS(AT$3:AT20)),$AT$3:$AT$30,0))</f>
        <v>30</v>
      </c>
      <c r="AV20" s="78">
        <f ca="1">SMALL($AS$3:$AS$30,ROWS(AV$3:AV20))</f>
        <v>56</v>
      </c>
      <c r="AW20" s="85">
        <f ca="1">VLOOKUP(SMALL($BB$17:$BB$30,AX20),$BB$17:$BC$30,2,0)</f>
        <v>63</v>
      </c>
      <c r="AX20" s="85">
        <f t="shared" si="14"/>
        <v>9</v>
      </c>
      <c r="BA20" s="85">
        <v>18</v>
      </c>
      <c r="BB20" s="85">
        <f t="shared" ca="1" si="11"/>
        <v>0.22325665058015931</v>
      </c>
      <c r="BC20" s="85">
        <f t="shared" ca="1" si="12"/>
        <v>56</v>
      </c>
    </row>
    <row r="21" spans="1:63" ht="16.5" x14ac:dyDescent="0.3">
      <c r="A21" s="9">
        <v>19</v>
      </c>
      <c r="B21" s="100">
        <v>46</v>
      </c>
      <c r="C21" s="101">
        <v>58</v>
      </c>
      <c r="D21" s="102">
        <v>66</v>
      </c>
      <c r="E21" s="142">
        <v>57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N21" s="88">
        <v>19</v>
      </c>
      <c r="AO21" s="88">
        <f t="shared" ca="1" si="7"/>
        <v>25.685939645261133</v>
      </c>
      <c r="AP21" s="88">
        <f ca="1">SMALL($AO$3:$AO$30,ROWS(AO$3:AO21))</f>
        <v>29.114995543902957</v>
      </c>
      <c r="AQ21" s="110">
        <f t="shared" ca="1" si="8"/>
        <v>2.5282703933027468</v>
      </c>
      <c r="AR21" s="110">
        <f t="shared" si="13"/>
        <v>2</v>
      </c>
      <c r="AS21" s="78">
        <f t="shared" ca="1" si="9"/>
        <v>74</v>
      </c>
      <c r="AT21" s="78">
        <f t="shared" ca="1" si="10"/>
        <v>0.39457699203122409</v>
      </c>
      <c r="AU21" s="78">
        <f ca="1">INDEX($AS$3:$AS$30,MATCH(SMALL($AT$3:$AT$30,ROWS(AT$3:AT21)),$AT$3:$AT$30,0))</f>
        <v>59</v>
      </c>
      <c r="AV21" s="78">
        <f ca="1">SMALL($AS$3:$AS$30,ROWS(AV$3:AV21))</f>
        <v>56</v>
      </c>
      <c r="AW21" s="85">
        <f ca="1">VLOOKUP(SMALL($BB$17:$BB$30,AX21),$BB$17:$BC$30,2,0)</f>
        <v>59</v>
      </c>
      <c r="AX21" s="85">
        <f t="shared" si="14"/>
        <v>10</v>
      </c>
      <c r="BA21" s="85">
        <v>19</v>
      </c>
      <c r="BB21" s="85">
        <f t="shared" ca="1" si="11"/>
        <v>0.70131602089037037</v>
      </c>
      <c r="BC21" s="85">
        <f t="shared" ca="1" si="12"/>
        <v>56</v>
      </c>
    </row>
    <row r="22" spans="1:63" ht="16.5" x14ac:dyDescent="0.3">
      <c r="A22" s="9">
        <v>20</v>
      </c>
      <c r="B22" s="100">
        <v>73</v>
      </c>
      <c r="C22" s="101">
        <v>58</v>
      </c>
      <c r="D22" s="102">
        <v>46</v>
      </c>
      <c r="E22" s="142">
        <v>40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N22" s="88">
        <v>20</v>
      </c>
      <c r="AO22" s="88">
        <f t="shared" ca="1" si="7"/>
        <v>30.302895111487874</v>
      </c>
      <c r="AP22" s="88">
        <f ca="1">SMALL($AO$3:$AO$30,ROWS(AO$3:AO22))</f>
        <v>29.218036686234221</v>
      </c>
      <c r="AQ22" s="110">
        <f t="shared" ca="1" si="8"/>
        <v>1.1809341513374894</v>
      </c>
      <c r="AR22" s="110">
        <f t="shared" si="13"/>
        <v>1</v>
      </c>
      <c r="AS22" s="78">
        <f t="shared" ca="1" si="9"/>
        <v>35</v>
      </c>
      <c r="AT22" s="78">
        <f t="shared" ca="1" si="10"/>
        <v>2.3069846982071152E-3</v>
      </c>
      <c r="AU22" s="78">
        <f ca="1">INDEX($AS$3:$AS$30,MATCH(SMALL($AT$3:$AT$30,ROWS(AT$3:AT22)),$AT$3:$AT$30,0))</f>
        <v>56</v>
      </c>
      <c r="AV22" s="78">
        <f ca="1">SMALL($AS$3:$AS$30,ROWS(AV$3:AV22))</f>
        <v>59</v>
      </c>
      <c r="AW22" s="85">
        <f ca="1">VLOOKUP(SMALL($BB$3:$BB$16,AX22),$BB$3:$BC$30,2,0)</f>
        <v>48</v>
      </c>
      <c r="AX22" s="85">
        <f t="shared" si="14"/>
        <v>10</v>
      </c>
      <c r="BA22" s="85">
        <v>20</v>
      </c>
      <c r="BB22" s="85">
        <f t="shared" ca="1" si="11"/>
        <v>0.90555712159587953</v>
      </c>
      <c r="BC22" s="85">
        <f t="shared" ca="1" si="12"/>
        <v>59</v>
      </c>
    </row>
    <row r="23" spans="1:63" ht="16.5" x14ac:dyDescent="0.3">
      <c r="A23" s="9">
        <v>21</v>
      </c>
      <c r="B23" s="100">
        <v>58</v>
      </c>
      <c r="C23" s="101">
        <v>61</v>
      </c>
      <c r="D23" s="102">
        <v>46</v>
      </c>
      <c r="E23" s="142">
        <v>29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N23" s="88">
        <v>24</v>
      </c>
      <c r="AO23" s="88">
        <f t="shared" ca="1" si="7"/>
        <v>29.845642166876807</v>
      </c>
      <c r="AP23" s="88">
        <f ca="1">SMALL($AO$3:$AO$30,ROWS(AO$3:AO23))</f>
        <v>29.692079541981119</v>
      </c>
      <c r="AQ23" s="110">
        <f t="shared" ca="1" si="8"/>
        <v>1.7366647548600693</v>
      </c>
      <c r="AR23" s="110">
        <f t="shared" si="13"/>
        <v>1</v>
      </c>
      <c r="AS23" s="78">
        <f t="shared" ca="1" si="9"/>
        <v>52</v>
      </c>
      <c r="AT23" s="78">
        <f t="shared" ca="1" si="10"/>
        <v>0.70623775654047971</v>
      </c>
      <c r="AU23" s="78">
        <f ca="1">INDEX($AS$3:$AS$30,MATCH(SMALL($AT$3:$AT$30,ROWS(AT$3:AT23)),$AT$3:$AT$30,0))</f>
        <v>75</v>
      </c>
      <c r="AV23" s="78">
        <f ca="1">SMALL($AS$3:$AS$30,ROWS(AV$3:AV23))</f>
        <v>59</v>
      </c>
      <c r="AW23" s="85">
        <f ca="1">VLOOKUP(SMALL($BB$3:$BB$16,AX23),$BB$3:$BC$30,2,0)</f>
        <v>35</v>
      </c>
      <c r="AX23" s="85">
        <f t="shared" si="14"/>
        <v>11</v>
      </c>
      <c r="BA23" s="85">
        <v>21</v>
      </c>
      <c r="BB23" s="85">
        <f t="shared" ca="1" si="11"/>
        <v>0.60793570518415174</v>
      </c>
      <c r="BC23" s="85">
        <f t="shared" ca="1" si="12"/>
        <v>59</v>
      </c>
    </row>
    <row r="24" spans="1:63" ht="16.5" x14ac:dyDescent="0.3">
      <c r="A24" s="9">
        <v>22</v>
      </c>
      <c r="B24" s="100">
        <v>64</v>
      </c>
      <c r="C24" s="101">
        <v>64</v>
      </c>
      <c r="D24" s="102">
        <v>53</v>
      </c>
      <c r="E24" s="142">
        <v>53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N24" s="88">
        <v>22</v>
      </c>
      <c r="AO24" s="88">
        <f t="shared" ca="1" si="7"/>
        <v>24.204429565776731</v>
      </c>
      <c r="AP24" s="88">
        <f ca="1">SMALL($AO$3:$AO$30,ROWS(AO$3:AO24))</f>
        <v>29.783839374490981</v>
      </c>
      <c r="AQ24" s="110">
        <f t="shared" ca="1" si="8"/>
        <v>2.3900907709574888</v>
      </c>
      <c r="AR24" s="110">
        <f t="shared" si="13"/>
        <v>1.5</v>
      </c>
      <c r="AS24" s="78">
        <f t="shared" ca="1" si="9"/>
        <v>72</v>
      </c>
      <c r="AT24" s="78">
        <f t="shared" ca="1" si="10"/>
        <v>0.38484714984522506</v>
      </c>
      <c r="AU24" s="78">
        <f ca="1">INDEX($AS$3:$AS$30,MATCH(SMALL($AT$3:$AT$30,ROWS(AT$3:AT24)),$AT$3:$AT$30,0))</f>
        <v>52</v>
      </c>
      <c r="AV24" s="78">
        <f ca="1">SMALL($AS$3:$AS$30,ROWS(AV$3:AV24))</f>
        <v>63</v>
      </c>
      <c r="AW24" s="85">
        <f ca="1">VLOOKUP(SMALL($BB$17:$BB$30,AX24),$BB$17:$BC$30,2,0)</f>
        <v>95</v>
      </c>
      <c r="AX24" s="85">
        <f t="shared" si="14"/>
        <v>11</v>
      </c>
      <c r="BA24" s="85">
        <v>22</v>
      </c>
      <c r="BB24" s="85">
        <f t="shared" ca="1" si="11"/>
        <v>0.46700761879117902</v>
      </c>
      <c r="BC24" s="85">
        <f t="shared" ca="1" si="12"/>
        <v>63</v>
      </c>
    </row>
    <row r="25" spans="1:63" ht="16.5" x14ac:dyDescent="0.3">
      <c r="A25" s="9">
        <v>23</v>
      </c>
      <c r="B25" s="100">
        <v>38</v>
      </c>
      <c r="C25" s="101">
        <v>65</v>
      </c>
      <c r="D25" s="102">
        <v>81</v>
      </c>
      <c r="E25" s="142">
        <v>66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N25" s="88">
        <v>23</v>
      </c>
      <c r="AO25" s="88">
        <f t="shared" ca="1" si="7"/>
        <v>29.783839374490981</v>
      </c>
      <c r="AP25" s="88">
        <f ca="1">SMALL($AO$3:$AO$30,ROWS(AO$3:AO25))</f>
        <v>29.845642166876807</v>
      </c>
      <c r="AQ25" s="110">
        <f t="shared" ca="1" si="8"/>
        <v>2.0856467560814873</v>
      </c>
      <c r="AR25" s="110">
        <f t="shared" si="13"/>
        <v>2</v>
      </c>
      <c r="AS25" s="78">
        <f t="shared" ca="1" si="9"/>
        <v>63</v>
      </c>
      <c r="AT25" s="78">
        <f t="shared" ca="1" si="10"/>
        <v>0.52049420174267191</v>
      </c>
      <c r="AU25" s="78">
        <f ca="1">INDEX($AS$3:$AS$30,MATCH(SMALL($AT$3:$AT$30,ROWS(AT$3:AT25)),$AT$3:$AT$30,0))</f>
        <v>42</v>
      </c>
      <c r="AV25" s="78">
        <f ca="1">SMALL($AS$3:$AS$30,ROWS(AV$3:AV25))</f>
        <v>63</v>
      </c>
      <c r="AW25" s="85">
        <f ca="1">VLOOKUP(SMALL($BB$17:$BB$30,AX25),$BB$17:$BC$30,2,0)</f>
        <v>56</v>
      </c>
      <c r="AX25" s="85">
        <f t="shared" si="14"/>
        <v>12</v>
      </c>
      <c r="BA25" s="85">
        <v>23</v>
      </c>
      <c r="BB25" s="85">
        <f t="shared" ca="1" si="11"/>
        <v>0.36323435723371778</v>
      </c>
      <c r="BC25" s="85">
        <f t="shared" ca="1" si="12"/>
        <v>63</v>
      </c>
    </row>
    <row r="26" spans="1:63" ht="16.5" x14ac:dyDescent="0.3">
      <c r="A26" s="9">
        <v>24</v>
      </c>
      <c r="B26" s="100">
        <v>30</v>
      </c>
      <c r="C26" s="101">
        <v>66</v>
      </c>
      <c r="D26" s="102">
        <v>58</v>
      </c>
      <c r="E26" s="142">
        <v>46</v>
      </c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N26" s="88">
        <v>25</v>
      </c>
      <c r="AO26" s="88">
        <f t="shared" ca="1" si="7"/>
        <v>27.354739973956239</v>
      </c>
      <c r="AP26" s="88">
        <f ca="1">SMALL($AO$3:$AO$30,ROWS(AO$3:AO26))</f>
        <v>30.302895111487874</v>
      </c>
      <c r="AQ26" s="110">
        <f t="shared" ca="1" si="8"/>
        <v>1.3638646806767951</v>
      </c>
      <c r="AR26" s="110">
        <f t="shared" si="13"/>
        <v>1</v>
      </c>
      <c r="AS26" s="78">
        <f t="shared" ca="1" si="9"/>
        <v>42</v>
      </c>
      <c r="AT26" s="78">
        <f t="shared" ca="1" si="10"/>
        <v>0.75894229760629939</v>
      </c>
      <c r="AU26" s="78">
        <f ca="1">INDEX($AS$3:$AS$30,MATCH(SMALL($AT$3:$AT$30,ROWS(AT$3:AT26)),$AT$3:$AT$30,0))</f>
        <v>49</v>
      </c>
      <c r="AV26" s="78">
        <f ca="1">SMALL($AS$3:$AS$30,ROWS(AV$3:AV26))</f>
        <v>64</v>
      </c>
      <c r="AW26" s="85">
        <f ca="1">VLOOKUP(SMALL($BB$3:$BB$16,AX26),$BB$3:$BC$30,2,0)</f>
        <v>42</v>
      </c>
      <c r="AX26" s="85">
        <f t="shared" si="14"/>
        <v>12</v>
      </c>
      <c r="BA26" s="85">
        <v>24</v>
      </c>
      <c r="BB26" s="85">
        <f t="shared" ca="1" si="11"/>
        <v>8.1190863855355233E-2</v>
      </c>
      <c r="BC26" s="85">
        <f t="shared" ca="1" si="12"/>
        <v>64</v>
      </c>
    </row>
    <row r="27" spans="1:63" ht="16.5" x14ac:dyDescent="0.3">
      <c r="A27" s="9">
        <v>25</v>
      </c>
      <c r="B27" s="100">
        <v>61</v>
      </c>
      <c r="C27" s="101">
        <v>70</v>
      </c>
      <c r="D27" s="102">
        <v>57</v>
      </c>
      <c r="E27" s="142">
        <v>25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88">
        <v>21</v>
      </c>
      <c r="AO27" s="88">
        <f t="shared" ca="1" si="7"/>
        <v>25.081621619207837</v>
      </c>
      <c r="AP27" s="88">
        <f ca="1">SMALL($AO$3:$AO$30,ROWS(AO$3:AO27))</f>
        <v>31.487204506507798</v>
      </c>
      <c r="AQ27" s="110">
        <f t="shared" ca="1" si="8"/>
        <v>1.5249509560058718</v>
      </c>
      <c r="AR27" s="110">
        <f t="shared" si="13"/>
        <v>1</v>
      </c>
      <c r="AS27" s="78">
        <f t="shared" ca="1" si="9"/>
        <v>49</v>
      </c>
      <c r="AT27" s="78">
        <f t="shared" ca="1" si="10"/>
        <v>0.79606552430930166</v>
      </c>
      <c r="AU27" s="78">
        <f ca="1">INDEX($AS$3:$AS$30,MATCH(SMALL($AT$3:$AT$30,ROWS(AT$3:AT27)),$AT$3:$AT$30,0))</f>
        <v>52</v>
      </c>
      <c r="AV27" s="78">
        <f ca="1">SMALL($AS$3:$AS$30,ROWS(AV$3:AV27))</f>
        <v>72</v>
      </c>
      <c r="AW27" s="85">
        <f ca="1">VLOOKUP(SMALL($BB$3:$BB$16,AX27),$BB$3:$BC$30,2,0)</f>
        <v>42</v>
      </c>
      <c r="AX27" s="85">
        <f t="shared" si="14"/>
        <v>13</v>
      </c>
      <c r="BA27" s="85">
        <v>25</v>
      </c>
      <c r="BB27" s="85">
        <f t="shared" ca="1" si="11"/>
        <v>0.15791636680501897</v>
      </c>
      <c r="BC27" s="85">
        <f t="shared" ca="1" si="12"/>
        <v>72</v>
      </c>
    </row>
    <row r="28" spans="1:63" ht="16.5" x14ac:dyDescent="0.3">
      <c r="A28" s="9">
        <v>26</v>
      </c>
      <c r="B28" s="100">
        <v>70</v>
      </c>
      <c r="C28" s="101">
        <v>73</v>
      </c>
      <c r="D28" s="102">
        <v>58</v>
      </c>
      <c r="E28" s="142">
        <v>64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88">
        <v>27</v>
      </c>
      <c r="AO28" s="88">
        <f t="shared" ca="1" si="7"/>
        <v>17.101696753841683</v>
      </c>
      <c r="AP28" s="88">
        <f ca="1">SMALL($AO$3:$AO$30,ROWS(AO$3:AO28))</f>
        <v>32.551757798101036</v>
      </c>
      <c r="AQ28" s="110">
        <f t="shared" ca="1" si="8"/>
        <v>2.2847900055152532</v>
      </c>
      <c r="AR28" s="110">
        <f t="shared" si="13"/>
        <v>1.5</v>
      </c>
      <c r="AS28" s="78">
        <f t="shared" ca="1" si="9"/>
        <v>75</v>
      </c>
      <c r="AT28" s="78">
        <f t="shared" ca="1" si="10"/>
        <v>0.66920429079703692</v>
      </c>
      <c r="AU28" s="78">
        <f ca="1">INDEX($AS$3:$AS$30,MATCH(SMALL($AT$3:$AT$30,ROWS(AT$3:AT28)),$AT$3:$AT$30,0))</f>
        <v>42</v>
      </c>
      <c r="AV28" s="78">
        <f ca="1">SMALL($AS$3:$AS$30,ROWS(AV$3:AV28))</f>
        <v>74</v>
      </c>
      <c r="AW28" s="85">
        <f ca="1">VLOOKUP(SMALL($BB$17:$BB$30,AX28),$BB$17:$BC$30,2,0)</f>
        <v>75</v>
      </c>
      <c r="AX28" s="85">
        <f t="shared" si="14"/>
        <v>13</v>
      </c>
      <c r="BA28" s="85">
        <v>26</v>
      </c>
      <c r="BB28" s="85">
        <f t="shared" ca="1" si="11"/>
        <v>7.8155133973583868E-2</v>
      </c>
      <c r="BC28" s="85">
        <f t="shared" ca="1" si="12"/>
        <v>74</v>
      </c>
    </row>
    <row r="29" spans="1:63" ht="16.5" x14ac:dyDescent="0.3">
      <c r="A29" s="9">
        <v>27</v>
      </c>
      <c r="B29" s="100">
        <v>49</v>
      </c>
      <c r="C29" s="101">
        <v>73</v>
      </c>
      <c r="D29" s="102">
        <v>73</v>
      </c>
      <c r="E29" s="142">
        <v>73</v>
      </c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88">
        <v>26</v>
      </c>
      <c r="AO29" s="88">
        <f t="shared" ca="1" si="7"/>
        <v>25.442904223809261</v>
      </c>
      <c r="AP29" s="88">
        <f ca="1">SMALL($AO$3:$AO$30,ROWS(AO$3:AO29))</f>
        <v>32.765557773638434</v>
      </c>
      <c r="AQ29" s="110">
        <f t="shared" ca="1" si="8"/>
        <v>2.8737195131647058</v>
      </c>
      <c r="AR29" s="110">
        <f t="shared" si="13"/>
        <v>2</v>
      </c>
      <c r="AS29" s="78">
        <f t="shared" ca="1" si="9"/>
        <v>95</v>
      </c>
      <c r="AT29" s="78">
        <f t="shared" ca="1" si="10"/>
        <v>0.33507950956913302</v>
      </c>
      <c r="AU29" s="78">
        <f ca="1">INDEX($AS$3:$AS$30,MATCH(SMALL($AT$3:$AT$30,ROWS(AT$3:AT29)),$AT$3:$AT$30,0))</f>
        <v>30</v>
      </c>
      <c r="AV29" s="78">
        <f ca="1">SMALL($AS$3:$AS$30,ROWS(AV$3:AV29))</f>
        <v>75</v>
      </c>
      <c r="AW29" s="85">
        <f ca="1">VLOOKUP(SMALL($BB$17:$BB$30,AX29),$BB$17:$BC$30,2,0)</f>
        <v>59</v>
      </c>
      <c r="AX29" s="85">
        <f t="shared" si="14"/>
        <v>14</v>
      </c>
      <c r="BA29" s="85">
        <v>27</v>
      </c>
      <c r="BB29" s="85">
        <f t="shared" ca="1" si="11"/>
        <v>0.80687260248739567</v>
      </c>
      <c r="BC29" s="85">
        <f t="shared" ca="1" si="12"/>
        <v>75</v>
      </c>
    </row>
    <row r="30" spans="1:63" ht="16.5" x14ac:dyDescent="0.3">
      <c r="A30" s="9">
        <v>28</v>
      </c>
      <c r="B30" s="100">
        <v>58</v>
      </c>
      <c r="C30" s="101">
        <v>81</v>
      </c>
      <c r="D30" s="102">
        <v>64</v>
      </c>
      <c r="E30" s="142">
        <v>46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88">
        <v>33</v>
      </c>
      <c r="AO30" s="88">
        <f t="shared" ca="1" si="7"/>
        <v>25.264373869767489</v>
      </c>
      <c r="AP30" s="88">
        <f ca="1">SMALL($AO$3:$AO$30,ROWS(AO$3:AO30))</f>
        <v>37.283600102866224</v>
      </c>
      <c r="AQ30" s="110">
        <f t="shared" ca="1" si="8"/>
        <v>1.4945651069950991</v>
      </c>
      <c r="AR30" s="110">
        <f t="shared" si="13"/>
        <v>1</v>
      </c>
      <c r="AS30" s="78">
        <f t="shared" ca="1" si="9"/>
        <v>56</v>
      </c>
      <c r="AT30" s="78">
        <f t="shared" ca="1" si="10"/>
        <v>6.6153429780916095E-2</v>
      </c>
      <c r="AU30" s="78">
        <f ca="1">INDEX($AS$3:$AS$30,MATCH(SMALL($AT$3:$AT$30,ROWS(AT$3:AT30)),$AT$3:$AT$30,0))</f>
        <v>64</v>
      </c>
      <c r="AV30" s="78">
        <f ca="1">SMALL($AS$3:$AS$30,ROWS(AV$3:AV30))</f>
        <v>95</v>
      </c>
      <c r="AW30" s="85">
        <f ca="1">VLOOKUP(SMALL($BB$3:$BB$16,AX30),$BB$3:$BC$30,2,0)</f>
        <v>42</v>
      </c>
      <c r="AX30" s="85">
        <f t="shared" si="14"/>
        <v>14</v>
      </c>
      <c r="BA30" s="85">
        <v>28</v>
      </c>
      <c r="BB30" s="85">
        <f t="shared" ca="1" si="11"/>
        <v>0.68502267469343303</v>
      </c>
      <c r="BC30" s="85">
        <f t="shared" ca="1" si="12"/>
        <v>95</v>
      </c>
    </row>
    <row r="31" spans="1:63" ht="16.5" x14ac:dyDescent="0.3">
      <c r="A31" s="9"/>
      <c r="B31" s="100"/>
      <c r="C31" s="101"/>
      <c r="D31" s="102"/>
      <c r="E31" s="142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0"/>
      <c r="C32" s="101"/>
      <c r="D32" s="102"/>
      <c r="E32" s="142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/>
      <c r="AO32"/>
      <c r="AP32"/>
      <c r="AQ32"/>
      <c r="AR32"/>
      <c r="AS32" s="78">
        <f ca="1">SUM(AS3:AS30)</f>
        <v>1423</v>
      </c>
      <c r="AT32"/>
      <c r="AU32" s="78">
        <f ca="1">SUM(AU3:AU30)</f>
        <v>1423</v>
      </c>
      <c r="AV32" s="78">
        <f ca="1">SUM(AV3:AV30)</f>
        <v>1423</v>
      </c>
      <c r="AW32" s="78">
        <f ca="1">SUM(AW3:AW30)</f>
        <v>1423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0"/>
      <c r="C33" s="101"/>
      <c r="D33" s="102"/>
      <c r="E33" s="142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0"/>
      <c r="C34" s="101"/>
      <c r="D34" s="102"/>
      <c r="E34" s="142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0"/>
      <c r="C35" s="101"/>
      <c r="D35" s="102"/>
      <c r="E35" s="142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0"/>
      <c r="C36" s="101"/>
      <c r="D36" s="102"/>
      <c r="E36" s="142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0"/>
      <c r="C37" s="101"/>
      <c r="D37" s="102"/>
      <c r="E37" s="142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0"/>
      <c r="C38" s="101"/>
      <c r="D38" s="102"/>
      <c r="E38" s="142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0"/>
      <c r="C39" s="101"/>
      <c r="D39" s="102"/>
      <c r="E39" s="142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0"/>
      <c r="C40" s="101"/>
      <c r="D40" s="102"/>
      <c r="E40" s="142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0"/>
      <c r="C41" s="101"/>
      <c r="D41" s="102"/>
      <c r="E41" s="142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0"/>
      <c r="C42" s="101"/>
      <c r="D42" s="102"/>
      <c r="E42" s="142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0"/>
      <c r="C43" s="101"/>
      <c r="D43" s="102"/>
      <c r="E43" s="142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0"/>
      <c r="C44" s="101"/>
      <c r="D44" s="102"/>
      <c r="E44" s="142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0"/>
      <c r="C45" s="101"/>
      <c r="D45" s="102"/>
      <c r="E45" s="142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0"/>
      <c r="C46" s="101"/>
      <c r="D46" s="102"/>
      <c r="E46" s="142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0"/>
      <c r="C47" s="101"/>
      <c r="D47" s="102"/>
      <c r="E47" s="142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0"/>
      <c r="C48" s="101"/>
      <c r="D48" s="102"/>
      <c r="E48" s="14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0"/>
      <c r="C49" s="101"/>
      <c r="D49" s="102"/>
      <c r="E49" s="142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0"/>
      <c r="C50" s="101"/>
      <c r="D50" s="102"/>
      <c r="E50" s="142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0"/>
      <c r="C51" s="101"/>
      <c r="D51" s="102"/>
      <c r="E51" s="142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0"/>
      <c r="C52" s="101"/>
      <c r="D52" s="102"/>
      <c r="E52" s="142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0"/>
      <c r="C53" s="101"/>
      <c r="D53" s="102"/>
      <c r="E53" s="142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0"/>
      <c r="C54" s="101"/>
      <c r="D54" s="102"/>
      <c r="E54" s="142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0"/>
      <c r="C55" s="101"/>
      <c r="D55" s="102"/>
      <c r="E55" s="142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0"/>
      <c r="C56" s="101"/>
      <c r="D56" s="102"/>
      <c r="E56" s="142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0"/>
      <c r="C57" s="101"/>
      <c r="D57" s="102"/>
      <c r="E57" s="142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0"/>
      <c r="C58" s="101"/>
      <c r="D58" s="102"/>
      <c r="E58" s="14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0"/>
      <c r="C59" s="101"/>
      <c r="D59" s="102"/>
      <c r="E59" s="14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0"/>
      <c r="C60" s="101"/>
      <c r="D60" s="102"/>
      <c r="E60" s="14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0"/>
      <c r="C61" s="101"/>
      <c r="D61" s="102"/>
      <c r="E61" s="14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0"/>
      <c r="C62" s="101"/>
      <c r="D62" s="102"/>
      <c r="E62" s="14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0"/>
      <c r="C63" s="101"/>
      <c r="D63" s="102"/>
      <c r="E63" s="14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0"/>
      <c r="C64" s="101"/>
      <c r="D64" s="102"/>
      <c r="E64" s="14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0"/>
      <c r="C65" s="101"/>
      <c r="D65" s="102"/>
      <c r="E65" s="14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0"/>
      <c r="C66" s="101"/>
      <c r="D66" s="102"/>
      <c r="E66" s="14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0"/>
      <c r="C67" s="101"/>
      <c r="D67" s="102"/>
      <c r="E67" s="14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0"/>
      <c r="C68" s="101"/>
      <c r="D68" s="102"/>
      <c r="E68" s="14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0"/>
      <c r="C69" s="101"/>
      <c r="D69" s="102"/>
      <c r="E69" s="14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0"/>
      <c r="C70" s="101"/>
      <c r="D70" s="102"/>
      <c r="E70" s="14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0"/>
      <c r="C71" s="101"/>
      <c r="D71" s="102"/>
      <c r="E71" s="14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0"/>
      <c r="C72" s="101"/>
      <c r="D72" s="102"/>
      <c r="E72" s="14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0"/>
      <c r="C73" s="101"/>
      <c r="D73" s="102"/>
      <c r="E73" s="14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0"/>
      <c r="C74" s="101"/>
      <c r="D74" s="102"/>
      <c r="E74" s="14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0"/>
      <c r="C75" s="101"/>
      <c r="D75" s="102"/>
      <c r="E75" s="14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0"/>
      <c r="C76" s="101"/>
      <c r="D76" s="102"/>
      <c r="E76" s="14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0"/>
      <c r="C77" s="101"/>
      <c r="D77" s="102"/>
      <c r="E77" s="14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0"/>
      <c r="C78" s="101"/>
      <c r="D78" s="102"/>
      <c r="E78" s="142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0"/>
      <c r="C79" s="101"/>
      <c r="D79" s="102"/>
      <c r="E79" s="142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0"/>
      <c r="C80" s="101"/>
      <c r="D80" s="102"/>
      <c r="E80" s="142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0"/>
      <c r="C81" s="101"/>
      <c r="D81" s="102"/>
      <c r="E81" s="142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0"/>
      <c r="C82" s="101"/>
      <c r="D82" s="102"/>
      <c r="E82" s="142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0"/>
      <c r="C83" s="101"/>
      <c r="D83" s="102"/>
      <c r="E83" s="142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0"/>
      <c r="C84" s="101"/>
      <c r="D84" s="102"/>
      <c r="E84" s="142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0"/>
      <c r="C85" s="101"/>
      <c r="D85" s="102"/>
      <c r="E85" s="142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0"/>
      <c r="C86" s="101"/>
      <c r="D86" s="102"/>
      <c r="E86" s="142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1:63" ht="17.25" thickBot="1" x14ac:dyDescent="0.35">
      <c r="A88"/>
      <c r="B88" s="100">
        <f>SUM(B3:B86)</f>
        <v>1395</v>
      </c>
      <c r="C88" s="100">
        <f>SUM(C3:C86)</f>
        <v>1395</v>
      </c>
      <c r="D88" s="100">
        <f>SUM(D3:D86)</f>
        <v>1395</v>
      </c>
      <c r="E88" s="100">
        <f>SUM(E3:E86)</f>
        <v>1395</v>
      </c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78">
        <f ca="1">SUM(AS3:AS86)</f>
        <v>2846</v>
      </c>
      <c r="AT88" s="78">
        <f ca="1">SUM(AT3:AT86)</f>
        <v>13.339202198081002</v>
      </c>
      <c r="AU88" s="78">
        <f ca="1">SUM(AU3:AU86)</f>
        <v>2846</v>
      </c>
      <c r="AV88" s="78">
        <f ca="1">SUM(AV3:AV86)</f>
        <v>2846</v>
      </c>
      <c r="AW88" s="78">
        <f ca="1">SUM(AW3:AW86)</f>
        <v>2846</v>
      </c>
      <c r="AX88"/>
    </row>
    <row r="89" spans="1:63" ht="17.25" thickBot="1" x14ac:dyDescent="0.35">
      <c r="A89"/>
      <c r="B89"/>
      <c r="C89"/>
      <c r="D89"/>
      <c r="E8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2" t="s">
        <v>101</v>
      </c>
      <c r="AT89" s="78" t="s">
        <v>102</v>
      </c>
      <c r="AU89" s="90" t="s">
        <v>103</v>
      </c>
      <c r="AV89" s="91" t="s">
        <v>19</v>
      </c>
      <c r="AW89" s="85" t="s">
        <v>109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0"/>
      <c r="AR93" s="110"/>
      <c r="AS93"/>
      <c r="AT93"/>
      <c r="AU93"/>
      <c r="AX93"/>
    </row>
    <row r="94" spans="1:63" ht="16.5" x14ac:dyDescent="0.3">
      <c r="AP94"/>
      <c r="AQ94" s="110"/>
      <c r="AR94" s="110"/>
      <c r="AS94"/>
      <c r="AT94"/>
      <c r="AU94"/>
      <c r="AX94"/>
    </row>
    <row r="95" spans="1:63" ht="16.5" x14ac:dyDescent="0.3">
      <c r="AP95"/>
      <c r="AQ95" s="110"/>
      <c r="AR95" s="110"/>
      <c r="AS95"/>
      <c r="AT95"/>
      <c r="AU95"/>
      <c r="AX95"/>
    </row>
    <row r="96" spans="1:63" ht="16.5" x14ac:dyDescent="0.3">
      <c r="AP96"/>
      <c r="AQ96" s="110"/>
      <c r="AR96" s="110"/>
      <c r="AS96"/>
      <c r="AT96"/>
      <c r="AU96"/>
      <c r="AX96"/>
    </row>
    <row r="97" spans="1:50" ht="16.5" x14ac:dyDescent="0.3">
      <c r="AP97"/>
      <c r="AQ97" s="110"/>
      <c r="AR97" s="110"/>
      <c r="AS97"/>
      <c r="AT97"/>
      <c r="AU97"/>
      <c r="AX97"/>
    </row>
    <row r="98" spans="1:50" ht="16.5" x14ac:dyDescent="0.3">
      <c r="A98" s="69">
        <f t="shared" ref="A98:A125" si="15">A3</f>
        <v>1</v>
      </c>
      <c r="B98" s="69">
        <f>SUM(B$3:B3)</f>
        <v>40</v>
      </c>
      <c r="C98" s="69">
        <f>SUM(C$3:C3)</f>
        <v>18</v>
      </c>
      <c r="D98" s="69">
        <f>SUM(D$3:D3)</f>
        <v>18</v>
      </c>
      <c r="E98" s="69">
        <f>SUM(E$3:E3)</f>
        <v>49</v>
      </c>
      <c r="AP98"/>
      <c r="AQ98" s="110"/>
      <c r="AR98" s="110"/>
      <c r="AS98"/>
      <c r="AT98"/>
      <c r="AU98"/>
      <c r="AX98"/>
    </row>
    <row r="99" spans="1:50" ht="16.5" x14ac:dyDescent="0.3">
      <c r="A99" s="69">
        <f t="shared" si="15"/>
        <v>2</v>
      </c>
      <c r="B99" s="69">
        <f>SUM(B$3:B4)</f>
        <v>93</v>
      </c>
      <c r="C99" s="69">
        <f>SUM(C$3:C4)</f>
        <v>43</v>
      </c>
      <c r="D99" s="69">
        <f>SUM(D$3:D4)</f>
        <v>48</v>
      </c>
      <c r="E99" s="69">
        <f>SUM(E$3:E4)</f>
        <v>103</v>
      </c>
      <c r="AP99"/>
      <c r="AQ99"/>
      <c r="AR99"/>
      <c r="AS99"/>
      <c r="AT99"/>
      <c r="AU99"/>
    </row>
    <row r="100" spans="1:50" ht="16.5" x14ac:dyDescent="0.3">
      <c r="A100" s="69">
        <f t="shared" si="15"/>
        <v>3</v>
      </c>
      <c r="B100" s="69">
        <f>SUM(B$3:B5)</f>
        <v>158</v>
      </c>
      <c r="C100" s="69">
        <f>SUM(C$3:C5)</f>
        <v>72</v>
      </c>
      <c r="D100" s="69">
        <f>SUM(D$3:D5)</f>
        <v>85</v>
      </c>
      <c r="E100" s="69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69">
        <f t="shared" si="15"/>
        <v>4</v>
      </c>
      <c r="B101" s="69">
        <f>SUM(B$3:B6)</f>
        <v>188</v>
      </c>
      <c r="C101" s="69">
        <f>SUM(C$3:C6)</f>
        <v>102</v>
      </c>
      <c r="D101" s="69">
        <f>SUM(D$3:D6)</f>
        <v>118</v>
      </c>
      <c r="E101" s="69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69">
        <f t="shared" si="15"/>
        <v>5</v>
      </c>
      <c r="B102" s="69">
        <f>SUM(B$3:B7)</f>
        <v>234</v>
      </c>
      <c r="C102" s="69">
        <f>SUM(C$3:C7)</f>
        <v>132</v>
      </c>
      <c r="D102" s="69">
        <f>SUM(D$3:D7)</f>
        <v>158</v>
      </c>
      <c r="E102" s="69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69">
        <f t="shared" si="15"/>
        <v>6</v>
      </c>
      <c r="B103" s="69">
        <f>SUM(B$3:B8)</f>
        <v>285</v>
      </c>
      <c r="C103" s="69">
        <f>SUM(C$3:C8)</f>
        <v>165</v>
      </c>
      <c r="D103" s="69">
        <f>SUM(D$3:D8)</f>
        <v>209</v>
      </c>
      <c r="E103" s="69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69">
        <f t="shared" si="15"/>
        <v>7</v>
      </c>
      <c r="B104" s="69">
        <f>SUM(B$3:B9)</f>
        <v>324</v>
      </c>
      <c r="C104" s="69">
        <f>SUM(C$3:C9)</f>
        <v>202</v>
      </c>
      <c r="D104" s="69">
        <f>SUM(D$3:D9)</f>
        <v>260</v>
      </c>
      <c r="E104" s="69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69">
        <f t="shared" si="15"/>
        <v>8</v>
      </c>
      <c r="B105" s="69">
        <f>SUM(B$3:B10)</f>
        <v>357</v>
      </c>
      <c r="C105" s="69">
        <f>SUM(C$3:C10)</f>
        <v>240</v>
      </c>
      <c r="D105" s="69">
        <f>SUM(D$3:D10)</f>
        <v>289</v>
      </c>
      <c r="E105" s="69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69">
        <f t="shared" si="15"/>
        <v>9</v>
      </c>
      <c r="B106" s="69">
        <f>SUM(B$3:B11)</f>
        <v>438</v>
      </c>
      <c r="C106" s="69">
        <f>SUM(C$3:C11)</f>
        <v>279</v>
      </c>
      <c r="D106" s="69">
        <f>SUM(D$3:D11)</f>
        <v>314</v>
      </c>
      <c r="E106" s="69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69">
        <f t="shared" si="15"/>
        <v>10</v>
      </c>
      <c r="B107" s="69">
        <f>SUM(B$3:B12)</f>
        <v>475</v>
      </c>
      <c r="C107" s="69">
        <f>SUM(C$3:C12)</f>
        <v>319</v>
      </c>
      <c r="D107" s="69">
        <f>SUM(D$3:D12)</f>
        <v>368</v>
      </c>
      <c r="E107" s="69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69">
        <f t="shared" si="15"/>
        <v>11</v>
      </c>
      <c r="B108" s="69">
        <f>SUM(B$3:B13)</f>
        <v>532</v>
      </c>
      <c r="C108" s="69">
        <f>SUM(C$3:C13)</f>
        <v>365</v>
      </c>
      <c r="D108" s="69">
        <f>SUM(D$3:D13)</f>
        <v>438</v>
      </c>
      <c r="E108" s="69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69">
        <f t="shared" si="15"/>
        <v>12</v>
      </c>
      <c r="B109" s="69">
        <f>SUM(B$3:B14)</f>
        <v>598</v>
      </c>
      <c r="C109" s="69">
        <f>SUM(C$3:C14)</f>
        <v>411</v>
      </c>
      <c r="D109" s="69">
        <f>SUM(D$3:D14)</f>
        <v>476</v>
      </c>
      <c r="E109" s="69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69">
        <f t="shared" si="15"/>
        <v>13</v>
      </c>
      <c r="B110" s="69">
        <f>SUM(B$3:B15)</f>
        <v>627</v>
      </c>
      <c r="C110" s="69">
        <f>SUM(C$3:C15)</f>
        <v>460</v>
      </c>
      <c r="D110" s="69">
        <f>SUM(D$3:D15)</f>
        <v>515</v>
      </c>
      <c r="E110" s="69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69">
        <f t="shared" si="15"/>
        <v>14</v>
      </c>
      <c r="B111" s="69">
        <f>SUM(B$3:B16)</f>
        <v>645</v>
      </c>
      <c r="C111" s="69">
        <f>SUM(C$3:C16)</f>
        <v>511</v>
      </c>
      <c r="D111" s="69">
        <f>SUM(D$3:D16)</f>
        <v>576</v>
      </c>
      <c r="E111" s="69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69">
        <f t="shared" si="15"/>
        <v>15</v>
      </c>
      <c r="B112" s="69">
        <f>SUM(B$3:B17)</f>
        <v>718</v>
      </c>
      <c r="C112" s="69">
        <f>SUM(C$3:C17)</f>
        <v>562</v>
      </c>
      <c r="D112" s="69">
        <f>SUM(D$3:D17)</f>
        <v>649</v>
      </c>
      <c r="E112" s="69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69">
        <f t="shared" si="15"/>
        <v>16</v>
      </c>
      <c r="B113" s="69">
        <f>SUM(B$3:B18)</f>
        <v>743</v>
      </c>
      <c r="C113" s="69">
        <f>SUM(C$3:C18)</f>
        <v>615</v>
      </c>
      <c r="D113" s="69">
        <f>SUM(D$3:D18)</f>
        <v>698</v>
      </c>
      <c r="E113" s="69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69">
        <f t="shared" si="15"/>
        <v>17</v>
      </c>
      <c r="B114" s="69">
        <f>SUM(B$3:B19)</f>
        <v>794</v>
      </c>
      <c r="C114" s="69">
        <f>SUM(C$3:C19)</f>
        <v>669</v>
      </c>
      <c r="D114" s="69">
        <f>SUM(D$3:D19)</f>
        <v>728</v>
      </c>
      <c r="E114" s="69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69">
        <f t="shared" si="15"/>
        <v>18</v>
      </c>
      <c r="B115" s="69">
        <f>SUM(B$3:B20)</f>
        <v>848</v>
      </c>
      <c r="C115" s="69">
        <f>SUM(C$3:C20)</f>
        <v>726</v>
      </c>
      <c r="D115" s="69">
        <f>SUM(D$3:D20)</f>
        <v>793</v>
      </c>
      <c r="E115" s="69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69">
        <f t="shared" si="15"/>
        <v>19</v>
      </c>
      <c r="B116" s="69">
        <f>SUM(B$3:B21)</f>
        <v>894</v>
      </c>
      <c r="C116" s="69">
        <f>SUM(C$3:C21)</f>
        <v>784</v>
      </c>
      <c r="D116" s="69">
        <f>SUM(D$3:D21)</f>
        <v>859</v>
      </c>
      <c r="E116" s="69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69">
        <f t="shared" si="15"/>
        <v>20</v>
      </c>
      <c r="B117" s="69">
        <f>SUM(B$3:B22)</f>
        <v>967</v>
      </c>
      <c r="C117" s="69">
        <f>SUM(C$3:C22)</f>
        <v>842</v>
      </c>
      <c r="D117" s="69">
        <f>SUM(D$3:D22)</f>
        <v>905</v>
      </c>
      <c r="E117" s="69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69">
        <f t="shared" si="15"/>
        <v>21</v>
      </c>
      <c r="B118" s="69">
        <f>SUM(B$3:B23)</f>
        <v>1025</v>
      </c>
      <c r="C118" s="69">
        <f>SUM(C$3:C23)</f>
        <v>903</v>
      </c>
      <c r="D118" s="69">
        <f>SUM(D$3:D23)</f>
        <v>951</v>
      </c>
      <c r="E118" s="69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69">
        <f t="shared" si="15"/>
        <v>22</v>
      </c>
      <c r="B119" s="69">
        <f>SUM(B$3:B24)</f>
        <v>1089</v>
      </c>
      <c r="C119" s="69">
        <f>SUM(C$3:C24)</f>
        <v>967</v>
      </c>
      <c r="D119" s="69">
        <f>SUM(D$3:D24)</f>
        <v>1004</v>
      </c>
      <c r="E119" s="69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69">
        <f t="shared" si="15"/>
        <v>23</v>
      </c>
      <c r="B120" s="69">
        <f>SUM(B$3:B25)</f>
        <v>1127</v>
      </c>
      <c r="C120" s="69">
        <f>SUM(C$3:C25)</f>
        <v>1032</v>
      </c>
      <c r="D120" s="69">
        <f>SUM(D$3:D25)</f>
        <v>1085</v>
      </c>
      <c r="E120" s="69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69">
        <f t="shared" si="15"/>
        <v>24</v>
      </c>
      <c r="B121" s="69">
        <f>SUM(B$3:B26)</f>
        <v>1157</v>
      </c>
      <c r="C121" s="69">
        <f>SUM(C$3:C26)</f>
        <v>1098</v>
      </c>
      <c r="D121" s="69">
        <f>SUM(D$3:D26)</f>
        <v>1143</v>
      </c>
      <c r="E121" s="69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69">
        <f t="shared" si="15"/>
        <v>25</v>
      </c>
      <c r="B122" s="69">
        <f>SUM(B$3:B27)</f>
        <v>1218</v>
      </c>
      <c r="C122" s="69">
        <f>SUM(C$3:C27)</f>
        <v>1168</v>
      </c>
      <c r="D122" s="69">
        <f>SUM(D$3:D27)</f>
        <v>1200</v>
      </c>
      <c r="E122" s="69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69">
        <f t="shared" si="15"/>
        <v>26</v>
      </c>
      <c r="B123" s="69">
        <f>SUM(B$3:B28)</f>
        <v>1288</v>
      </c>
      <c r="C123" s="69">
        <f>SUM(C$3:C28)</f>
        <v>1241</v>
      </c>
      <c r="D123" s="69">
        <f>SUM(D$3:D28)</f>
        <v>1258</v>
      </c>
      <c r="E123" s="69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69">
        <f t="shared" si="15"/>
        <v>27</v>
      </c>
      <c r="B124" s="69">
        <f>SUM(B$3:B29)</f>
        <v>1337</v>
      </c>
      <c r="C124" s="69">
        <f>SUM(C$3:C29)</f>
        <v>1314</v>
      </c>
      <c r="D124" s="69">
        <f>SUM(D$3:D29)</f>
        <v>1331</v>
      </c>
      <c r="E124" s="69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69">
        <f t="shared" si="15"/>
        <v>28</v>
      </c>
      <c r="B125" s="69">
        <f>SUM(B$3:B30)</f>
        <v>1395</v>
      </c>
      <c r="C125" s="69">
        <f>SUM(C$3:C30)</f>
        <v>1395</v>
      </c>
      <c r="D125" s="69">
        <f>SUM(D$3:D30)</f>
        <v>1395</v>
      </c>
      <c r="E125" s="69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3.ArdiData28Fixed</vt:lpstr>
      <vt:lpstr>1.StatFitPoissNorm</vt:lpstr>
      <vt:lpstr>Stationary</vt:lpstr>
      <vt:lpstr>0.Regression</vt:lpstr>
      <vt:lpstr>Trend</vt:lpstr>
      <vt:lpstr>TrendAdj</vt:lpstr>
      <vt:lpstr>TrendAndSeas</vt:lpstr>
      <vt:lpstr>TrendAndSeas (2)</vt:lpstr>
      <vt:lpstr>TrAdES</vt:lpstr>
      <vt:lpstr>TrAdES2</vt:lpstr>
      <vt:lpstr>Sheet1</vt:lpstr>
      <vt:lpstr>3b.ArdiData28Fixed</vt:lpstr>
      <vt:lpstr>3c.ArdiData28Fixed</vt:lpstr>
      <vt:lpstr>3d.ArdiData28Fixed</vt:lpstr>
      <vt:lpstr>3e.ArdiData28Fixed</vt:lpstr>
      <vt:lpstr>3f.ArdiData28Fixed)</vt:lpstr>
      <vt:lpstr>3g.ArdiData28Fixed</vt:lpstr>
      <vt:lpstr>3h.ArdiData28Fixed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2021-02-11T05:34:42Z</dcterms:modified>
</cp:coreProperties>
</file>