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a2035\Desktop\Forecasting\ES-Adv-2020\"/>
    </mc:Choice>
  </mc:AlternateContent>
  <xr:revisionPtr revIDLastSave="0" documentId="13_ncr:1_{FC86C147-97C1-4439-83C9-E66547862EE5}" xr6:coauthVersionLast="45" xr6:coauthVersionMax="45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1.LALB23TrendLine" sheetId="19" r:id="rId1"/>
    <sheet name="2.LALB23DataAna&amp;Formula" sheetId="20" r:id="rId2"/>
    <sheet name="4.LALB23Solver&amp;Formulas" sheetId="21" r:id="rId3"/>
    <sheet name="1.ES.MAD.MSE.MAPE.TS.Resi" sheetId="22" r:id="rId4"/>
    <sheet name="1.ES.MAD.MSE.MAPE.TS.Resi (2)" sheetId="23" r:id="rId5"/>
    <sheet name="0.ArdiData" sheetId="9" r:id="rId6"/>
    <sheet name="5.Trend&amp;Season" sheetId="17" r:id="rId7"/>
    <sheet name="0.ArdiData&amp;FixedData" sheetId="12" r:id="rId8"/>
    <sheet name="TrAdES" sheetId="14" r:id="rId9"/>
    <sheet name="TrAdES2" sheetId="15" r:id="rId10"/>
    <sheet name="Sheet1" sheetId="18" r:id="rId11"/>
    <sheet name="BookData" sheetId="6" r:id="rId12"/>
  </sheets>
  <externalReferences>
    <externalReference r:id="rId13"/>
    <externalReference r:id="rId14"/>
  </externalReferences>
  <definedNames>
    <definedName name="solver_adj" localSheetId="3" hidden="1">'1.ES.MAD.MSE.MAPE.TS.Resi'!$J$1</definedName>
    <definedName name="solver_adj" localSheetId="4" hidden="1">'1.ES.MAD.MSE.MAPE.TS.Resi (2)'!$J$1:$J$2</definedName>
    <definedName name="solver_adj" localSheetId="2" hidden="1">'4.LALB23Solver&amp;Formulas'!$K$1:$K$2</definedName>
    <definedName name="solver_adj" localSheetId="8" hidden="1">TrAdES!$N$1:$N$2</definedName>
    <definedName name="solver_adj" localSheetId="9" hidden="1">TrAdES2!$P$1:$P$2</definedName>
    <definedName name="solver_cvg" localSheetId="3" hidden="1">0.0001</definedName>
    <definedName name="solver_cvg" localSheetId="4" hidden="1">0.0001</definedName>
    <definedName name="solver_cvg" localSheetId="2" hidden="1">0.0001</definedName>
    <definedName name="solver_cvg" localSheetId="8" hidden="1">0.0001</definedName>
    <definedName name="solver_cvg" localSheetId="9" hidden="1">0.0001</definedName>
    <definedName name="solver_drv" localSheetId="3" hidden="1">2</definedName>
    <definedName name="solver_drv" localSheetId="4" hidden="1">2</definedName>
    <definedName name="solver_drv" localSheetId="2" hidden="1">2</definedName>
    <definedName name="solver_drv" localSheetId="8" hidden="1">1</definedName>
    <definedName name="solver_drv" localSheetId="9" hidden="1">1</definedName>
    <definedName name="solver_eng" localSheetId="3" hidden="1">1</definedName>
    <definedName name="solver_eng" localSheetId="4" hidden="1">1</definedName>
    <definedName name="solver_eng" localSheetId="2" hidden="1">1</definedName>
    <definedName name="solver_eng" localSheetId="8" hidden="1">1</definedName>
    <definedName name="solver_eng" localSheetId="9" hidden="1">1</definedName>
    <definedName name="solver_est" localSheetId="3" hidden="1">1</definedName>
    <definedName name="solver_est" localSheetId="4" hidden="1">1</definedName>
    <definedName name="solver_est" localSheetId="2" hidden="1">1</definedName>
    <definedName name="solver_est" localSheetId="8" hidden="1">1</definedName>
    <definedName name="solver_est" localSheetId="9" hidden="1">1</definedName>
    <definedName name="solver_itr" localSheetId="3" hidden="1">2147483647</definedName>
    <definedName name="solver_itr" localSheetId="4" hidden="1">2147483647</definedName>
    <definedName name="solver_itr" localSheetId="2" hidden="1">2147483647</definedName>
    <definedName name="solver_itr" localSheetId="8" hidden="1">2147483647</definedName>
    <definedName name="solver_itr" localSheetId="9" hidden="1">2147483647</definedName>
    <definedName name="solver_lhs1" localSheetId="3" hidden="1">'1.ES.MAD.MSE.MAPE.TS.Resi'!$J$1</definedName>
    <definedName name="solver_lhs1" localSheetId="4" hidden="1">'1.ES.MAD.MSE.MAPE.TS.Resi (2)'!$J$1:$J$2</definedName>
    <definedName name="solver_lhs1" localSheetId="8" hidden="1">TrAdES!$N$1</definedName>
    <definedName name="solver_lhs1" localSheetId="9" hidden="1">TrAdES2!$P$1</definedName>
    <definedName name="solver_lhs2" localSheetId="4" hidden="1">'1.ES.MAD.MSE.MAPE.TS.Resi (2)'!$J$1:$J$2</definedName>
    <definedName name="solver_lhs2" localSheetId="8" hidden="1">TrAdES!$N$1</definedName>
    <definedName name="solver_lhs2" localSheetId="9" hidden="1">TrAdES2!$P$1</definedName>
    <definedName name="solver_mip" localSheetId="3" hidden="1">2147483647</definedName>
    <definedName name="solver_mip" localSheetId="4" hidden="1">2147483647</definedName>
    <definedName name="solver_mip" localSheetId="2" hidden="1">2147483647</definedName>
    <definedName name="solver_mip" localSheetId="8" hidden="1">2147483647</definedName>
    <definedName name="solver_mip" localSheetId="9" hidden="1">2147483647</definedName>
    <definedName name="solver_mni" localSheetId="3" hidden="1">30</definedName>
    <definedName name="solver_mni" localSheetId="4" hidden="1">30</definedName>
    <definedName name="solver_mni" localSheetId="2" hidden="1">30</definedName>
    <definedName name="solver_mni" localSheetId="8" hidden="1">30</definedName>
    <definedName name="solver_mni" localSheetId="9" hidden="1">30</definedName>
    <definedName name="solver_mrt" localSheetId="3" hidden="1">0.075</definedName>
    <definedName name="solver_mrt" localSheetId="4" hidden="1">0.075</definedName>
    <definedName name="solver_mrt" localSheetId="2" hidden="1">0.075</definedName>
    <definedName name="solver_mrt" localSheetId="8" hidden="1">0.075</definedName>
    <definedName name="solver_mrt" localSheetId="9" hidden="1">0.075</definedName>
    <definedName name="solver_msl" localSheetId="3" hidden="1">2</definedName>
    <definedName name="solver_msl" localSheetId="4" hidden="1">2</definedName>
    <definedName name="solver_msl" localSheetId="2" hidden="1">2</definedName>
    <definedName name="solver_msl" localSheetId="8" hidden="1">2</definedName>
    <definedName name="solver_msl" localSheetId="9" hidden="1">2</definedName>
    <definedName name="solver_neg" localSheetId="3" hidden="1">1</definedName>
    <definedName name="solver_neg" localSheetId="4" hidden="1">1</definedName>
    <definedName name="solver_neg" localSheetId="2" hidden="1">1</definedName>
    <definedName name="solver_neg" localSheetId="8" hidden="1">1</definedName>
    <definedName name="solver_neg" localSheetId="9" hidden="1">1</definedName>
    <definedName name="solver_nod" localSheetId="3" hidden="1">2147483647</definedName>
    <definedName name="solver_nod" localSheetId="4" hidden="1">2147483647</definedName>
    <definedName name="solver_nod" localSheetId="2" hidden="1">2147483647</definedName>
    <definedName name="solver_nod" localSheetId="8" hidden="1">2147483647</definedName>
    <definedName name="solver_nod" localSheetId="9" hidden="1">2147483647</definedName>
    <definedName name="solver_num" localSheetId="3" hidden="1">1</definedName>
    <definedName name="solver_num" localSheetId="4" hidden="1">2</definedName>
    <definedName name="solver_num" localSheetId="2" hidden="1">0</definedName>
    <definedName name="solver_num" localSheetId="8" hidden="1">0</definedName>
    <definedName name="solver_num" localSheetId="9" hidden="1">0</definedName>
    <definedName name="solver_nwt" localSheetId="3" hidden="1">1</definedName>
    <definedName name="solver_nwt" localSheetId="4" hidden="1">1</definedName>
    <definedName name="solver_nwt" localSheetId="2" hidden="1">1</definedName>
    <definedName name="solver_nwt" localSheetId="8" hidden="1">1</definedName>
    <definedName name="solver_nwt" localSheetId="9" hidden="1">1</definedName>
    <definedName name="solver_opt" localSheetId="3" hidden="1">'1.ES.MAD.MSE.MAPE.TS.Resi'!$I$30</definedName>
    <definedName name="solver_opt" localSheetId="4" hidden="1">'1.ES.MAD.MSE.MAPE.TS.Resi (2)'!$K$31</definedName>
    <definedName name="solver_opt" localSheetId="2" hidden="1">'4.LALB23Solver&amp;Formulas'!$E$25</definedName>
    <definedName name="solver_opt" localSheetId="8" hidden="1">TrAdES!$M$5</definedName>
    <definedName name="solver_opt" localSheetId="9" hidden="1">TrAdES2!$O$4</definedName>
    <definedName name="solver_pre" localSheetId="3" hidden="1">0.000001</definedName>
    <definedName name="solver_pre" localSheetId="4" hidden="1">0.000001</definedName>
    <definedName name="solver_pre" localSheetId="2" hidden="1">0.000001</definedName>
    <definedName name="solver_pre" localSheetId="8" hidden="1">0.000001</definedName>
    <definedName name="solver_pre" localSheetId="9" hidden="1">0.000001</definedName>
    <definedName name="solver_rbv" localSheetId="3" hidden="1">2</definedName>
    <definedName name="solver_rbv" localSheetId="4" hidden="1">2</definedName>
    <definedName name="solver_rbv" localSheetId="2" hidden="1">2</definedName>
    <definedName name="solver_rbv" localSheetId="8" hidden="1">1</definedName>
    <definedName name="solver_rbv" localSheetId="9" hidden="1">1</definedName>
    <definedName name="solver_rel1" localSheetId="3" hidden="1">1</definedName>
    <definedName name="solver_rel1" localSheetId="4" hidden="1">1</definedName>
    <definedName name="solver_rel1" localSheetId="8" hidden="1">1</definedName>
    <definedName name="solver_rel1" localSheetId="9" hidden="1">1</definedName>
    <definedName name="solver_rel2" localSheetId="4" hidden="1">3</definedName>
    <definedName name="solver_rel2" localSheetId="8" hidden="1">3</definedName>
    <definedName name="solver_rel2" localSheetId="9" hidden="1">3</definedName>
    <definedName name="solver_rhs1" localSheetId="3" hidden="1">1</definedName>
    <definedName name="solver_rhs1" localSheetId="4" hidden="1">1</definedName>
    <definedName name="solver_rhs1" localSheetId="8" hidden="1">1</definedName>
    <definedName name="solver_rhs1" localSheetId="9" hidden="1">1</definedName>
    <definedName name="solver_rhs2" localSheetId="4" hidden="1">0</definedName>
    <definedName name="solver_rhs2" localSheetId="8" hidden="1">0</definedName>
    <definedName name="solver_rhs2" localSheetId="9" hidden="1">0</definedName>
    <definedName name="solver_rlx" localSheetId="3" hidden="1">2</definedName>
    <definedName name="solver_rlx" localSheetId="4" hidden="1">2</definedName>
    <definedName name="solver_rlx" localSheetId="2" hidden="1">2</definedName>
    <definedName name="solver_rlx" localSheetId="8" hidden="1">2</definedName>
    <definedName name="solver_rlx" localSheetId="9" hidden="1">2</definedName>
    <definedName name="solver_rsd" localSheetId="3" hidden="1">0</definedName>
    <definedName name="solver_rsd" localSheetId="4" hidden="1">0</definedName>
    <definedName name="solver_rsd" localSheetId="2" hidden="1">0</definedName>
    <definedName name="solver_rsd" localSheetId="8" hidden="1">0</definedName>
    <definedName name="solver_rsd" localSheetId="9" hidden="1">0</definedName>
    <definedName name="solver_scl" localSheetId="3" hidden="1">2</definedName>
    <definedName name="solver_scl" localSheetId="4" hidden="1">2</definedName>
    <definedName name="solver_scl" localSheetId="2" hidden="1">2</definedName>
    <definedName name="solver_scl" localSheetId="8" hidden="1">1</definedName>
    <definedName name="solver_scl" localSheetId="9" hidden="1">1</definedName>
    <definedName name="solver_sho" localSheetId="3" hidden="1">2</definedName>
    <definedName name="solver_sho" localSheetId="4" hidden="1">2</definedName>
    <definedName name="solver_sho" localSheetId="2" hidden="1">2</definedName>
    <definedName name="solver_sho" localSheetId="8" hidden="1">2</definedName>
    <definedName name="solver_sho" localSheetId="9" hidden="1">2</definedName>
    <definedName name="solver_ssz" localSheetId="3" hidden="1">100</definedName>
    <definedName name="solver_ssz" localSheetId="4" hidden="1">100</definedName>
    <definedName name="solver_ssz" localSheetId="2" hidden="1">100</definedName>
    <definedName name="solver_ssz" localSheetId="8" hidden="1">100</definedName>
    <definedName name="solver_ssz" localSheetId="9" hidden="1">100</definedName>
    <definedName name="solver_tim" localSheetId="3" hidden="1">2147483647</definedName>
    <definedName name="solver_tim" localSheetId="4" hidden="1">2147483647</definedName>
    <definedName name="solver_tim" localSheetId="2" hidden="1">2147483647</definedName>
    <definedName name="solver_tim" localSheetId="8" hidden="1">2147483647</definedName>
    <definedName name="solver_tim" localSheetId="9" hidden="1">2147483647</definedName>
    <definedName name="solver_tol" localSheetId="3" hidden="1">0.01</definedName>
    <definedName name="solver_tol" localSheetId="4" hidden="1">0.01</definedName>
    <definedName name="solver_tol" localSheetId="2" hidden="1">0.01</definedName>
    <definedName name="solver_tol" localSheetId="8" hidden="1">0.01</definedName>
    <definedName name="solver_tol" localSheetId="9" hidden="1">0.01</definedName>
    <definedName name="solver_typ" localSheetId="3" hidden="1">2</definedName>
    <definedName name="solver_typ" localSheetId="4" hidden="1">2</definedName>
    <definedName name="solver_typ" localSheetId="1" hidden="1">2</definedName>
    <definedName name="solver_typ" localSheetId="2" hidden="1">2</definedName>
    <definedName name="solver_typ" localSheetId="8" hidden="1">2</definedName>
    <definedName name="solver_typ" localSheetId="9" hidden="1">2</definedName>
    <definedName name="solver_val" localSheetId="3" hidden="1">0</definedName>
    <definedName name="solver_val" localSheetId="4" hidden="1">0</definedName>
    <definedName name="solver_val" localSheetId="2" hidden="1">0</definedName>
    <definedName name="solver_val" localSheetId="8" hidden="1">0</definedName>
    <definedName name="solver_val" localSheetId="9" hidden="1">0</definedName>
    <definedName name="solver_ver" localSheetId="3" hidden="1">3</definedName>
    <definedName name="solver_ver" localSheetId="4" hidden="1">3</definedName>
    <definedName name="solver_ver" localSheetId="1" hidden="1">17</definedName>
    <definedName name="solver_ver" localSheetId="2" hidden="1">3</definedName>
    <definedName name="solver_ver" localSheetId="8" hidden="1">3</definedName>
    <definedName name="solver_ver" localSheetId="9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" i="14" l="1"/>
  <c r="C8" i="23" l="1"/>
  <c r="D8" i="23"/>
  <c r="P8" i="23"/>
  <c r="Q8" i="23" s="1"/>
  <c r="R8" i="23" s="1"/>
  <c r="S8" i="23" s="1"/>
  <c r="T8" i="23" s="1"/>
  <c r="U8" i="23" s="1"/>
  <c r="V8" i="23" s="1"/>
  <c r="W8" i="23" s="1"/>
  <c r="X8" i="23" s="1"/>
  <c r="Y8" i="23" s="1"/>
  <c r="Z8" i="23" s="1"/>
  <c r="C9" i="23"/>
  <c r="E10" i="23" s="1"/>
  <c r="D9" i="23"/>
  <c r="E9" i="23"/>
  <c r="F9" i="23"/>
  <c r="G9" i="23" s="1"/>
  <c r="M9" i="23"/>
  <c r="O9" i="23"/>
  <c r="O10" i="23"/>
  <c r="O11" i="23" s="1"/>
  <c r="O12" i="23" s="1"/>
  <c r="O13" i="23" s="1"/>
  <c r="O14" i="23" s="1"/>
  <c r="O15" i="23" s="1"/>
  <c r="O16" i="23" s="1"/>
  <c r="O17" i="23" s="1"/>
  <c r="O18" i="23" s="1"/>
  <c r="O19" i="23" s="1"/>
  <c r="O21" i="23"/>
  <c r="C8" i="22"/>
  <c r="D8" i="22" s="1"/>
  <c r="C9" i="22"/>
  <c r="D9" i="22" s="1"/>
  <c r="A1" i="21"/>
  <c r="B1" i="21"/>
  <c r="C1" i="21"/>
  <c r="A2" i="21"/>
  <c r="B2" i="21"/>
  <c r="D2" i="21" s="1"/>
  <c r="C2" i="21"/>
  <c r="F2" i="21"/>
  <c r="A3" i="21"/>
  <c r="B3" i="21"/>
  <c r="F3" i="21" s="1"/>
  <c r="C3" i="21"/>
  <c r="D3" i="21"/>
  <c r="A4" i="21"/>
  <c r="B4" i="21"/>
  <c r="F4" i="21" s="1"/>
  <c r="F25" i="21" s="1"/>
  <c r="C4" i="21"/>
  <c r="E4" i="21" s="1"/>
  <c r="D4" i="21"/>
  <c r="A5" i="21"/>
  <c r="B5" i="21"/>
  <c r="F5" i="21" s="1"/>
  <c r="C5" i="21"/>
  <c r="D5" i="21"/>
  <c r="A6" i="21"/>
  <c r="B6" i="21"/>
  <c r="F6" i="21" s="1"/>
  <c r="C6" i="21"/>
  <c r="A7" i="21"/>
  <c r="B7" i="21"/>
  <c r="F7" i="21" s="1"/>
  <c r="C7" i="21"/>
  <c r="E7" i="21" s="1"/>
  <c r="D7" i="21"/>
  <c r="A8" i="21"/>
  <c r="B8" i="21"/>
  <c r="C8" i="21"/>
  <c r="D8" i="21"/>
  <c r="E8" i="21"/>
  <c r="F8" i="21"/>
  <c r="A9" i="21"/>
  <c r="B9" i="21"/>
  <c r="D9" i="21" s="1"/>
  <c r="C9" i="21"/>
  <c r="E9" i="21" s="1"/>
  <c r="F9" i="21"/>
  <c r="A10" i="21"/>
  <c r="B10" i="21"/>
  <c r="F10" i="21" s="1"/>
  <c r="C10" i="21"/>
  <c r="A11" i="21"/>
  <c r="B11" i="21"/>
  <c r="F11" i="21" s="1"/>
  <c r="C11" i="21"/>
  <c r="E11" i="21" s="1"/>
  <c r="D11" i="21"/>
  <c r="A12" i="21"/>
  <c r="B12" i="21"/>
  <c r="C12" i="21"/>
  <c r="D12" i="21"/>
  <c r="E12" i="21"/>
  <c r="F12" i="21"/>
  <c r="A13" i="21"/>
  <c r="B13" i="21"/>
  <c r="D13" i="21" s="1"/>
  <c r="C13" i="21"/>
  <c r="F13" i="21"/>
  <c r="A14" i="21"/>
  <c r="B14" i="21"/>
  <c r="F14" i="21" s="1"/>
  <c r="C14" i="21"/>
  <c r="A15" i="21"/>
  <c r="B15" i="21"/>
  <c r="F15" i="21" s="1"/>
  <c r="C15" i="21"/>
  <c r="E15" i="21" s="1"/>
  <c r="D15" i="21"/>
  <c r="A16" i="21"/>
  <c r="B16" i="21"/>
  <c r="C16" i="21"/>
  <c r="D16" i="21"/>
  <c r="E16" i="21"/>
  <c r="F16" i="21"/>
  <c r="A17" i="21"/>
  <c r="B17" i="21"/>
  <c r="D17" i="21" s="1"/>
  <c r="C17" i="21"/>
  <c r="E17" i="21" s="1"/>
  <c r="F17" i="21"/>
  <c r="A18" i="21"/>
  <c r="B18" i="21"/>
  <c r="F18" i="21" s="1"/>
  <c r="C18" i="21"/>
  <c r="A19" i="21"/>
  <c r="B19" i="21"/>
  <c r="F19" i="21" s="1"/>
  <c r="C19" i="21"/>
  <c r="E19" i="21" s="1"/>
  <c r="D19" i="21"/>
  <c r="A20" i="21"/>
  <c r="B20" i="21"/>
  <c r="C20" i="21"/>
  <c r="D20" i="21"/>
  <c r="E20" i="21"/>
  <c r="F20" i="21"/>
  <c r="A21" i="21"/>
  <c r="B21" i="21"/>
  <c r="D21" i="21" s="1"/>
  <c r="C21" i="21"/>
  <c r="F21" i="21"/>
  <c r="A22" i="21"/>
  <c r="B22" i="21"/>
  <c r="F22" i="21" s="1"/>
  <c r="C22" i="21"/>
  <c r="A23" i="21"/>
  <c r="B23" i="21"/>
  <c r="F23" i="21" s="1"/>
  <c r="C23" i="21"/>
  <c r="E23" i="21" s="1"/>
  <c r="D23" i="21"/>
  <c r="A24" i="21"/>
  <c r="B24" i="21"/>
  <c r="C24" i="21"/>
  <c r="D24" i="21"/>
  <c r="E24" i="21"/>
  <c r="F24" i="21"/>
  <c r="A1" i="20"/>
  <c r="B1" i="20"/>
  <c r="C1" i="20"/>
  <c r="A2" i="20"/>
  <c r="B2" i="20"/>
  <c r="C2" i="20"/>
  <c r="A3" i="20"/>
  <c r="B3" i="20"/>
  <c r="C3" i="20"/>
  <c r="A4" i="20"/>
  <c r="B4" i="20"/>
  <c r="C4" i="20"/>
  <c r="A5" i="20"/>
  <c r="B5" i="20"/>
  <c r="C5" i="20"/>
  <c r="A6" i="20"/>
  <c r="B6" i="20"/>
  <c r="C6" i="20"/>
  <c r="A7" i="20"/>
  <c r="B7" i="20"/>
  <c r="C7" i="20"/>
  <c r="A8" i="20"/>
  <c r="B8" i="20"/>
  <c r="C8" i="20"/>
  <c r="A9" i="20"/>
  <c r="B9" i="20"/>
  <c r="C9" i="20"/>
  <c r="A10" i="20"/>
  <c r="B10" i="20"/>
  <c r="C10" i="20"/>
  <c r="A11" i="20"/>
  <c r="B11" i="20"/>
  <c r="C11" i="20"/>
  <c r="A12" i="20"/>
  <c r="B12" i="20"/>
  <c r="C12" i="20"/>
  <c r="A13" i="20"/>
  <c r="B13" i="20"/>
  <c r="C13" i="20"/>
  <c r="A14" i="20"/>
  <c r="B14" i="20"/>
  <c r="C14" i="20"/>
  <c r="A15" i="20"/>
  <c r="B15" i="20"/>
  <c r="C15" i="20"/>
  <c r="A16" i="20"/>
  <c r="B16" i="20"/>
  <c r="C16" i="20"/>
  <c r="A17" i="20"/>
  <c r="B17" i="20"/>
  <c r="C17" i="20"/>
  <c r="A18" i="20"/>
  <c r="B18" i="20"/>
  <c r="C18" i="20"/>
  <c r="A19" i="20"/>
  <c r="B19" i="20"/>
  <c r="C19" i="20"/>
  <c r="A20" i="20"/>
  <c r="B20" i="20"/>
  <c r="C20" i="20"/>
  <c r="A21" i="20"/>
  <c r="B21" i="20"/>
  <c r="C21" i="20"/>
  <c r="A22" i="20"/>
  <c r="B22" i="20"/>
  <c r="C22" i="20"/>
  <c r="F7" i="20" s="1"/>
  <c r="A23" i="20"/>
  <c r="B23" i="20"/>
  <c r="C23" i="20"/>
  <c r="A24" i="20"/>
  <c r="B24" i="20"/>
  <c r="C24" i="20"/>
  <c r="F2" i="19"/>
  <c r="E13" i="21" l="1"/>
  <c r="E2" i="21"/>
  <c r="C25" i="21"/>
  <c r="K8" i="22"/>
  <c r="K9" i="22"/>
  <c r="E8" i="22"/>
  <c r="F8" i="22"/>
  <c r="D10" i="23"/>
  <c r="I9" i="23"/>
  <c r="J9" i="23"/>
  <c r="F17" i="20"/>
  <c r="N7" i="20" s="1"/>
  <c r="F18" i="20"/>
  <c r="F8" i="20"/>
  <c r="E21" i="21"/>
  <c r="E5" i="21"/>
  <c r="E3" i="21"/>
  <c r="C10" i="23"/>
  <c r="F10" i="23"/>
  <c r="F5" i="20"/>
  <c r="F4" i="20" s="1"/>
  <c r="E9" i="22"/>
  <c r="G9" i="22" s="1"/>
  <c r="F9" i="22"/>
  <c r="D22" i="21"/>
  <c r="E22" i="21" s="1"/>
  <c r="D18" i="21"/>
  <c r="E18" i="21" s="1"/>
  <c r="D14" i="21"/>
  <c r="E14" i="21" s="1"/>
  <c r="D10" i="21"/>
  <c r="E10" i="21" s="1"/>
  <c r="D6" i="21"/>
  <c r="E6" i="21" s="1"/>
  <c r="C10" i="22"/>
  <c r="H9" i="23"/>
  <c r="K9" i="23" l="1"/>
  <c r="I8" i="22"/>
  <c r="I9" i="22"/>
  <c r="D10" i="22"/>
  <c r="C11" i="22"/>
  <c r="H2" i="21"/>
  <c r="E25" i="21"/>
  <c r="L4" i="21" s="1"/>
  <c r="E11" i="23"/>
  <c r="M10" i="23"/>
  <c r="G10" i="23"/>
  <c r="H10" i="23"/>
  <c r="L9" i="23"/>
  <c r="H9" i="22"/>
  <c r="G8" i="22"/>
  <c r="H8" i="22"/>
  <c r="D3" i="18"/>
  <c r="E3" i="18" s="1"/>
  <c r="D4" i="18"/>
  <c r="E4" i="18" s="1"/>
  <c r="D5" i="18"/>
  <c r="E5" i="18" s="1"/>
  <c r="D6" i="18"/>
  <c r="E6" i="18" s="1"/>
  <c r="D7" i="18"/>
  <c r="E7" i="18" s="1"/>
  <c r="D8" i="18"/>
  <c r="E8" i="18" s="1"/>
  <c r="D9" i="18"/>
  <c r="F9" i="18" s="1"/>
  <c r="D10" i="18"/>
  <c r="E10" i="18" s="1"/>
  <c r="F10" i="18"/>
  <c r="A1" i="17"/>
  <c r="B1" i="17"/>
  <c r="A2" i="17"/>
  <c r="A3" i="17"/>
  <c r="A4" i="17"/>
  <c r="F4" i="17" s="1"/>
  <c r="A5" i="17"/>
  <c r="F5" i="17" s="1"/>
  <c r="A6" i="17"/>
  <c r="F6" i="17" s="1"/>
  <c r="A7" i="17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A32" i="17"/>
  <c r="F32" i="17" s="1"/>
  <c r="A33" i="17"/>
  <c r="F33" i="17" s="1"/>
  <c r="A34" i="17"/>
  <c r="F34" i="17" s="1"/>
  <c r="A35" i="17"/>
  <c r="F35" i="17" s="1"/>
  <c r="A36" i="17"/>
  <c r="F36" i="17" s="1"/>
  <c r="A37" i="17"/>
  <c r="F37" i="17" s="1"/>
  <c r="A38" i="17"/>
  <c r="F38" i="17" s="1"/>
  <c r="A39" i="17"/>
  <c r="F39" i="17" s="1"/>
  <c r="A40" i="17"/>
  <c r="F40" i="17"/>
  <c r="A41" i="17"/>
  <c r="F41" i="17" s="1"/>
  <c r="A42" i="17"/>
  <c r="F42" i="17" s="1"/>
  <c r="A43" i="17"/>
  <c r="F43" i="17" s="1"/>
  <c r="A44" i="17"/>
  <c r="F44" i="17" s="1"/>
  <c r="A45" i="17"/>
  <c r="F45" i="17" s="1"/>
  <c r="A46" i="17"/>
  <c r="F46" i="17" s="1"/>
  <c r="A47" i="17"/>
  <c r="F47" i="17" s="1"/>
  <c r="A48" i="17"/>
  <c r="F48" i="17" s="1"/>
  <c r="A49" i="17"/>
  <c r="F49" i="17" s="1"/>
  <c r="A50" i="17"/>
  <c r="F50" i="17" s="1"/>
  <c r="A51" i="17"/>
  <c r="F51" i="17" s="1"/>
  <c r="A52" i="17"/>
  <c r="F52" i="17" s="1"/>
  <c r="A53" i="17"/>
  <c r="F53" i="17" s="1"/>
  <c r="A54" i="17"/>
  <c r="F54" i="17" s="1"/>
  <c r="A55" i="17"/>
  <c r="F55" i="17"/>
  <c r="A56" i="17"/>
  <c r="F56" i="17" s="1"/>
  <c r="A57" i="17"/>
  <c r="F57" i="17" s="1"/>
  <c r="A58" i="17"/>
  <c r="F58" i="17" s="1"/>
  <c r="A59" i="17"/>
  <c r="F59" i="17" s="1"/>
  <c r="A60" i="17"/>
  <c r="F60" i="17" s="1"/>
  <c r="A61" i="17"/>
  <c r="F61" i="17" s="1"/>
  <c r="A62" i="17"/>
  <c r="F62" i="17" s="1"/>
  <c r="A63" i="17"/>
  <c r="F63" i="17" s="1"/>
  <c r="A64" i="17"/>
  <c r="F64" i="17" s="1"/>
  <c r="A65" i="17"/>
  <c r="F65" i="17" s="1"/>
  <c r="A66" i="17"/>
  <c r="F66" i="17" s="1"/>
  <c r="A67" i="17"/>
  <c r="F67" i="17" s="1"/>
  <c r="A68" i="17"/>
  <c r="F68" i="17" s="1"/>
  <c r="A69" i="17"/>
  <c r="F69" i="17" s="1"/>
  <c r="A70" i="17"/>
  <c r="F70" i="17" s="1"/>
  <c r="A71" i="17"/>
  <c r="F71" i="17" s="1"/>
  <c r="A72" i="17"/>
  <c r="F72" i="17" s="1"/>
  <c r="A73" i="17"/>
  <c r="F73" i="17" s="1"/>
  <c r="A74" i="17"/>
  <c r="F74" i="17" s="1"/>
  <c r="A75" i="17"/>
  <c r="F75" i="17" s="1"/>
  <c r="A76" i="17"/>
  <c r="F76" i="17"/>
  <c r="E10" i="22" l="1"/>
  <c r="F10" i="22"/>
  <c r="K10" i="22"/>
  <c r="K11" i="22"/>
  <c r="D11" i="22"/>
  <c r="C12" i="22"/>
  <c r="I10" i="23"/>
  <c r="J10" i="23"/>
  <c r="J8" i="22"/>
  <c r="J9" i="22"/>
  <c r="F11" i="23"/>
  <c r="C11" i="23"/>
  <c r="K10" i="23"/>
  <c r="H3" i="21"/>
  <c r="H4" i="21"/>
  <c r="H5" i="21"/>
  <c r="E9" i="18"/>
  <c r="F3" i="18"/>
  <c r="F8" i="18"/>
  <c r="F7" i="18"/>
  <c r="F6" i="18"/>
  <c r="G6" i="18" s="1"/>
  <c r="F5" i="18"/>
  <c r="G5" i="18" s="1"/>
  <c r="F4" i="18"/>
  <c r="F7" i="17"/>
  <c r="L10" i="23" l="1"/>
  <c r="D12" i="22"/>
  <c r="C13" i="22"/>
  <c r="L3" i="21"/>
  <c r="H1" i="21"/>
  <c r="F11" i="22"/>
  <c r="E11" i="22"/>
  <c r="G11" i="22" s="1"/>
  <c r="E12" i="23"/>
  <c r="D11" i="23"/>
  <c r="I11" i="22"/>
  <c r="I10" i="22"/>
  <c r="G11" i="23"/>
  <c r="H11" i="23"/>
  <c r="M11" i="23"/>
  <c r="G10" i="22"/>
  <c r="H11" i="22"/>
  <c r="H10" i="22"/>
  <c r="G4" i="18"/>
  <c r="G7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I11" i="23" l="1"/>
  <c r="J11" i="23"/>
  <c r="D13" i="22"/>
  <c r="C14" i="22"/>
  <c r="E12" i="22"/>
  <c r="F12" i="22"/>
  <c r="C12" i="23"/>
  <c r="F12" i="23"/>
  <c r="J11" i="22"/>
  <c r="J10" i="22"/>
  <c r="K12" i="22"/>
  <c r="K13" i="22"/>
  <c r="K11" i="23"/>
  <c r="D2" i="14"/>
  <c r="E2" i="14"/>
  <c r="G12" i="22" l="1"/>
  <c r="H12" i="22"/>
  <c r="D14" i="22"/>
  <c r="C15" i="22"/>
  <c r="L11" i="23"/>
  <c r="G12" i="23"/>
  <c r="H12" i="23"/>
  <c r="M12" i="23"/>
  <c r="E13" i="22"/>
  <c r="G13" i="22" s="1"/>
  <c r="F13" i="22"/>
  <c r="D12" i="23"/>
  <c r="I12" i="22"/>
  <c r="F3" i="14"/>
  <c r="G3" i="14" s="1"/>
  <c r="D15" i="22" l="1"/>
  <c r="C16" i="22"/>
  <c r="E14" i="22"/>
  <c r="F14" i="22"/>
  <c r="K14" i="22"/>
  <c r="K15" i="22"/>
  <c r="E13" i="23"/>
  <c r="H14" i="22"/>
  <c r="I12" i="23"/>
  <c r="J12" i="23"/>
  <c r="K12" i="23"/>
  <c r="I14" i="22"/>
  <c r="I13" i="22"/>
  <c r="H13" i="22"/>
  <c r="J13" i="22"/>
  <c r="J12" i="22"/>
  <c r="D3" i="14"/>
  <c r="E3" i="14" s="1"/>
  <c r="F4" i="14" s="1"/>
  <c r="H3" i="14"/>
  <c r="P77" i="12"/>
  <c r="L77" i="12"/>
  <c r="P76" i="12"/>
  <c r="L76" i="12"/>
  <c r="P75" i="12"/>
  <c r="L75" i="12"/>
  <c r="P74" i="12"/>
  <c r="L74" i="12"/>
  <c r="P73" i="12"/>
  <c r="L73" i="12"/>
  <c r="P72" i="12"/>
  <c r="L72" i="12"/>
  <c r="P71" i="12"/>
  <c r="L71" i="12"/>
  <c r="P70" i="12"/>
  <c r="L70" i="12"/>
  <c r="P69" i="12"/>
  <c r="L69" i="12"/>
  <c r="P68" i="12"/>
  <c r="L68" i="12"/>
  <c r="P67" i="12"/>
  <c r="L67" i="12"/>
  <c r="P66" i="12"/>
  <c r="L66" i="12"/>
  <c r="P65" i="12"/>
  <c r="L65" i="12"/>
  <c r="P64" i="12"/>
  <c r="L64" i="12"/>
  <c r="P63" i="12"/>
  <c r="L63" i="12"/>
  <c r="P62" i="12"/>
  <c r="L62" i="12"/>
  <c r="P61" i="12"/>
  <c r="L61" i="12"/>
  <c r="P60" i="12"/>
  <c r="L60" i="12"/>
  <c r="P59" i="12"/>
  <c r="L59" i="12"/>
  <c r="P58" i="12"/>
  <c r="L58" i="12"/>
  <c r="P57" i="12"/>
  <c r="L57" i="12"/>
  <c r="P56" i="12"/>
  <c r="L56" i="12"/>
  <c r="P55" i="12"/>
  <c r="L55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S1" i="12"/>
  <c r="R1" i="12"/>
  <c r="F13" i="23" l="1"/>
  <c r="C13" i="23"/>
  <c r="L12" i="23"/>
  <c r="G14" i="22"/>
  <c r="D16" i="22"/>
  <c r="C17" i="22"/>
  <c r="E15" i="22"/>
  <c r="F15" i="22"/>
  <c r="G4" i="14"/>
  <c r="D4" i="14"/>
  <c r="I3" i="14"/>
  <c r="J3" i="14" s="1"/>
  <c r="O69" i="12"/>
  <c r="Q69" i="12" s="1"/>
  <c r="D69" i="12" s="1"/>
  <c r="B68" i="17" s="1"/>
  <c r="O6" i="12"/>
  <c r="Q6" i="12" s="1"/>
  <c r="D6" i="12" s="1"/>
  <c r="B5" i="17" s="1"/>
  <c r="O37" i="12"/>
  <c r="Q37" i="12" s="1"/>
  <c r="D37" i="12" s="1"/>
  <c r="B36" i="17" s="1"/>
  <c r="O53" i="12"/>
  <c r="Q53" i="12" s="1"/>
  <c r="D53" i="12" s="1"/>
  <c r="B52" i="17" s="1"/>
  <c r="O77" i="12"/>
  <c r="Q77" i="12" s="1"/>
  <c r="D77" i="12" s="1"/>
  <c r="B76" i="17" s="1"/>
  <c r="O21" i="12"/>
  <c r="Q21" i="12" s="1"/>
  <c r="D21" i="12" s="1"/>
  <c r="B20" i="17" s="1"/>
  <c r="O3" i="12"/>
  <c r="Q3" i="12" s="1"/>
  <c r="O4" i="12"/>
  <c r="Q4" i="12" s="1"/>
  <c r="D4" i="12" s="1"/>
  <c r="B3" i="17" s="1"/>
  <c r="O25" i="12"/>
  <c r="Q25" i="12" s="1"/>
  <c r="D25" i="12" s="1"/>
  <c r="B24" i="17" s="1"/>
  <c r="O73" i="12"/>
  <c r="Q73" i="12" s="1"/>
  <c r="D73" i="12" s="1"/>
  <c r="B72" i="17" s="1"/>
  <c r="O29" i="12"/>
  <c r="Q29" i="12" s="1"/>
  <c r="D29" i="12" s="1"/>
  <c r="B28" i="17" s="1"/>
  <c r="O45" i="12"/>
  <c r="Q45" i="12" s="1"/>
  <c r="D45" i="12" s="1"/>
  <c r="B44" i="17" s="1"/>
  <c r="O61" i="12"/>
  <c r="Q61" i="12" s="1"/>
  <c r="D61" i="12" s="1"/>
  <c r="B60" i="17" s="1"/>
  <c r="O75" i="12"/>
  <c r="Q75" i="12" s="1"/>
  <c r="D75" i="12" s="1"/>
  <c r="B74" i="17" s="1"/>
  <c r="O71" i="12"/>
  <c r="Q71" i="12" s="1"/>
  <c r="D71" i="12" s="1"/>
  <c r="B70" i="17" s="1"/>
  <c r="O67" i="12"/>
  <c r="Q67" i="12" s="1"/>
  <c r="D67" i="12" s="1"/>
  <c r="B66" i="17" s="1"/>
  <c r="O63" i="12"/>
  <c r="Q63" i="12" s="1"/>
  <c r="D63" i="12" s="1"/>
  <c r="B62" i="17" s="1"/>
  <c r="O59" i="12"/>
  <c r="Q59" i="12" s="1"/>
  <c r="D59" i="12" s="1"/>
  <c r="B58" i="17" s="1"/>
  <c r="O55" i="12"/>
  <c r="Q55" i="12" s="1"/>
  <c r="D55" i="12" s="1"/>
  <c r="B54" i="17" s="1"/>
  <c r="O51" i="12"/>
  <c r="Q51" i="12" s="1"/>
  <c r="D51" i="12" s="1"/>
  <c r="B50" i="17" s="1"/>
  <c r="O47" i="12"/>
  <c r="Q47" i="12" s="1"/>
  <c r="D47" i="12" s="1"/>
  <c r="B46" i="17" s="1"/>
  <c r="O43" i="12"/>
  <c r="Q43" i="12" s="1"/>
  <c r="D43" i="12" s="1"/>
  <c r="B42" i="17" s="1"/>
  <c r="O39" i="12"/>
  <c r="Q39" i="12" s="1"/>
  <c r="D39" i="12" s="1"/>
  <c r="B38" i="17" s="1"/>
  <c r="O35" i="12"/>
  <c r="Q35" i="12" s="1"/>
  <c r="D35" i="12" s="1"/>
  <c r="B34" i="17" s="1"/>
  <c r="O31" i="12"/>
  <c r="Q31" i="12" s="1"/>
  <c r="D31" i="12" s="1"/>
  <c r="B30" i="17" s="1"/>
  <c r="O27" i="12"/>
  <c r="Q27" i="12" s="1"/>
  <c r="D27" i="12" s="1"/>
  <c r="B26" i="17" s="1"/>
  <c r="O23" i="12"/>
  <c r="Q23" i="12" s="1"/>
  <c r="D23" i="12" s="1"/>
  <c r="B22" i="17" s="1"/>
  <c r="O19" i="12"/>
  <c r="Q19" i="12" s="1"/>
  <c r="D19" i="12" s="1"/>
  <c r="B18" i="17" s="1"/>
  <c r="O15" i="12"/>
  <c r="Q15" i="12" s="1"/>
  <c r="D15" i="12" s="1"/>
  <c r="B14" i="17" s="1"/>
  <c r="O76" i="12"/>
  <c r="Q76" i="12" s="1"/>
  <c r="D76" i="12" s="1"/>
  <c r="B75" i="17" s="1"/>
  <c r="O72" i="12"/>
  <c r="Q72" i="12" s="1"/>
  <c r="D72" i="12" s="1"/>
  <c r="B71" i="17" s="1"/>
  <c r="O68" i="12"/>
  <c r="Q68" i="12" s="1"/>
  <c r="D68" i="12" s="1"/>
  <c r="B67" i="17" s="1"/>
  <c r="O64" i="12"/>
  <c r="Q64" i="12" s="1"/>
  <c r="D64" i="12" s="1"/>
  <c r="B63" i="17" s="1"/>
  <c r="O60" i="12"/>
  <c r="Q60" i="12" s="1"/>
  <c r="D60" i="12" s="1"/>
  <c r="B59" i="17" s="1"/>
  <c r="O56" i="12"/>
  <c r="Q56" i="12" s="1"/>
  <c r="D56" i="12" s="1"/>
  <c r="B55" i="17" s="1"/>
  <c r="O52" i="12"/>
  <c r="Q52" i="12" s="1"/>
  <c r="D52" i="12" s="1"/>
  <c r="B51" i="17" s="1"/>
  <c r="O48" i="12"/>
  <c r="Q48" i="12" s="1"/>
  <c r="D48" i="12" s="1"/>
  <c r="B47" i="17" s="1"/>
  <c r="O44" i="12"/>
  <c r="Q44" i="12" s="1"/>
  <c r="D44" i="12" s="1"/>
  <c r="B43" i="17" s="1"/>
  <c r="O40" i="12"/>
  <c r="Q40" i="12" s="1"/>
  <c r="D40" i="12" s="1"/>
  <c r="B39" i="17" s="1"/>
  <c r="O36" i="12"/>
  <c r="Q36" i="12" s="1"/>
  <c r="D36" i="12" s="1"/>
  <c r="B35" i="17" s="1"/>
  <c r="O32" i="12"/>
  <c r="Q32" i="12" s="1"/>
  <c r="D32" i="12" s="1"/>
  <c r="B31" i="17" s="1"/>
  <c r="O28" i="12"/>
  <c r="Q28" i="12" s="1"/>
  <c r="D28" i="12" s="1"/>
  <c r="B27" i="17" s="1"/>
  <c r="O24" i="12"/>
  <c r="Q24" i="12" s="1"/>
  <c r="D24" i="12" s="1"/>
  <c r="B23" i="17" s="1"/>
  <c r="O20" i="12"/>
  <c r="Q20" i="12" s="1"/>
  <c r="D20" i="12" s="1"/>
  <c r="B19" i="17" s="1"/>
  <c r="O16" i="12"/>
  <c r="Q16" i="12" s="1"/>
  <c r="D16" i="12" s="1"/>
  <c r="B15" i="17" s="1"/>
  <c r="O14" i="12"/>
  <c r="Q14" i="12" s="1"/>
  <c r="D14" i="12" s="1"/>
  <c r="B13" i="17" s="1"/>
  <c r="O70" i="12"/>
  <c r="Q70" i="12" s="1"/>
  <c r="D70" i="12" s="1"/>
  <c r="B69" i="17" s="1"/>
  <c r="O62" i="12"/>
  <c r="Q62" i="12" s="1"/>
  <c r="D62" i="12" s="1"/>
  <c r="B61" i="17" s="1"/>
  <c r="O54" i="12"/>
  <c r="Q54" i="12" s="1"/>
  <c r="D54" i="12" s="1"/>
  <c r="B53" i="17" s="1"/>
  <c r="O46" i="12"/>
  <c r="Q46" i="12" s="1"/>
  <c r="D46" i="12" s="1"/>
  <c r="B45" i="17" s="1"/>
  <c r="O38" i="12"/>
  <c r="Q38" i="12" s="1"/>
  <c r="D38" i="12" s="1"/>
  <c r="B37" i="17" s="1"/>
  <c r="O30" i="12"/>
  <c r="Q30" i="12" s="1"/>
  <c r="D30" i="12" s="1"/>
  <c r="B29" i="17" s="1"/>
  <c r="O22" i="12"/>
  <c r="Q22" i="12" s="1"/>
  <c r="D22" i="12" s="1"/>
  <c r="B21" i="17" s="1"/>
  <c r="O13" i="12"/>
  <c r="Q13" i="12" s="1"/>
  <c r="D13" i="12" s="1"/>
  <c r="B12" i="17" s="1"/>
  <c r="O12" i="12"/>
  <c r="Q12" i="12" s="1"/>
  <c r="D12" i="12" s="1"/>
  <c r="B11" i="17" s="1"/>
  <c r="O10" i="12"/>
  <c r="Q10" i="12" s="1"/>
  <c r="D10" i="12" s="1"/>
  <c r="B9" i="17" s="1"/>
  <c r="O7" i="12"/>
  <c r="Q7" i="12" s="1"/>
  <c r="D7" i="12" s="1"/>
  <c r="B6" i="17" s="1"/>
  <c r="O74" i="12"/>
  <c r="Q74" i="12" s="1"/>
  <c r="D74" i="12" s="1"/>
  <c r="B73" i="17" s="1"/>
  <c r="O66" i="12"/>
  <c r="Q66" i="12" s="1"/>
  <c r="D66" i="12" s="1"/>
  <c r="B65" i="17" s="1"/>
  <c r="O58" i="12"/>
  <c r="Q58" i="12" s="1"/>
  <c r="D58" i="12" s="1"/>
  <c r="B57" i="17" s="1"/>
  <c r="O50" i="12"/>
  <c r="Q50" i="12" s="1"/>
  <c r="D50" i="12" s="1"/>
  <c r="B49" i="17" s="1"/>
  <c r="O42" i="12"/>
  <c r="Q42" i="12" s="1"/>
  <c r="D42" i="12" s="1"/>
  <c r="B41" i="17" s="1"/>
  <c r="O34" i="12"/>
  <c r="Q34" i="12" s="1"/>
  <c r="D34" i="12" s="1"/>
  <c r="B33" i="17" s="1"/>
  <c r="O26" i="12"/>
  <c r="Q26" i="12" s="1"/>
  <c r="D26" i="12" s="1"/>
  <c r="B25" i="17" s="1"/>
  <c r="O18" i="12"/>
  <c r="Q18" i="12" s="1"/>
  <c r="D18" i="12" s="1"/>
  <c r="B17" i="17" s="1"/>
  <c r="O11" i="12"/>
  <c r="Q11" i="12" s="1"/>
  <c r="D11" i="12" s="1"/>
  <c r="B10" i="17" s="1"/>
  <c r="O9" i="12"/>
  <c r="Q9" i="12" s="1"/>
  <c r="D9" i="12" s="1"/>
  <c r="B8" i="17" s="1"/>
  <c r="O5" i="12"/>
  <c r="Q5" i="12" s="1"/>
  <c r="D5" i="12" s="1"/>
  <c r="B4" i="17" s="1"/>
  <c r="O8" i="12"/>
  <c r="Q8" i="12" s="1"/>
  <c r="D8" i="12" s="1"/>
  <c r="B7" i="17" s="1"/>
  <c r="O41" i="12"/>
  <c r="Q41" i="12" s="1"/>
  <c r="D41" i="12" s="1"/>
  <c r="B40" i="17" s="1"/>
  <c r="O57" i="12"/>
  <c r="Q57" i="12" s="1"/>
  <c r="D57" i="12" s="1"/>
  <c r="B56" i="17" s="1"/>
  <c r="O17" i="12"/>
  <c r="Q17" i="12" s="1"/>
  <c r="D17" i="12" s="1"/>
  <c r="B16" i="17" s="1"/>
  <c r="O33" i="12"/>
  <c r="Q33" i="12" s="1"/>
  <c r="D33" i="12" s="1"/>
  <c r="B32" i="17" s="1"/>
  <c r="O49" i="12"/>
  <c r="Q49" i="12" s="1"/>
  <c r="D49" i="12" s="1"/>
  <c r="B48" i="17" s="1"/>
  <c r="O65" i="12"/>
  <c r="Q65" i="12" s="1"/>
  <c r="D65" i="12" s="1"/>
  <c r="B64" i="17" s="1"/>
  <c r="D17" i="22" l="1"/>
  <c r="C18" i="22"/>
  <c r="E16" i="22"/>
  <c r="F16" i="22"/>
  <c r="K16" i="22"/>
  <c r="K17" i="22"/>
  <c r="J14" i="22"/>
  <c r="I16" i="22"/>
  <c r="I15" i="22"/>
  <c r="D13" i="23"/>
  <c r="G15" i="22"/>
  <c r="H16" i="22"/>
  <c r="H15" i="22"/>
  <c r="G13" i="23"/>
  <c r="H13" i="23"/>
  <c r="M13" i="23"/>
  <c r="E4" i="14"/>
  <c r="F5" i="14" s="1"/>
  <c r="H4" i="14"/>
  <c r="B22" i="12"/>
  <c r="B16" i="12"/>
  <c r="B36" i="12"/>
  <c r="B64" i="12"/>
  <c r="B28" i="12"/>
  <c r="B48" i="12"/>
  <c r="B70" i="12"/>
  <c r="B44" i="12"/>
  <c r="B46" i="12"/>
  <c r="B10" i="12"/>
  <c r="B26" i="12"/>
  <c r="B58" i="12"/>
  <c r="B72" i="12"/>
  <c r="B60" i="12"/>
  <c r="B54" i="12"/>
  <c r="B51" i="12"/>
  <c r="B47" i="12"/>
  <c r="B76" i="12"/>
  <c r="B7" i="12"/>
  <c r="B33" i="12"/>
  <c r="B42" i="12"/>
  <c r="B75" i="12"/>
  <c r="B65" i="12"/>
  <c r="B63" i="12"/>
  <c r="B32" i="12"/>
  <c r="B9" i="12"/>
  <c r="B62" i="12"/>
  <c r="B13" i="12"/>
  <c r="B30" i="12"/>
  <c r="B19" i="12"/>
  <c r="B67" i="12"/>
  <c r="B4" i="12"/>
  <c r="C76" i="12"/>
  <c r="C72" i="12"/>
  <c r="C68" i="12"/>
  <c r="C64" i="12"/>
  <c r="C60" i="12"/>
  <c r="C56" i="12"/>
  <c r="C52" i="12"/>
  <c r="C48" i="12"/>
  <c r="C44" i="12"/>
  <c r="C40" i="12"/>
  <c r="C36" i="12"/>
  <c r="C32" i="12"/>
  <c r="C28" i="12"/>
  <c r="C24" i="12"/>
  <c r="C20" i="12"/>
  <c r="C16" i="12"/>
  <c r="C77" i="12"/>
  <c r="C73" i="12"/>
  <c r="C69" i="12"/>
  <c r="C65" i="12"/>
  <c r="C61" i="12"/>
  <c r="C57" i="12"/>
  <c r="C53" i="12"/>
  <c r="C49" i="12"/>
  <c r="C45" i="12"/>
  <c r="C41" i="12"/>
  <c r="C37" i="12"/>
  <c r="C33" i="12"/>
  <c r="C29" i="12"/>
  <c r="C25" i="12"/>
  <c r="C21" i="12"/>
  <c r="C17" i="12"/>
  <c r="C15" i="12"/>
  <c r="C75" i="12"/>
  <c r="C74" i="12"/>
  <c r="C67" i="12"/>
  <c r="C66" i="12"/>
  <c r="C59" i="12"/>
  <c r="C58" i="12"/>
  <c r="C51" i="12"/>
  <c r="C50" i="12"/>
  <c r="C43" i="12"/>
  <c r="C42" i="12"/>
  <c r="C35" i="12"/>
  <c r="C34" i="12"/>
  <c r="C27" i="12"/>
  <c r="C26" i="12"/>
  <c r="C19" i="12"/>
  <c r="C18" i="12"/>
  <c r="C13" i="12"/>
  <c r="C11" i="12"/>
  <c r="C8" i="12"/>
  <c r="C71" i="12"/>
  <c r="C70" i="12"/>
  <c r="C63" i="12"/>
  <c r="C62" i="12"/>
  <c r="C55" i="12"/>
  <c r="C54" i="12"/>
  <c r="C47" i="12"/>
  <c r="C46" i="12"/>
  <c r="C39" i="12"/>
  <c r="C38" i="12"/>
  <c r="C31" i="12"/>
  <c r="C30" i="12"/>
  <c r="C23" i="12"/>
  <c r="C22" i="12"/>
  <c r="C12" i="12"/>
  <c r="C10" i="12"/>
  <c r="C6" i="12"/>
  <c r="C7" i="12"/>
  <c r="C5" i="12"/>
  <c r="C4" i="12"/>
  <c r="C9" i="12"/>
  <c r="D3" i="12"/>
  <c r="B2" i="17" s="1"/>
  <c r="C4" i="17" s="1"/>
  <c r="C14" i="12"/>
  <c r="C3" i="12"/>
  <c r="B11" i="12"/>
  <c r="B34" i="12"/>
  <c r="B6" i="12"/>
  <c r="B74" i="12"/>
  <c r="B27" i="12"/>
  <c r="B43" i="12"/>
  <c r="B59" i="12"/>
  <c r="B40" i="12"/>
  <c r="B52" i="12"/>
  <c r="B20" i="12"/>
  <c r="B12" i="12"/>
  <c r="B61" i="12"/>
  <c r="B17" i="12"/>
  <c r="B37" i="12"/>
  <c r="B69" i="12"/>
  <c r="B29" i="12"/>
  <c r="B50" i="12"/>
  <c r="B25" i="12"/>
  <c r="B57" i="12"/>
  <c r="B14" i="12"/>
  <c r="B31" i="12"/>
  <c r="B5" i="12"/>
  <c r="B15" i="12"/>
  <c r="B38" i="12"/>
  <c r="B66" i="12"/>
  <c r="B35" i="12"/>
  <c r="B56" i="12"/>
  <c r="B24" i="12"/>
  <c r="B68" i="12"/>
  <c r="B45" i="12"/>
  <c r="B77" i="12"/>
  <c r="B49" i="12"/>
  <c r="B21" i="12"/>
  <c r="B53" i="12"/>
  <c r="B8" i="12"/>
  <c r="B18" i="12"/>
  <c r="B3" i="12"/>
  <c r="B41" i="12"/>
  <c r="B73" i="12"/>
  <c r="B23" i="12"/>
  <c r="B39" i="12"/>
  <c r="B55" i="12"/>
  <c r="B71" i="12"/>
  <c r="J15" i="22" l="1"/>
  <c r="E14" i="23"/>
  <c r="G16" i="22"/>
  <c r="K13" i="23"/>
  <c r="D18" i="22"/>
  <c r="C19" i="22"/>
  <c r="I13" i="23"/>
  <c r="J13" i="23"/>
  <c r="E17" i="22"/>
  <c r="F17" i="22"/>
  <c r="I17" i="22" s="1"/>
  <c r="D5" i="14"/>
  <c r="G5" i="14"/>
  <c r="I4" i="14"/>
  <c r="J4" i="14" s="1"/>
  <c r="L13" i="23" l="1"/>
  <c r="G17" i="22"/>
  <c r="J17" i="22" s="1"/>
  <c r="H17" i="22"/>
  <c r="E18" i="22"/>
  <c r="F18" i="22"/>
  <c r="I18" i="22" s="1"/>
  <c r="K18" i="22"/>
  <c r="C14" i="23"/>
  <c r="F14" i="23"/>
  <c r="D19" i="22"/>
  <c r="C20" i="22"/>
  <c r="J16" i="22"/>
  <c r="H5" i="14"/>
  <c r="E5" i="14"/>
  <c r="F6" i="14" s="1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G18" i="22" l="1"/>
  <c r="J18" i="22" s="1"/>
  <c r="H18" i="22"/>
  <c r="C21" i="22"/>
  <c r="D20" i="22"/>
  <c r="F19" i="22"/>
  <c r="I19" i="22" s="1"/>
  <c r="E19" i="22"/>
  <c r="K19" i="22"/>
  <c r="G14" i="23"/>
  <c r="H14" i="23"/>
  <c r="M14" i="23"/>
  <c r="D14" i="23"/>
  <c r="D6" i="14"/>
  <c r="G6" i="14"/>
  <c r="I5" i="14"/>
  <c r="J5" i="14" s="1"/>
  <c r="I14" i="23" l="1"/>
  <c r="L14" i="23" s="1"/>
  <c r="J14" i="23"/>
  <c r="G19" i="22"/>
  <c r="J19" i="22" s="1"/>
  <c r="H19" i="22"/>
  <c r="E15" i="23"/>
  <c r="E20" i="22"/>
  <c r="F20" i="22"/>
  <c r="I20" i="22" s="1"/>
  <c r="K20" i="22"/>
  <c r="D21" i="22"/>
  <c r="C22" i="22"/>
  <c r="K14" i="23"/>
  <c r="H6" i="14"/>
  <c r="E6" i="14"/>
  <c r="F7" i="14" s="1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AI1" i="9"/>
  <c r="AH1" i="9"/>
  <c r="Q9" i="6"/>
  <c r="P9" i="6"/>
  <c r="O9" i="6"/>
  <c r="Q6" i="6"/>
  <c r="P6" i="6"/>
  <c r="O6" i="6"/>
  <c r="Q4" i="6"/>
  <c r="P4" i="6"/>
  <c r="O4" i="6"/>
  <c r="Q3" i="6"/>
  <c r="P3" i="6"/>
  <c r="O3" i="6"/>
  <c r="Q2" i="6"/>
  <c r="P2" i="6"/>
  <c r="O2" i="6"/>
  <c r="H2" i="6"/>
  <c r="G20" i="22" l="1"/>
  <c r="J20" i="22" s="1"/>
  <c r="H20" i="22"/>
  <c r="F15" i="23"/>
  <c r="C15" i="23"/>
  <c r="D22" i="22"/>
  <c r="C23" i="22"/>
  <c r="E21" i="22"/>
  <c r="F21" i="22"/>
  <c r="I21" i="22" s="1"/>
  <c r="K21" i="22"/>
  <c r="O5" i="6"/>
  <c r="O8" i="6" s="1"/>
  <c r="O7" i="6"/>
  <c r="P5" i="6"/>
  <c r="P8" i="6" s="1"/>
  <c r="P7" i="6"/>
  <c r="G7" i="14"/>
  <c r="D7" i="14"/>
  <c r="I6" i="14"/>
  <c r="J6" i="14" s="1"/>
  <c r="AE10" i="9"/>
  <c r="AE5" i="9"/>
  <c r="AE9" i="9"/>
  <c r="AE13" i="9"/>
  <c r="AE17" i="9"/>
  <c r="AE21" i="9"/>
  <c r="AG21" i="9" s="1"/>
  <c r="AE25" i="9"/>
  <c r="AE29" i="9"/>
  <c r="AE33" i="9"/>
  <c r="AG33" i="9" s="1"/>
  <c r="AE37" i="9"/>
  <c r="AG37" i="9" s="1"/>
  <c r="AE41" i="9"/>
  <c r="AE45" i="9"/>
  <c r="AE49" i="9"/>
  <c r="AE53" i="9"/>
  <c r="AE57" i="9"/>
  <c r="AE61" i="9"/>
  <c r="AG61" i="9" s="1"/>
  <c r="AE65" i="9"/>
  <c r="AE69" i="9"/>
  <c r="AE73" i="9"/>
  <c r="AE77" i="9"/>
  <c r="AG77" i="9" s="1"/>
  <c r="AE6" i="9"/>
  <c r="AE14" i="9"/>
  <c r="AE18" i="9"/>
  <c r="AE22" i="9"/>
  <c r="AE26" i="9"/>
  <c r="AE30" i="9"/>
  <c r="AG30" i="9" s="1"/>
  <c r="AE34" i="9"/>
  <c r="AE38" i="9"/>
  <c r="AE42" i="9"/>
  <c r="AE46" i="9"/>
  <c r="AE50" i="9"/>
  <c r="AE54" i="9"/>
  <c r="AE58" i="9"/>
  <c r="AE62" i="9"/>
  <c r="AE66" i="9"/>
  <c r="AE70" i="9"/>
  <c r="AE74" i="9"/>
  <c r="AE7" i="9"/>
  <c r="AE11" i="9"/>
  <c r="AE15" i="9"/>
  <c r="AE19" i="9"/>
  <c r="AE23" i="9"/>
  <c r="AE27" i="9"/>
  <c r="AE31" i="9"/>
  <c r="AE35" i="9"/>
  <c r="AE39" i="9"/>
  <c r="AE43" i="9"/>
  <c r="AE47" i="9"/>
  <c r="AG47" i="9" s="1"/>
  <c r="AE51" i="9"/>
  <c r="AE55" i="9"/>
  <c r="AE59" i="9"/>
  <c r="AG59" i="9" s="1"/>
  <c r="AE63" i="9"/>
  <c r="AE67" i="9"/>
  <c r="AE71" i="9"/>
  <c r="AE75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52" i="9"/>
  <c r="AE56" i="9"/>
  <c r="AE60" i="9"/>
  <c r="AE64" i="9"/>
  <c r="AE68" i="9"/>
  <c r="AE72" i="9"/>
  <c r="AG72" i="9" s="1"/>
  <c r="AE76" i="9"/>
  <c r="AE3" i="9"/>
  <c r="AG3" i="9" s="1"/>
  <c r="Q7" i="6"/>
  <c r="G3" i="6"/>
  <c r="I2" i="6"/>
  <c r="F2" i="6"/>
  <c r="Q5" i="6"/>
  <c r="Q8" i="6" s="1"/>
  <c r="D23" i="22" l="1"/>
  <c r="C24" i="22"/>
  <c r="E22" i="22"/>
  <c r="F22" i="22"/>
  <c r="I22" i="22" s="1"/>
  <c r="K22" i="22"/>
  <c r="D15" i="23"/>
  <c r="E16" i="23" s="1"/>
  <c r="G21" i="22"/>
  <c r="J21" i="22" s="1"/>
  <c r="H21" i="22"/>
  <c r="G15" i="23"/>
  <c r="H15" i="23"/>
  <c r="K15" i="23" s="1"/>
  <c r="M15" i="23"/>
  <c r="E7" i="14"/>
  <c r="F8" i="14" s="1"/>
  <c r="H7" i="14"/>
  <c r="AG5" i="9"/>
  <c r="D5" i="9" s="1"/>
  <c r="AG60" i="9"/>
  <c r="D60" i="9" s="1"/>
  <c r="AG44" i="9"/>
  <c r="D44" i="9" s="1"/>
  <c r="AG28" i="9"/>
  <c r="D28" i="9" s="1"/>
  <c r="AG74" i="9"/>
  <c r="D74" i="9" s="1"/>
  <c r="AG50" i="9"/>
  <c r="D50" i="9" s="1"/>
  <c r="AG22" i="9"/>
  <c r="D22" i="9" s="1"/>
  <c r="AG65" i="9"/>
  <c r="D65" i="9" s="1"/>
  <c r="AG49" i="9"/>
  <c r="D49" i="9" s="1"/>
  <c r="AG42" i="9"/>
  <c r="D42" i="9" s="1"/>
  <c r="AG31" i="9"/>
  <c r="D31" i="9" s="1"/>
  <c r="AG27" i="9"/>
  <c r="D27" i="9" s="1"/>
  <c r="AG23" i="9"/>
  <c r="D23" i="9" s="1"/>
  <c r="AG76" i="9"/>
  <c r="D76" i="9" s="1"/>
  <c r="AG56" i="9"/>
  <c r="D56" i="9" s="1"/>
  <c r="AG40" i="9"/>
  <c r="D40" i="9" s="1"/>
  <c r="AG24" i="9"/>
  <c r="D24" i="9" s="1"/>
  <c r="AG70" i="9"/>
  <c r="D70" i="9" s="1"/>
  <c r="AG38" i="9"/>
  <c r="D38" i="9" s="1"/>
  <c r="AG45" i="9"/>
  <c r="D45" i="9" s="1"/>
  <c r="AG29" i="9"/>
  <c r="D29" i="9" s="1"/>
  <c r="AG66" i="9"/>
  <c r="D66" i="9" s="1"/>
  <c r="AG34" i="9"/>
  <c r="D34" i="9" s="1"/>
  <c r="AG75" i="9"/>
  <c r="D75" i="9" s="1"/>
  <c r="AG71" i="9"/>
  <c r="D71" i="9" s="1"/>
  <c r="AG67" i="9"/>
  <c r="D67" i="9" s="1"/>
  <c r="AG68" i="9"/>
  <c r="D68" i="9" s="1"/>
  <c r="AG52" i="9"/>
  <c r="D52" i="9" s="1"/>
  <c r="AG36" i="9"/>
  <c r="D36" i="9" s="1"/>
  <c r="AG20" i="9"/>
  <c r="D20" i="9" s="1"/>
  <c r="AG62" i="9"/>
  <c r="D62" i="9" s="1"/>
  <c r="AG73" i="9"/>
  <c r="D73" i="9" s="1"/>
  <c r="AG57" i="9"/>
  <c r="D57" i="9" s="1"/>
  <c r="AG41" i="9"/>
  <c r="D41" i="9" s="1"/>
  <c r="AG25" i="9"/>
  <c r="D25" i="9" s="1"/>
  <c r="AG54" i="9"/>
  <c r="D54" i="9" s="1"/>
  <c r="AG63" i="9"/>
  <c r="D63" i="9" s="1"/>
  <c r="AG55" i="9"/>
  <c r="D55" i="9" s="1"/>
  <c r="AG51" i="9"/>
  <c r="D51" i="9" s="1"/>
  <c r="AG64" i="9"/>
  <c r="D64" i="9" s="1"/>
  <c r="AG48" i="9"/>
  <c r="D48" i="9" s="1"/>
  <c r="AG32" i="9"/>
  <c r="D32" i="9" s="1"/>
  <c r="AG4" i="9"/>
  <c r="D4" i="9" s="1"/>
  <c r="AG58" i="9"/>
  <c r="D58" i="9" s="1"/>
  <c r="AG26" i="9"/>
  <c r="D26" i="9" s="1"/>
  <c r="AG69" i="9"/>
  <c r="D69" i="9" s="1"/>
  <c r="AG53" i="9"/>
  <c r="D53" i="9" s="1"/>
  <c r="AG46" i="9"/>
  <c r="D46" i="9" s="1"/>
  <c r="AG43" i="9"/>
  <c r="AG39" i="9"/>
  <c r="D39" i="9" s="1"/>
  <c r="AG35" i="9"/>
  <c r="D35" i="9" s="1"/>
  <c r="D61" i="9"/>
  <c r="D72" i="9"/>
  <c r="D30" i="9"/>
  <c r="D37" i="9"/>
  <c r="D21" i="9"/>
  <c r="D47" i="9"/>
  <c r="D59" i="9"/>
  <c r="D33" i="9"/>
  <c r="D77" i="9"/>
  <c r="H3" i="6"/>
  <c r="F3" i="6" s="1"/>
  <c r="J2" i="6"/>
  <c r="C16" i="23" l="1"/>
  <c r="F16" i="23"/>
  <c r="G22" i="22"/>
  <c r="J22" i="22" s="1"/>
  <c r="H22" i="22"/>
  <c r="D16" i="23"/>
  <c r="I15" i="23"/>
  <c r="L15" i="23" s="1"/>
  <c r="J15" i="23"/>
  <c r="D24" i="22"/>
  <c r="C25" i="22"/>
  <c r="E23" i="22"/>
  <c r="F23" i="22"/>
  <c r="I23" i="22" s="1"/>
  <c r="K23" i="22"/>
  <c r="G8" i="14"/>
  <c r="D8" i="14"/>
  <c r="I7" i="14"/>
  <c r="J7" i="14" s="1"/>
  <c r="D43" i="9"/>
  <c r="D3" i="9"/>
  <c r="AG6" i="9"/>
  <c r="AG7" i="9"/>
  <c r="AG10" i="9"/>
  <c r="AG11" i="9"/>
  <c r="I3" i="6"/>
  <c r="G4" i="6"/>
  <c r="E24" i="22" l="1"/>
  <c r="F24" i="22"/>
  <c r="I24" i="22" s="1"/>
  <c r="K24" i="22"/>
  <c r="G23" i="22"/>
  <c r="J23" i="22" s="1"/>
  <c r="H23" i="22"/>
  <c r="G16" i="23"/>
  <c r="H16" i="23"/>
  <c r="K16" i="23" s="1"/>
  <c r="M16" i="23"/>
  <c r="D25" i="22"/>
  <c r="C26" i="22"/>
  <c r="E17" i="23"/>
  <c r="E8" i="14"/>
  <c r="F9" i="14" s="1"/>
  <c r="H8" i="14"/>
  <c r="I8" i="14" s="1"/>
  <c r="J8" i="14" s="1"/>
  <c r="AG8" i="9"/>
  <c r="D6" i="9"/>
  <c r="AG14" i="9"/>
  <c r="AG16" i="9"/>
  <c r="H4" i="6"/>
  <c r="F4" i="6" s="1"/>
  <c r="J3" i="6"/>
  <c r="I16" i="23" l="1"/>
  <c r="L16" i="23" s="1"/>
  <c r="J16" i="23"/>
  <c r="F17" i="23"/>
  <c r="C17" i="23"/>
  <c r="E25" i="22"/>
  <c r="F25" i="22"/>
  <c r="I25" i="22" s="1"/>
  <c r="K25" i="22"/>
  <c r="G24" i="22"/>
  <c r="J24" i="22" s="1"/>
  <c r="H24" i="22"/>
  <c r="D26" i="22"/>
  <c r="C27" i="22"/>
  <c r="G9" i="14"/>
  <c r="D9" i="14"/>
  <c r="D8" i="9"/>
  <c r="AG12" i="9"/>
  <c r="AG13" i="9"/>
  <c r="AG9" i="9"/>
  <c r="D7" i="9"/>
  <c r="D10" i="9"/>
  <c r="D11" i="9"/>
  <c r="G5" i="6"/>
  <c r="I4" i="6"/>
  <c r="D17" i="23" l="1"/>
  <c r="G25" i="22"/>
  <c r="J25" i="22" s="1"/>
  <c r="H25" i="22"/>
  <c r="D27" i="22"/>
  <c r="C28" i="22"/>
  <c r="G17" i="23"/>
  <c r="H17" i="23"/>
  <c r="K17" i="23" s="1"/>
  <c r="M17" i="23"/>
  <c r="E26" i="22"/>
  <c r="F26" i="22"/>
  <c r="I26" i="22" s="1"/>
  <c r="K26" i="22"/>
  <c r="E9" i="14"/>
  <c r="F10" i="14" s="1"/>
  <c r="H9" i="14"/>
  <c r="I9" i="14" s="1"/>
  <c r="J9" i="14" s="1"/>
  <c r="AG15" i="9"/>
  <c r="D9" i="9"/>
  <c r="D13" i="9"/>
  <c r="D12" i="9"/>
  <c r="D14" i="9"/>
  <c r="D16" i="9"/>
  <c r="J4" i="6"/>
  <c r="H5" i="6"/>
  <c r="F5" i="6" s="1"/>
  <c r="D28" i="22" l="1"/>
  <c r="C29" i="22"/>
  <c r="F27" i="22"/>
  <c r="I27" i="22" s="1"/>
  <c r="E27" i="22"/>
  <c r="K27" i="22"/>
  <c r="I17" i="23"/>
  <c r="L17" i="23" s="1"/>
  <c r="J17" i="23"/>
  <c r="G26" i="22"/>
  <c r="J26" i="22" s="1"/>
  <c r="H26" i="22"/>
  <c r="E18" i="23"/>
  <c r="G10" i="14"/>
  <c r="D10" i="14"/>
  <c r="AG18" i="9"/>
  <c r="D15" i="9"/>
  <c r="G6" i="6"/>
  <c r="I5" i="6"/>
  <c r="G27" i="22" l="1"/>
  <c r="J27" i="22" s="1"/>
  <c r="H27" i="22"/>
  <c r="C18" i="23"/>
  <c r="F18" i="23"/>
  <c r="D29" i="22"/>
  <c r="C30" i="22"/>
  <c r="D30" i="22" s="1"/>
  <c r="E28" i="22"/>
  <c r="F28" i="22"/>
  <c r="I28" i="22" s="1"/>
  <c r="K28" i="22"/>
  <c r="E10" i="14"/>
  <c r="F11" i="14" s="1"/>
  <c r="H10" i="14"/>
  <c r="I10" i="14" s="1"/>
  <c r="J10" i="14" s="1"/>
  <c r="AG17" i="9"/>
  <c r="AG19" i="9"/>
  <c r="H6" i="6"/>
  <c r="J5" i="6"/>
  <c r="G28" i="22" l="1"/>
  <c r="J28" i="22" s="1"/>
  <c r="H28" i="22"/>
  <c r="E29" i="22"/>
  <c r="F29" i="22"/>
  <c r="I29" i="22" s="1"/>
  <c r="K29" i="22"/>
  <c r="D18" i="23"/>
  <c r="G18" i="23"/>
  <c r="H18" i="23"/>
  <c r="K18" i="23" s="1"/>
  <c r="M18" i="23"/>
  <c r="E30" i="22"/>
  <c r="F30" i="22"/>
  <c r="I30" i="22" s="1"/>
  <c r="K30" i="22"/>
  <c r="D11" i="14"/>
  <c r="G11" i="14"/>
  <c r="B67" i="9"/>
  <c r="B30" i="9"/>
  <c r="B3" i="9"/>
  <c r="C3" i="9"/>
  <c r="C35" i="9"/>
  <c r="C67" i="9"/>
  <c r="C58" i="9"/>
  <c r="C73" i="9"/>
  <c r="C29" i="9"/>
  <c r="C60" i="9"/>
  <c r="C32" i="9"/>
  <c r="C30" i="9"/>
  <c r="C61" i="9"/>
  <c r="C17" i="9"/>
  <c r="C64" i="9"/>
  <c r="C68" i="9"/>
  <c r="C24" i="9"/>
  <c r="C59" i="9"/>
  <c r="C15" i="9"/>
  <c r="C53" i="9"/>
  <c r="C26" i="9"/>
  <c r="C9" i="9"/>
  <c r="C33" i="9"/>
  <c r="C57" i="9"/>
  <c r="C54" i="9"/>
  <c r="C4" i="9"/>
  <c r="C43" i="9"/>
  <c r="C14" i="9"/>
  <c r="C36" i="9"/>
  <c r="C39" i="9"/>
  <c r="C70" i="9"/>
  <c r="C23" i="9"/>
  <c r="C65" i="9"/>
  <c r="C41" i="9"/>
  <c r="C49" i="9"/>
  <c r="C19" i="9"/>
  <c r="C37" i="9"/>
  <c r="C72" i="9"/>
  <c r="C21" i="9"/>
  <c r="C48" i="9"/>
  <c r="C31" i="9"/>
  <c r="C55" i="9"/>
  <c r="C16" i="9"/>
  <c r="C25" i="9"/>
  <c r="C74" i="9"/>
  <c r="C11" i="9"/>
  <c r="C51" i="9"/>
  <c r="C47" i="9"/>
  <c r="C69" i="9"/>
  <c r="C77" i="9"/>
  <c r="C50" i="9"/>
  <c r="C13" i="9"/>
  <c r="C62" i="9"/>
  <c r="C52" i="9"/>
  <c r="C42" i="9"/>
  <c r="C5" i="9"/>
  <c r="C38" i="9"/>
  <c r="C28" i="9"/>
  <c r="C66" i="9"/>
  <c r="C40" i="9"/>
  <c r="C7" i="9"/>
  <c r="C71" i="9"/>
  <c r="C56" i="9"/>
  <c r="C45" i="9"/>
  <c r="C6" i="9"/>
  <c r="C44" i="9"/>
  <c r="C18" i="9"/>
  <c r="C8" i="9"/>
  <c r="C46" i="9"/>
  <c r="C20" i="9"/>
  <c r="C10" i="9"/>
  <c r="C63" i="9"/>
  <c r="C22" i="9"/>
  <c r="C75" i="9"/>
  <c r="C34" i="9"/>
  <c r="C27" i="9"/>
  <c r="C12" i="9"/>
  <c r="C76" i="9"/>
  <c r="B51" i="9"/>
  <c r="B58" i="9"/>
  <c r="B16" i="9"/>
  <c r="B33" i="9"/>
  <c r="B25" i="9"/>
  <c r="B24" i="9"/>
  <c r="B55" i="9"/>
  <c r="B17" i="9"/>
  <c r="B34" i="9"/>
  <c r="B31" i="9"/>
  <c r="B57" i="9"/>
  <c r="B18" i="9"/>
  <c r="B48" i="9"/>
  <c r="B29" i="9"/>
  <c r="B22" i="9"/>
  <c r="B68" i="9"/>
  <c r="B41" i="9"/>
  <c r="B77" i="9"/>
  <c r="B7" i="9"/>
  <c r="B8" i="9"/>
  <c r="B49" i="9"/>
  <c r="B36" i="9"/>
  <c r="B26" i="9"/>
  <c r="B21" i="9"/>
  <c r="B64" i="9"/>
  <c r="B28" i="9"/>
  <c r="B37" i="9"/>
  <c r="B10" i="9"/>
  <c r="B70" i="9"/>
  <c r="B53" i="9"/>
  <c r="B61" i="9"/>
  <c r="B23" i="9"/>
  <c r="B20" i="9"/>
  <c r="B44" i="9"/>
  <c r="B62" i="9"/>
  <c r="B69" i="9"/>
  <c r="B15" i="9"/>
  <c r="B74" i="9"/>
  <c r="B60" i="9"/>
  <c r="B5" i="9"/>
  <c r="B9" i="9"/>
  <c r="B39" i="9"/>
  <c r="B42" i="9"/>
  <c r="B75" i="9"/>
  <c r="B47" i="9"/>
  <c r="B50" i="9"/>
  <c r="B72" i="9"/>
  <c r="B71" i="9"/>
  <c r="B40" i="9"/>
  <c r="B13" i="9"/>
  <c r="D19" i="9"/>
  <c r="B76" i="9"/>
  <c r="B14" i="9"/>
  <c r="B32" i="9"/>
  <c r="B6" i="9"/>
  <c r="B38" i="9"/>
  <c r="B56" i="9"/>
  <c r="B45" i="9"/>
  <c r="B11" i="9"/>
  <c r="B52" i="9"/>
  <c r="B43" i="9"/>
  <c r="B46" i="9"/>
  <c r="B73" i="9"/>
  <c r="B54" i="9"/>
  <c r="B4" i="9"/>
  <c r="B66" i="9"/>
  <c r="B27" i="9"/>
  <c r="B65" i="9"/>
  <c r="B59" i="9"/>
  <c r="D17" i="9"/>
  <c r="B63" i="9"/>
  <c r="B35" i="9"/>
  <c r="B19" i="9"/>
  <c r="B12" i="9"/>
  <c r="D18" i="9"/>
  <c r="G7" i="6"/>
  <c r="I6" i="6"/>
  <c r="F6" i="6"/>
  <c r="I18" i="23" l="1"/>
  <c r="L18" i="23" s="1"/>
  <c r="J18" i="23"/>
  <c r="E19" i="23"/>
  <c r="G30" i="22"/>
  <c r="H30" i="22"/>
  <c r="G29" i="22"/>
  <c r="J29" i="22" s="1"/>
  <c r="H29" i="22"/>
  <c r="B28" i="14"/>
  <c r="B41" i="14"/>
  <c r="B46" i="14"/>
  <c r="B38" i="14"/>
  <c r="B31" i="14"/>
  <c r="B37" i="14"/>
  <c r="B36" i="14"/>
  <c r="B26" i="14"/>
  <c r="B24" i="14"/>
  <c r="B29" i="14"/>
  <c r="B35" i="14"/>
  <c r="B44" i="14"/>
  <c r="B52" i="14"/>
  <c r="B27" i="14"/>
  <c r="B45" i="14"/>
  <c r="B40" i="14"/>
  <c r="B47" i="14"/>
  <c r="B25" i="14"/>
  <c r="B48" i="14"/>
  <c r="B30" i="14"/>
  <c r="B39" i="14"/>
  <c r="B34" i="14"/>
  <c r="B42" i="14"/>
  <c r="B50" i="14"/>
  <c r="B51" i="14"/>
  <c r="B49" i="14"/>
  <c r="B43" i="14"/>
  <c r="B33" i="14"/>
  <c r="B32" i="14"/>
  <c r="P9" i="9"/>
  <c r="B20" i="14"/>
  <c r="B20" i="15"/>
  <c r="B9" i="14"/>
  <c r="B9" i="15"/>
  <c r="B12" i="14"/>
  <c r="B12" i="15"/>
  <c r="B22" i="14"/>
  <c r="B22" i="15"/>
  <c r="B6" i="14"/>
  <c r="B6" i="15"/>
  <c r="B7" i="14"/>
  <c r="B7" i="15"/>
  <c r="B11" i="14"/>
  <c r="B11" i="15"/>
  <c r="B4" i="14"/>
  <c r="B4" i="15"/>
  <c r="B8" i="14"/>
  <c r="B8" i="15"/>
  <c r="B5" i="14"/>
  <c r="B5" i="15"/>
  <c r="B13" i="14"/>
  <c r="B13" i="15"/>
  <c r="B19" i="14"/>
  <c r="B19" i="15"/>
  <c r="B23" i="14"/>
  <c r="B23" i="15"/>
  <c r="B14" i="14"/>
  <c r="B14" i="15"/>
  <c r="B17" i="14"/>
  <c r="B17" i="15"/>
  <c r="B10" i="14"/>
  <c r="B10" i="15"/>
  <c r="B18" i="14"/>
  <c r="B18" i="15"/>
  <c r="B16" i="14"/>
  <c r="B16" i="15"/>
  <c r="B21" i="14"/>
  <c r="B21" i="15"/>
  <c r="B15" i="14"/>
  <c r="B15" i="15"/>
  <c r="B3" i="14"/>
  <c r="B3" i="15"/>
  <c r="B76" i="14"/>
  <c r="B55" i="14"/>
  <c r="B59" i="14"/>
  <c r="B67" i="14"/>
  <c r="B62" i="14"/>
  <c r="B69" i="14"/>
  <c r="B74" i="14"/>
  <c r="B65" i="14"/>
  <c r="B54" i="14"/>
  <c r="B61" i="14"/>
  <c r="B71" i="14"/>
  <c r="B72" i="14"/>
  <c r="B63" i="14"/>
  <c r="B57" i="14"/>
  <c r="B53" i="14"/>
  <c r="B68" i="14"/>
  <c r="B73" i="14"/>
  <c r="B75" i="14"/>
  <c r="B77" i="14"/>
  <c r="B60" i="14"/>
  <c r="B56" i="14"/>
  <c r="B66" i="14"/>
  <c r="B70" i="14"/>
  <c r="B64" i="14"/>
  <c r="B58" i="14"/>
  <c r="H11" i="14"/>
  <c r="I11" i="14" s="1"/>
  <c r="J11" i="14" s="1"/>
  <c r="E11" i="14"/>
  <c r="F12" i="14" s="1"/>
  <c r="P2" i="9"/>
  <c r="O2" i="9"/>
  <c r="Q2" i="9"/>
  <c r="P4" i="9"/>
  <c r="P6" i="9"/>
  <c r="P3" i="9"/>
  <c r="Q6" i="9"/>
  <c r="Q4" i="9"/>
  <c r="Q3" i="9"/>
  <c r="Q9" i="9"/>
  <c r="O6" i="9"/>
  <c r="O9" i="9"/>
  <c r="O4" i="9"/>
  <c r="O3" i="9"/>
  <c r="J6" i="6"/>
  <c r="H7" i="6"/>
  <c r="F7" i="6" s="1"/>
  <c r="J30" i="22" l="1"/>
  <c r="F19" i="23"/>
  <c r="C19" i="23"/>
  <c r="T4" i="9"/>
  <c r="T9" i="9"/>
  <c r="G12" i="14"/>
  <c r="D12" i="14"/>
  <c r="T6" i="9"/>
  <c r="T3" i="9"/>
  <c r="U4" i="9"/>
  <c r="T2" i="9"/>
  <c r="U9" i="9"/>
  <c r="U3" i="9"/>
  <c r="U6" i="9"/>
  <c r="U2" i="9"/>
  <c r="Q7" i="9"/>
  <c r="Q5" i="9"/>
  <c r="Q8" i="9" s="1"/>
  <c r="P5" i="9"/>
  <c r="P7" i="9"/>
  <c r="O5" i="9"/>
  <c r="O8" i="9" s="1"/>
  <c r="O7" i="9"/>
  <c r="G8" i="6"/>
  <c r="I7" i="6"/>
  <c r="D19" i="23" l="1"/>
  <c r="G19" i="23"/>
  <c r="H19" i="23"/>
  <c r="K19" i="23" s="1"/>
  <c r="M19" i="23"/>
  <c r="E12" i="14"/>
  <c r="F13" i="14" s="1"/>
  <c r="H12" i="14"/>
  <c r="I12" i="14" s="1"/>
  <c r="J12" i="14" s="1"/>
  <c r="U7" i="9"/>
  <c r="T5" i="9"/>
  <c r="U5" i="9"/>
  <c r="T7" i="9"/>
  <c r="P8" i="9"/>
  <c r="U8" i="9" s="1"/>
  <c r="R5" i="9"/>
  <c r="S5" i="9" s="1"/>
  <c r="J7" i="6"/>
  <c r="H8" i="6"/>
  <c r="I19" i="23" l="1"/>
  <c r="L19" i="23" s="1"/>
  <c r="J19" i="23"/>
  <c r="E20" i="23"/>
  <c r="G13" i="14"/>
  <c r="D13" i="14"/>
  <c r="T8" i="9"/>
  <c r="R3" i="9"/>
  <c r="S3" i="9" s="1"/>
  <c r="R4" i="9"/>
  <c r="G2" i="9" s="1"/>
  <c r="G9" i="6"/>
  <c r="I8" i="6"/>
  <c r="F8" i="6"/>
  <c r="C20" i="23" l="1"/>
  <c r="F20" i="23"/>
  <c r="E13" i="14"/>
  <c r="F14" i="14" s="1"/>
  <c r="H13" i="14"/>
  <c r="I13" i="14" s="1"/>
  <c r="J13" i="14" s="1"/>
  <c r="H2" i="9"/>
  <c r="J8" i="6"/>
  <c r="H9" i="6"/>
  <c r="G20" i="23" l="1"/>
  <c r="H20" i="23"/>
  <c r="K20" i="23" s="1"/>
  <c r="M20" i="23"/>
  <c r="D20" i="23"/>
  <c r="G14" i="14"/>
  <c r="D14" i="14"/>
  <c r="G3" i="9"/>
  <c r="I2" i="9"/>
  <c r="J2" i="9" s="1"/>
  <c r="F2" i="9"/>
  <c r="G10" i="6"/>
  <c r="I9" i="6"/>
  <c r="F9" i="6"/>
  <c r="E21" i="23" l="1"/>
  <c r="I20" i="23"/>
  <c r="L20" i="23" s="1"/>
  <c r="J20" i="23"/>
  <c r="E14" i="14"/>
  <c r="F15" i="14" s="1"/>
  <c r="H14" i="14"/>
  <c r="I14" i="14" s="1"/>
  <c r="J14" i="14" s="1"/>
  <c r="H3" i="9"/>
  <c r="J9" i="6"/>
  <c r="H10" i="6"/>
  <c r="F10" i="6" s="1"/>
  <c r="F21" i="23" l="1"/>
  <c r="C21" i="23"/>
  <c r="D15" i="14"/>
  <c r="G15" i="14"/>
  <c r="I3" i="9"/>
  <c r="J3" i="9" s="1"/>
  <c r="G4" i="9"/>
  <c r="F3" i="9"/>
  <c r="G11" i="6"/>
  <c r="I10" i="6"/>
  <c r="D21" i="23" l="1"/>
  <c r="G21" i="23"/>
  <c r="H21" i="23"/>
  <c r="K21" i="23" s="1"/>
  <c r="M21" i="23"/>
  <c r="H15" i="14"/>
  <c r="I15" i="14" s="1"/>
  <c r="J15" i="14" s="1"/>
  <c r="E15" i="14"/>
  <c r="F16" i="14" s="1"/>
  <c r="H4" i="9"/>
  <c r="H11" i="6"/>
  <c r="F11" i="6" s="1"/>
  <c r="J10" i="6"/>
  <c r="I21" i="23" l="1"/>
  <c r="L21" i="23" s="1"/>
  <c r="J21" i="23"/>
  <c r="E22" i="23"/>
  <c r="G16" i="14"/>
  <c r="D16" i="14"/>
  <c r="I4" i="9"/>
  <c r="J4" i="9" s="1"/>
  <c r="G5" i="9"/>
  <c r="F4" i="9"/>
  <c r="G12" i="6"/>
  <c r="I11" i="6"/>
  <c r="C22" i="23" l="1"/>
  <c r="F22" i="23"/>
  <c r="E16" i="14"/>
  <c r="F17" i="14" s="1"/>
  <c r="H16" i="14"/>
  <c r="I16" i="14" s="1"/>
  <c r="J16" i="14" s="1"/>
  <c r="H5" i="9"/>
  <c r="J11" i="6"/>
  <c r="H12" i="6"/>
  <c r="F12" i="6" s="1"/>
  <c r="G22" i="23" l="1"/>
  <c r="H22" i="23"/>
  <c r="K22" i="23" s="1"/>
  <c r="M22" i="23"/>
  <c r="D22" i="23"/>
  <c r="E23" i="23" s="1"/>
  <c r="G17" i="14"/>
  <c r="D17" i="14"/>
  <c r="I5" i="9"/>
  <c r="J5" i="9" s="1"/>
  <c r="G6" i="9"/>
  <c r="F5" i="9"/>
  <c r="G13" i="6"/>
  <c r="I12" i="6"/>
  <c r="C23" i="23" l="1"/>
  <c r="F23" i="23"/>
  <c r="D23" i="23"/>
  <c r="I22" i="23"/>
  <c r="L22" i="23" s="1"/>
  <c r="J22" i="23"/>
  <c r="E17" i="14"/>
  <c r="F18" i="14" s="1"/>
  <c r="H17" i="14"/>
  <c r="I17" i="14" s="1"/>
  <c r="J17" i="14" s="1"/>
  <c r="H6" i="9"/>
  <c r="J12" i="6"/>
  <c r="H13" i="6"/>
  <c r="G23" i="23" l="1"/>
  <c r="H23" i="23"/>
  <c r="K23" i="23" s="1"/>
  <c r="M23" i="23"/>
  <c r="E24" i="23"/>
  <c r="G18" i="14"/>
  <c r="D18" i="14"/>
  <c r="I6" i="9"/>
  <c r="J6" i="9" s="1"/>
  <c r="G7" i="9"/>
  <c r="F6" i="9"/>
  <c r="G14" i="6"/>
  <c r="I13" i="6"/>
  <c r="F13" i="6"/>
  <c r="F24" i="23" l="1"/>
  <c r="C24" i="23"/>
  <c r="I23" i="23"/>
  <c r="L23" i="23" s="1"/>
  <c r="J23" i="23"/>
  <c r="E18" i="14"/>
  <c r="F19" i="14" s="1"/>
  <c r="H18" i="14"/>
  <c r="I18" i="14" s="1"/>
  <c r="J18" i="14" s="1"/>
  <c r="H7" i="9"/>
  <c r="J13" i="6"/>
  <c r="H14" i="6"/>
  <c r="I14" i="6" s="1"/>
  <c r="D24" i="23" l="1"/>
  <c r="G24" i="23"/>
  <c r="H24" i="23"/>
  <c r="K24" i="23" s="1"/>
  <c r="M24" i="23"/>
  <c r="G19" i="14"/>
  <c r="D19" i="14"/>
  <c r="F14" i="6"/>
  <c r="I7" i="9"/>
  <c r="J7" i="9" s="1"/>
  <c r="G8" i="9"/>
  <c r="F7" i="9"/>
  <c r="J14" i="6"/>
  <c r="I24" i="23" l="1"/>
  <c r="L24" i="23" s="1"/>
  <c r="J24" i="23"/>
  <c r="E25" i="23"/>
  <c r="E19" i="14"/>
  <c r="F20" i="14" s="1"/>
  <c r="H19" i="14"/>
  <c r="I19" i="14" s="1"/>
  <c r="J19" i="14" s="1"/>
  <c r="H8" i="9"/>
  <c r="J15" i="6"/>
  <c r="C25" i="23" l="1"/>
  <c r="F25" i="23"/>
  <c r="D20" i="14"/>
  <c r="G20" i="14"/>
  <c r="I8" i="9"/>
  <c r="J8" i="9" s="1"/>
  <c r="G9" i="9"/>
  <c r="F8" i="9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G25" i="23" l="1"/>
  <c r="H25" i="23"/>
  <c r="K25" i="23" s="1"/>
  <c r="M25" i="23"/>
  <c r="D25" i="23"/>
  <c r="H20" i="14"/>
  <c r="I20" i="14" s="1"/>
  <c r="J20" i="14" s="1"/>
  <c r="E20" i="14"/>
  <c r="F21" i="14" s="1"/>
  <c r="H9" i="9"/>
  <c r="K15" i="6"/>
  <c r="E26" i="23" l="1"/>
  <c r="I25" i="23"/>
  <c r="L25" i="23" s="1"/>
  <c r="J25" i="23"/>
  <c r="G21" i="14"/>
  <c r="D21" i="14"/>
  <c r="I9" i="9"/>
  <c r="J9" i="9" s="1"/>
  <c r="G10" i="9"/>
  <c r="F9" i="9"/>
  <c r="F26" i="23" l="1"/>
  <c r="C26" i="23"/>
  <c r="E21" i="14"/>
  <c r="F22" i="14" s="1"/>
  <c r="H21" i="14"/>
  <c r="I21" i="14" s="1"/>
  <c r="J21" i="14" s="1"/>
  <c r="H10" i="9"/>
  <c r="D26" i="23" l="1"/>
  <c r="G26" i="23"/>
  <c r="H26" i="23"/>
  <c r="K26" i="23" s="1"/>
  <c r="M26" i="23"/>
  <c r="G22" i="14"/>
  <c r="D22" i="14"/>
  <c r="I10" i="9"/>
  <c r="J10" i="9" s="1"/>
  <c r="G11" i="9"/>
  <c r="F10" i="9"/>
  <c r="I26" i="23" l="1"/>
  <c r="L26" i="23" s="1"/>
  <c r="J26" i="23"/>
  <c r="E27" i="23"/>
  <c r="E22" i="14"/>
  <c r="F23" i="14" s="1"/>
  <c r="H22" i="14"/>
  <c r="I22" i="14" s="1"/>
  <c r="J22" i="14" s="1"/>
  <c r="H11" i="9"/>
  <c r="C27" i="23" l="1"/>
  <c r="F27" i="23"/>
  <c r="D23" i="14"/>
  <c r="G23" i="14"/>
  <c r="I11" i="9"/>
  <c r="J11" i="9" s="1"/>
  <c r="G12" i="9"/>
  <c r="F11" i="9"/>
  <c r="G27" i="23" l="1"/>
  <c r="H27" i="23"/>
  <c r="K27" i="23" s="1"/>
  <c r="M27" i="23"/>
  <c r="D27" i="23"/>
  <c r="E28" i="23" s="1"/>
  <c r="H23" i="14"/>
  <c r="I23" i="14" s="1"/>
  <c r="J23" i="14" s="1"/>
  <c r="E23" i="14"/>
  <c r="F24" i="14" s="1"/>
  <c r="H12" i="9"/>
  <c r="C28" i="23" l="1"/>
  <c r="F28" i="23"/>
  <c r="D28" i="23"/>
  <c r="I27" i="23"/>
  <c r="L27" i="23" s="1"/>
  <c r="J27" i="23"/>
  <c r="D24" i="14"/>
  <c r="G24" i="14"/>
  <c r="I12" i="9"/>
  <c r="J12" i="9" s="1"/>
  <c r="G13" i="9"/>
  <c r="F12" i="9"/>
  <c r="H28" i="23" l="1"/>
  <c r="K28" i="23" s="1"/>
  <c r="G28" i="23"/>
  <c r="M28" i="23"/>
  <c r="E29" i="23"/>
  <c r="H24" i="14"/>
  <c r="I24" i="14" s="1"/>
  <c r="J24" i="14" s="1"/>
  <c r="E24" i="14"/>
  <c r="F25" i="14" s="1"/>
  <c r="H13" i="9"/>
  <c r="I28" i="23" l="1"/>
  <c r="L28" i="23" s="1"/>
  <c r="J28" i="23"/>
  <c r="F29" i="23"/>
  <c r="C29" i="23"/>
  <c r="G25" i="14"/>
  <c r="D25" i="14"/>
  <c r="I13" i="9"/>
  <c r="J13" i="9" s="1"/>
  <c r="G14" i="9"/>
  <c r="F13" i="9"/>
  <c r="D29" i="23" l="1"/>
  <c r="G29" i="23"/>
  <c r="H29" i="23"/>
  <c r="K29" i="23" s="1"/>
  <c r="M29" i="23"/>
  <c r="E25" i="14"/>
  <c r="F26" i="14" s="1"/>
  <c r="H25" i="14"/>
  <c r="I25" i="14" s="1"/>
  <c r="J25" i="14" s="1"/>
  <c r="H14" i="9"/>
  <c r="I14" i="9" s="1"/>
  <c r="I29" i="23" l="1"/>
  <c r="L29" i="23" s="1"/>
  <c r="J29" i="23"/>
  <c r="E30" i="23"/>
  <c r="G26" i="14"/>
  <c r="D26" i="14"/>
  <c r="F14" i="9"/>
  <c r="J14" i="9"/>
  <c r="C30" i="23" l="1"/>
  <c r="F30" i="23"/>
  <c r="E26" i="14"/>
  <c r="F27" i="14" s="1"/>
  <c r="H26" i="14"/>
  <c r="I26" i="14" s="1"/>
  <c r="J26" i="14" s="1"/>
  <c r="J15" i="9"/>
  <c r="G30" i="23" l="1"/>
  <c r="H30" i="23"/>
  <c r="K30" i="23" s="1"/>
  <c r="M30" i="23"/>
  <c r="D30" i="23"/>
  <c r="D27" i="14"/>
  <c r="G27" i="14"/>
  <c r="K2" i="9"/>
  <c r="K6" i="9"/>
  <c r="K10" i="9"/>
  <c r="L4" i="9"/>
  <c r="L8" i="9"/>
  <c r="L12" i="9"/>
  <c r="K3" i="9"/>
  <c r="K7" i="9"/>
  <c r="K11" i="9"/>
  <c r="L5" i="9"/>
  <c r="L9" i="9"/>
  <c r="K12" i="9"/>
  <c r="K4" i="9"/>
  <c r="K8" i="9"/>
  <c r="L6" i="9"/>
  <c r="L10" i="9"/>
  <c r="K13" i="9"/>
  <c r="K5" i="9"/>
  <c r="K9" i="9"/>
  <c r="L3" i="9"/>
  <c r="L7" i="9"/>
  <c r="L11" i="9"/>
  <c r="L2" i="9"/>
  <c r="L13" i="9"/>
  <c r="L14" i="9"/>
  <c r="K14" i="9"/>
  <c r="E31" i="23" l="1"/>
  <c r="I30" i="23"/>
  <c r="L30" i="23" s="1"/>
  <c r="J30" i="23"/>
  <c r="H27" i="14"/>
  <c r="I27" i="14" s="1"/>
  <c r="J27" i="14" s="1"/>
  <c r="E27" i="14"/>
  <c r="F28" i="14" s="1"/>
  <c r="K15" i="9"/>
  <c r="C31" i="23" l="1"/>
  <c r="D31" i="23" s="1"/>
  <c r="F31" i="23"/>
  <c r="D28" i="14"/>
  <c r="G28" i="14"/>
  <c r="G31" i="23" l="1"/>
  <c r="H31" i="23"/>
  <c r="K31" i="23" s="1"/>
  <c r="O8" i="23" s="1"/>
  <c r="M31" i="23"/>
  <c r="F32" i="23"/>
  <c r="H28" i="14"/>
  <c r="I28" i="14" s="1"/>
  <c r="J28" i="14" s="1"/>
  <c r="E28" i="14"/>
  <c r="F29" i="14" s="1"/>
  <c r="G32" i="23" l="1"/>
  <c r="H32" i="23"/>
  <c r="I31" i="23"/>
  <c r="L31" i="23" s="1"/>
  <c r="J31" i="23"/>
  <c r="G29" i="14"/>
  <c r="D29" i="14"/>
  <c r="E29" i="14" l="1"/>
  <c r="F30" i="14" s="1"/>
  <c r="H29" i="14"/>
  <c r="I29" i="14" s="1"/>
  <c r="J29" i="14" s="1"/>
  <c r="G30" i="14" l="1"/>
  <c r="D30" i="14"/>
  <c r="E30" i="14" l="1"/>
  <c r="F31" i="14" s="1"/>
  <c r="H30" i="14"/>
  <c r="I30" i="14" s="1"/>
  <c r="J30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H33" i="14" l="1"/>
  <c r="I33" i="14" s="1"/>
  <c r="J33" i="14" s="1"/>
  <c r="E33" i="14"/>
  <c r="F34" i="14" s="1"/>
  <c r="G34" i="14" l="1"/>
  <c r="D34" i="14"/>
  <c r="E34" i="14" l="1"/>
  <c r="F35" i="14" s="1"/>
  <c r="H34" i="14"/>
  <c r="I34" i="14" s="1"/>
  <c r="J34" i="14" s="1"/>
  <c r="G35" i="14" l="1"/>
  <c r="D35" i="14"/>
  <c r="E35" i="14" l="1"/>
  <c r="F36" i="14" s="1"/>
  <c r="H35" i="14"/>
  <c r="I35" i="14" s="1"/>
  <c r="J35" i="14" s="1"/>
  <c r="G36" i="14" l="1"/>
  <c r="D36" i="14"/>
  <c r="E36" i="14" l="1"/>
  <c r="F37" i="14" s="1"/>
  <c r="H36" i="14"/>
  <c r="I36" i="14" s="1"/>
  <c r="J36" i="14" s="1"/>
  <c r="D37" i="14" l="1"/>
  <c r="G37" i="14"/>
  <c r="H37" i="14" l="1"/>
  <c r="I37" i="14" s="1"/>
  <c r="J37" i="14" s="1"/>
  <c r="E37" i="14"/>
  <c r="F38" i="14" s="1"/>
  <c r="G38" i="14" l="1"/>
  <c r="D38" i="14"/>
  <c r="E38" i="14" l="1"/>
  <c r="F39" i="14" s="1"/>
  <c r="H38" i="14"/>
  <c r="I38" i="14" s="1"/>
  <c r="J38" i="14" s="1"/>
  <c r="G39" i="14" l="1"/>
  <c r="D39" i="14"/>
  <c r="E39" i="14" l="1"/>
  <c r="F40" i="14" s="1"/>
  <c r="H39" i="14"/>
  <c r="I39" i="14" s="1"/>
  <c r="J39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E42" i="14" l="1"/>
  <c r="F43" i="14" s="1"/>
  <c r="H42" i="14"/>
  <c r="I42" i="14" s="1"/>
  <c r="J42" i="14" s="1"/>
  <c r="G43" i="14" l="1"/>
  <c r="D43" i="14"/>
  <c r="E43" i="14" l="1"/>
  <c r="F44" i="14" s="1"/>
  <c r="H43" i="14"/>
  <c r="I43" i="14" s="1"/>
  <c r="J43" i="14" s="1"/>
  <c r="D44" i="14" l="1"/>
  <c r="G44" i="14"/>
  <c r="C3" i="15"/>
  <c r="C4" i="15" s="1"/>
  <c r="C5" i="15" s="1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G3" i="15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D11" i="15" l="1"/>
  <c r="E11" i="15" s="1"/>
  <c r="D13" i="15"/>
  <c r="E13" i="15" s="1"/>
  <c r="D10" i="15"/>
  <c r="E10" i="15" s="1"/>
  <c r="D9" i="15"/>
  <c r="E9" i="15" s="1"/>
  <c r="I3" i="15"/>
  <c r="D8" i="15"/>
  <c r="E8" i="15" s="1"/>
  <c r="D16" i="15"/>
  <c r="E16" i="15" s="1"/>
  <c r="D15" i="15"/>
  <c r="E15" i="15" s="1"/>
  <c r="D12" i="15"/>
  <c r="E12" i="15" s="1"/>
  <c r="D20" i="15"/>
  <c r="E20" i="15" s="1"/>
  <c r="D17" i="15"/>
  <c r="E17" i="15" s="1"/>
  <c r="D19" i="15"/>
  <c r="E19" i="15" s="1"/>
  <c r="D4" i="15"/>
  <c r="E4" i="15" s="1"/>
  <c r="D14" i="15"/>
  <c r="E14" i="15" s="1"/>
  <c r="D6" i="15"/>
  <c r="E6" i="15" s="1"/>
  <c r="H44" i="14"/>
  <c r="I44" i="14" s="1"/>
  <c r="J44" i="14" s="1"/>
  <c r="D5" i="15"/>
  <c r="E5" i="15" s="1"/>
  <c r="D22" i="15"/>
  <c r="E22" i="15" s="1"/>
  <c r="D7" i="15"/>
  <c r="E7" i="15" s="1"/>
  <c r="D18" i="15"/>
  <c r="E18" i="15" s="1"/>
  <c r="D21" i="15"/>
  <c r="E21" i="15" s="1"/>
  <c r="E44" i="14"/>
  <c r="F45" i="14" s="1"/>
  <c r="D45" i="14" l="1"/>
  <c r="G45" i="14"/>
  <c r="F9" i="15"/>
  <c r="F13" i="15"/>
  <c r="F19" i="15"/>
  <c r="F23" i="15"/>
  <c r="O4" i="15" s="1"/>
  <c r="F4" i="15"/>
  <c r="F6" i="15"/>
  <c r="F10" i="15"/>
  <c r="F14" i="15"/>
  <c r="F17" i="15"/>
  <c r="F20" i="15"/>
  <c r="F5" i="15"/>
  <c r="F8" i="15"/>
  <c r="F12" i="15"/>
  <c r="F16" i="15"/>
  <c r="F18" i="15"/>
  <c r="F22" i="15"/>
  <c r="F7" i="15"/>
  <c r="F11" i="15"/>
  <c r="F15" i="15"/>
  <c r="F21" i="15"/>
  <c r="G4" i="15"/>
  <c r="I4" i="15" s="1"/>
  <c r="J3" i="15"/>
  <c r="K3" i="15" l="1"/>
  <c r="G5" i="15"/>
  <c r="I5" i="15" s="1"/>
  <c r="J4" i="15"/>
  <c r="K4" i="15" s="1"/>
  <c r="H45" i="14"/>
  <c r="I45" i="14" s="1"/>
  <c r="J45" i="14" s="1"/>
  <c r="E45" i="14"/>
  <c r="F46" i="14" s="1"/>
  <c r="G46" i="14" l="1"/>
  <c r="D46" i="14"/>
  <c r="G6" i="15"/>
  <c r="I6" i="15" s="1"/>
  <c r="J5" i="15"/>
  <c r="K5" i="15" s="1"/>
  <c r="L5" i="15" s="1"/>
  <c r="M5" i="15" s="1"/>
  <c r="L4" i="15"/>
  <c r="M4" i="15" s="1"/>
  <c r="L3" i="15"/>
  <c r="M3" i="15" s="1"/>
  <c r="E46" i="14" l="1"/>
  <c r="F47" i="14" s="1"/>
  <c r="G7" i="15"/>
  <c r="I7" i="15" s="1"/>
  <c r="J6" i="15"/>
  <c r="H46" i="14"/>
  <c r="I46" i="14" s="1"/>
  <c r="J46" i="14" s="1"/>
  <c r="G47" i="14" l="1"/>
  <c r="D47" i="14"/>
  <c r="G8" i="15"/>
  <c r="I8" i="15" s="1"/>
  <c r="J7" i="15"/>
  <c r="K6" i="15"/>
  <c r="L6" i="15" l="1"/>
  <c r="M6" i="15" s="1"/>
  <c r="G9" i="15"/>
  <c r="I9" i="15" s="1"/>
  <c r="J8" i="15"/>
  <c r="E47" i="14"/>
  <c r="F48" i="14" s="1"/>
  <c r="H47" i="14"/>
  <c r="I47" i="14" s="1"/>
  <c r="J47" i="14" s="1"/>
  <c r="K7" i="15"/>
  <c r="L7" i="15" s="1"/>
  <c r="M7" i="15" s="1"/>
  <c r="D48" i="14" l="1"/>
  <c r="G48" i="14"/>
  <c r="G10" i="15"/>
  <c r="I10" i="15" s="1"/>
  <c r="J9" i="15"/>
  <c r="K8" i="15"/>
  <c r="H48" i="14" l="1"/>
  <c r="I48" i="14" s="1"/>
  <c r="J48" i="14" s="1"/>
  <c r="K9" i="15"/>
  <c r="L8" i="15"/>
  <c r="M8" i="15" s="1"/>
  <c r="E48" i="14"/>
  <c r="F49" i="14" s="1"/>
  <c r="G11" i="15"/>
  <c r="I11" i="15" s="1"/>
  <c r="J10" i="15"/>
  <c r="D49" i="14" l="1"/>
  <c r="G49" i="14"/>
  <c r="L9" i="15"/>
  <c r="M9" i="15" s="1"/>
  <c r="K10" i="15"/>
  <c r="G12" i="15"/>
  <c r="I12" i="15" s="1"/>
  <c r="J11" i="15"/>
  <c r="K11" i="15" l="1"/>
  <c r="L10" i="15"/>
  <c r="M10" i="15" s="1"/>
  <c r="H49" i="14"/>
  <c r="I49" i="14" s="1"/>
  <c r="J49" i="14" s="1"/>
  <c r="G13" i="15"/>
  <c r="I13" i="15" s="1"/>
  <c r="J12" i="15"/>
  <c r="E49" i="14"/>
  <c r="F50" i="14" s="1"/>
  <c r="G50" i="14" l="1"/>
  <c r="D50" i="14"/>
  <c r="G14" i="15"/>
  <c r="I14" i="15" s="1"/>
  <c r="J13" i="15"/>
  <c r="K12" i="15"/>
  <c r="L12" i="15" s="1"/>
  <c r="M12" i="15" s="1"/>
  <c r="L11" i="15"/>
  <c r="M11" i="15" s="1"/>
  <c r="G15" i="15" l="1"/>
  <c r="I15" i="15" s="1"/>
  <c r="J14" i="15"/>
  <c r="K13" i="15"/>
  <c r="L13" i="15" s="1"/>
  <c r="M13" i="15" s="1"/>
  <c r="E50" i="14"/>
  <c r="F51" i="14" s="1"/>
  <c r="H50" i="14"/>
  <c r="I50" i="14" s="1"/>
  <c r="J50" i="14" s="1"/>
  <c r="D51" i="14" l="1"/>
  <c r="G51" i="14"/>
  <c r="K14" i="15"/>
  <c r="L14" i="15" s="1"/>
  <c r="M14" i="15" s="1"/>
  <c r="G16" i="15"/>
  <c r="I16" i="15" s="1"/>
  <c r="J15" i="15"/>
  <c r="K15" i="15" l="1"/>
  <c r="L15" i="15" s="1"/>
  <c r="M15" i="15" s="1"/>
  <c r="H51" i="14"/>
  <c r="I51" i="14" s="1"/>
  <c r="J51" i="14" s="1"/>
  <c r="G17" i="15"/>
  <c r="I17" i="15" s="1"/>
  <c r="J16" i="15"/>
  <c r="E51" i="14"/>
  <c r="F52" i="14" s="1"/>
  <c r="K16" i="15" l="1"/>
  <c r="L16" i="15" s="1"/>
  <c r="M16" i="15" s="1"/>
  <c r="D52" i="14"/>
  <c r="G52" i="14"/>
  <c r="G18" i="15"/>
  <c r="I18" i="15" s="1"/>
  <c r="J17" i="15"/>
  <c r="H52" i="14" l="1"/>
  <c r="I52" i="14" s="1"/>
  <c r="J52" i="14" s="1"/>
  <c r="E52" i="14"/>
  <c r="F53" i="14" s="1"/>
  <c r="K17" i="15"/>
  <c r="L17" i="15" s="1"/>
  <c r="M17" i="15" s="1"/>
  <c r="G19" i="15"/>
  <c r="I19" i="15" s="1"/>
  <c r="J18" i="15"/>
  <c r="K18" i="15" l="1"/>
  <c r="L18" i="15" s="1"/>
  <c r="M18" i="15" s="1"/>
  <c r="G53" i="14"/>
  <c r="D53" i="14"/>
  <c r="G20" i="15"/>
  <c r="I20" i="15" s="1"/>
  <c r="J19" i="15"/>
  <c r="H53" i="14" l="1"/>
  <c r="I53" i="14" s="1"/>
  <c r="J53" i="14" s="1"/>
  <c r="E53" i="14"/>
  <c r="F54" i="14" s="1"/>
  <c r="K19" i="15"/>
  <c r="L19" i="15" s="1"/>
  <c r="M19" i="15" s="1"/>
  <c r="G21" i="15"/>
  <c r="I21" i="15" s="1"/>
  <c r="J20" i="15"/>
  <c r="D54" i="14" l="1"/>
  <c r="G54" i="14"/>
  <c r="G22" i="15"/>
  <c r="I22" i="15" s="1"/>
  <c r="J21" i="15"/>
  <c r="K20" i="15"/>
  <c r="L20" i="15" s="1"/>
  <c r="M20" i="15" s="1"/>
  <c r="K21" i="15" l="1"/>
  <c r="L21" i="15" s="1"/>
  <c r="M21" i="15" s="1"/>
  <c r="G23" i="15"/>
  <c r="I23" i="15" s="1"/>
  <c r="J23" i="15" s="1"/>
  <c r="J22" i="15"/>
  <c r="H54" i="14"/>
  <c r="I54" i="14" s="1"/>
  <c r="J54" i="14" s="1"/>
  <c r="E54" i="14"/>
  <c r="F55" i="14" s="1"/>
  <c r="G55" i="14" l="1"/>
  <c r="D55" i="14"/>
  <c r="K22" i="15"/>
  <c r="L22" i="15" s="1"/>
  <c r="M22" i="15" s="1"/>
  <c r="K23" i="15"/>
  <c r="L23" i="15" l="1"/>
  <c r="N17" i="15" s="1"/>
  <c r="E55" i="14"/>
  <c r="F56" i="14" s="1"/>
  <c r="H55" i="14"/>
  <c r="I55" i="14" s="1"/>
  <c r="J55" i="14" s="1"/>
  <c r="M23" i="15" l="1"/>
  <c r="G56" i="14"/>
  <c r="D56" i="14"/>
  <c r="E56" i="14" l="1"/>
  <c r="F57" i="14" s="1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G59" i="14" l="1"/>
  <c r="D59" i="14"/>
  <c r="E59" i="14" l="1"/>
  <c r="F60" i="14" s="1"/>
  <c r="H59" i="14"/>
  <c r="I59" i="14" s="1"/>
  <c r="J59" i="14" s="1"/>
  <c r="G60" i="14" l="1"/>
  <c r="D60" i="14"/>
  <c r="E60" i="14" l="1"/>
  <c r="F61" i="14" s="1"/>
  <c r="H60" i="14"/>
  <c r="I60" i="14" s="1"/>
  <c r="J60" i="14" s="1"/>
  <c r="D61" i="14" l="1"/>
  <c r="G61" i="14"/>
  <c r="H61" i="14" l="1"/>
  <c r="I61" i="14" s="1"/>
  <c r="J61" i="14" s="1"/>
  <c r="E61" i="14"/>
  <c r="F62" i="14" s="1"/>
  <c r="D62" i="14" l="1"/>
  <c r="G62" i="14"/>
  <c r="H62" i="14" l="1"/>
  <c r="I62" i="14" s="1"/>
  <c r="J62" i="14" s="1"/>
  <c r="E62" i="14"/>
  <c r="F63" i="14" s="1"/>
  <c r="G63" i="14" l="1"/>
  <c r="D63" i="14"/>
  <c r="E63" i="14" l="1"/>
  <c r="F64" i="14" s="1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H66" i="14" l="1"/>
  <c r="I66" i="14" s="1"/>
  <c r="J66" i="14" s="1"/>
  <c r="E66" i="14"/>
  <c r="F67" i="14" s="1"/>
  <c r="G67" i="14" l="1"/>
  <c r="D67" i="14"/>
  <c r="E67" i="14" l="1"/>
  <c r="F68" i="14" s="1"/>
  <c r="H67" i="14"/>
  <c r="I67" i="14" s="1"/>
  <c r="J67" i="14" s="1"/>
  <c r="G68" i="14" l="1"/>
  <c r="D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H70" i="14" l="1"/>
  <c r="I70" i="14" s="1"/>
  <c r="J70" i="14" s="1"/>
  <c r="E70" i="14"/>
  <c r="F71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D73" i="14" l="1"/>
  <c r="G73" i="14"/>
  <c r="H73" i="14" l="1"/>
  <c r="I73" i="14" s="1"/>
  <c r="J73" i="14" s="1"/>
  <c r="E73" i="14"/>
  <c r="F74" i="14" s="1"/>
  <c r="G74" i="14" l="1"/>
  <c r="D74" i="14"/>
  <c r="E74" i="14" l="1"/>
  <c r="F75" i="14" s="1"/>
  <c r="H74" i="14"/>
  <c r="I74" i="14" s="1"/>
  <c r="J74" i="14" s="1"/>
  <c r="G75" i="14" l="1"/>
  <c r="D75" i="14"/>
  <c r="E75" i="14" l="1"/>
  <c r="F76" i="14" s="1"/>
  <c r="H75" i="14"/>
  <c r="I75" i="14" s="1"/>
  <c r="J75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H77" i="14"/>
  <c r="I77" i="14" s="1"/>
  <c r="G78" i="14"/>
  <c r="K77" i="14" s="1"/>
  <c r="O1" i="14" l="1"/>
  <c r="M5" i="14"/>
  <c r="J77" i="14"/>
  <c r="I78" i="14"/>
  <c r="H78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L4" i="14" l="1"/>
  <c r="L9" i="14"/>
  <c r="L7" i="14"/>
  <c r="L8" i="14"/>
  <c r="L11" i="14"/>
  <c r="L15" i="14"/>
  <c r="L3" i="14"/>
  <c r="L10" i="14"/>
  <c r="L14" i="14"/>
  <c r="L19" i="14"/>
  <c r="L23" i="14"/>
  <c r="L27" i="14"/>
  <c r="L31" i="14"/>
  <c r="L5" i="14"/>
  <c r="L13" i="14"/>
  <c r="L18" i="14"/>
  <c r="L22" i="14"/>
  <c r="L26" i="14"/>
  <c r="L30" i="14"/>
  <c r="L17" i="14"/>
  <c r="L33" i="14"/>
  <c r="L37" i="14"/>
  <c r="L6" i="14"/>
  <c r="L12" i="14"/>
  <c r="L20" i="14"/>
  <c r="L24" i="14"/>
  <c r="L28" i="14"/>
  <c r="L36" i="14"/>
  <c r="L40" i="14"/>
  <c r="L44" i="14"/>
  <c r="L48" i="14"/>
  <c r="L32" i="14"/>
  <c r="L35" i="14"/>
  <c r="L39" i="14"/>
  <c r="L43" i="14"/>
  <c r="L47" i="14"/>
  <c r="L51" i="14"/>
  <c r="L21" i="14"/>
  <c r="L53" i="14"/>
  <c r="L57" i="14"/>
  <c r="L61" i="14"/>
  <c r="L65" i="14"/>
  <c r="L69" i="14"/>
  <c r="L73" i="14"/>
  <c r="L16" i="14"/>
  <c r="L25" i="14"/>
  <c r="L41" i="14"/>
  <c r="L45" i="14"/>
  <c r="L56" i="14"/>
  <c r="L60" i="14"/>
  <c r="L64" i="14"/>
  <c r="L68" i="14"/>
  <c r="L34" i="14"/>
  <c r="L38" i="14"/>
  <c r="L42" i="14"/>
  <c r="L46" i="14"/>
  <c r="L52" i="14"/>
  <c r="L54" i="14"/>
  <c r="L58" i="14"/>
  <c r="L29" i="14"/>
  <c r="L49" i="14"/>
  <c r="L55" i="14"/>
  <c r="L74" i="14"/>
  <c r="L76" i="14"/>
  <c r="L62" i="14"/>
  <c r="L66" i="14"/>
  <c r="L70" i="14"/>
  <c r="L75" i="14"/>
  <c r="L63" i="14"/>
  <c r="L59" i="14"/>
  <c r="L50" i="14"/>
  <c r="L67" i="14"/>
  <c r="L71" i="14"/>
  <c r="L72" i="14"/>
  <c r="L77" i="14"/>
  <c r="C24" i="17" l="1"/>
  <c r="C47" i="17"/>
  <c r="C20" i="17"/>
  <c r="C11" i="17"/>
  <c r="C43" i="17"/>
  <c r="C42" i="17"/>
  <c r="C50" i="17"/>
  <c r="C66" i="17"/>
  <c r="C55" i="17"/>
  <c r="C73" i="17"/>
  <c r="C49" i="17"/>
  <c r="C23" i="17"/>
  <c r="C45" i="17"/>
  <c r="C28" i="17"/>
  <c r="C19" i="17"/>
  <c r="C8" i="17"/>
  <c r="C9" i="17"/>
  <c r="C40" i="17"/>
  <c r="C31" i="17"/>
  <c r="C13" i="17"/>
  <c r="C5" i="17"/>
  <c r="C36" i="17"/>
  <c r="C53" i="17"/>
  <c r="C27" i="17"/>
  <c r="C22" i="17"/>
  <c r="C10" i="17"/>
  <c r="C25" i="17"/>
  <c r="C33" i="17"/>
  <c r="C54" i="17"/>
  <c r="C62" i="17"/>
  <c r="C70" i="17"/>
  <c r="C65" i="17"/>
  <c r="C57" i="17"/>
  <c r="C61" i="17"/>
  <c r="C17" i="17"/>
  <c r="C16" i="17"/>
  <c r="C48" i="17"/>
  <c r="C39" i="17"/>
  <c r="C29" i="17"/>
  <c r="C12" i="17"/>
  <c r="C44" i="17"/>
  <c r="C6" i="17"/>
  <c r="C35" i="17"/>
  <c r="C18" i="17"/>
  <c r="C38" i="17"/>
  <c r="C41" i="17"/>
  <c r="C26" i="17"/>
  <c r="C56" i="17"/>
  <c r="C64" i="17"/>
  <c r="C72" i="17"/>
  <c r="C59" i="17"/>
  <c r="C67" i="17"/>
  <c r="C69" i="17"/>
  <c r="C7" i="17"/>
  <c r="C15" i="17"/>
  <c r="C37" i="17"/>
  <c r="C52" i="17"/>
  <c r="C46" i="17"/>
  <c r="C34" i="17"/>
  <c r="C58" i="17"/>
  <c r="C74" i="17"/>
  <c r="C71" i="17"/>
  <c r="C32" i="17"/>
  <c r="C21" i="17"/>
  <c r="C51" i="17"/>
  <c r="C14" i="17"/>
  <c r="C30" i="17"/>
  <c r="C60" i="17"/>
  <c r="C68" i="17"/>
  <c r="C76" i="17"/>
  <c r="C63" i="17"/>
  <c r="C75" i="17"/>
  <c r="D64" i="17" l="1"/>
  <c r="D72" i="17"/>
  <c r="D68" i="17"/>
  <c r="D76" i="17"/>
  <c r="D60" i="17"/>
  <c r="D49" i="17"/>
  <c r="D65" i="17"/>
  <c r="D26" i="17"/>
  <c r="D66" i="17"/>
  <c r="D9" i="17"/>
  <c r="D25" i="17"/>
  <c r="D41" i="17"/>
  <c r="D12" i="17"/>
  <c r="D28" i="17"/>
  <c r="D44" i="17"/>
  <c r="D23" i="17"/>
  <c r="D39" i="17"/>
  <c r="D55" i="17"/>
  <c r="D75" i="17"/>
  <c r="D59" i="17"/>
  <c r="D46" i="17"/>
  <c r="D14" i="17"/>
  <c r="D4" i="17"/>
  <c r="E4" i="17" s="1"/>
  <c r="D73" i="17"/>
  <c r="D8" i="17"/>
  <c r="D19" i="17"/>
  <c r="D70" i="17"/>
  <c r="D22" i="17"/>
  <c r="D61" i="17"/>
  <c r="D48" i="17"/>
  <c r="D18" i="17"/>
  <c r="D62" i="17"/>
  <c r="D13" i="17"/>
  <c r="D29" i="17"/>
  <c r="D45" i="17"/>
  <c r="D16" i="17"/>
  <c r="D32" i="17"/>
  <c r="D11" i="17"/>
  <c r="D27" i="17"/>
  <c r="D43" i="17"/>
  <c r="D71" i="17"/>
  <c r="D38" i="17"/>
  <c r="D52" i="17"/>
  <c r="D57" i="17"/>
  <c r="D34" i="17"/>
  <c r="D53" i="17"/>
  <c r="D37" i="17"/>
  <c r="D40" i="17"/>
  <c r="D51" i="17"/>
  <c r="D50" i="17"/>
  <c r="D56" i="17"/>
  <c r="D42" i="17"/>
  <c r="D10" i="17"/>
  <c r="D58" i="17"/>
  <c r="D5" i="17"/>
  <c r="D17" i="17"/>
  <c r="D33" i="17"/>
  <c r="D6" i="17"/>
  <c r="D20" i="17"/>
  <c r="D36" i="17"/>
  <c r="D15" i="17"/>
  <c r="D31" i="17"/>
  <c r="D47" i="17"/>
  <c r="D74" i="17"/>
  <c r="D67" i="17"/>
  <c r="D30" i="17"/>
  <c r="D54" i="17"/>
  <c r="D69" i="17"/>
  <c r="D21" i="17"/>
  <c r="D24" i="17"/>
  <c r="D35" i="17"/>
  <c r="D63" i="17"/>
  <c r="D7" i="17"/>
  <c r="E7" i="17" l="1"/>
  <c r="E33" i="17"/>
  <c r="E69" i="17"/>
  <c r="E17" i="17"/>
  <c r="E57" i="17"/>
  <c r="E43" i="17"/>
  <c r="E16" i="17"/>
  <c r="E62" i="17"/>
  <c r="E22" i="17"/>
  <c r="E73" i="17"/>
  <c r="E59" i="17"/>
  <c r="E23" i="17"/>
  <c r="E41" i="17"/>
  <c r="E26" i="17"/>
  <c r="E76" i="17"/>
  <c r="E15" i="17"/>
  <c r="E63" i="17"/>
  <c r="E36" i="17"/>
  <c r="E40" i="17"/>
  <c r="E35" i="17"/>
  <c r="E54" i="17"/>
  <c r="E47" i="17"/>
  <c r="E20" i="17"/>
  <c r="E5" i="17"/>
  <c r="E56" i="17"/>
  <c r="E37" i="17"/>
  <c r="E52" i="17"/>
  <c r="E27" i="17"/>
  <c r="E45" i="17"/>
  <c r="E18" i="17"/>
  <c r="E70" i="17"/>
  <c r="E75" i="17"/>
  <c r="E44" i="17"/>
  <c r="E25" i="17"/>
  <c r="E65" i="17"/>
  <c r="E68" i="17"/>
  <c r="E67" i="17"/>
  <c r="E51" i="17"/>
  <c r="E74" i="17"/>
  <c r="E42" i="17"/>
  <c r="E24" i="17"/>
  <c r="E30" i="17"/>
  <c r="E31" i="17"/>
  <c r="E6" i="17"/>
  <c r="E58" i="17"/>
  <c r="E50" i="17"/>
  <c r="E53" i="17"/>
  <c r="E38" i="17"/>
  <c r="E11" i="17"/>
  <c r="E29" i="17"/>
  <c r="E48" i="17"/>
  <c r="E19" i="17"/>
  <c r="E14" i="17"/>
  <c r="E55" i="17"/>
  <c r="E28" i="17"/>
  <c r="E9" i="17"/>
  <c r="E49" i="17"/>
  <c r="E72" i="17"/>
  <c r="E21" i="17"/>
  <c r="E10" i="17"/>
  <c r="E34" i="17"/>
  <c r="E71" i="17"/>
  <c r="E32" i="17"/>
  <c r="E13" i="17"/>
  <c r="E61" i="17"/>
  <c r="E8" i="17"/>
  <c r="E46" i="17"/>
  <c r="E39" i="17"/>
  <c r="E12" i="17"/>
  <c r="E66" i="17"/>
  <c r="E60" i="17"/>
  <c r="E64" i="17"/>
  <c r="I5" i="17" l="1"/>
  <c r="I3" i="17"/>
  <c r="I4" i="17"/>
  <c r="I1" i="17"/>
  <c r="I2" i="17"/>
  <c r="I6" i="17" l="1"/>
  <c r="J3" i="17" s="1"/>
  <c r="J4" i="17" l="1"/>
  <c r="G40" i="17" s="1"/>
  <c r="J1" i="17"/>
  <c r="G4" i="17"/>
  <c r="G69" i="17"/>
  <c r="G59" i="17"/>
  <c r="G54" i="17"/>
  <c r="G44" i="17"/>
  <c r="G74" i="17"/>
  <c r="G24" i="17"/>
  <c r="G29" i="17"/>
  <c r="G19" i="17"/>
  <c r="G9" i="17"/>
  <c r="G39" i="17"/>
  <c r="G64" i="17"/>
  <c r="G14" i="17"/>
  <c r="G49" i="17"/>
  <c r="G34" i="17"/>
  <c r="J5" i="17"/>
  <c r="J2" i="17"/>
  <c r="G10" i="17" l="1"/>
  <c r="G30" i="17"/>
  <c r="G25" i="17"/>
  <c r="G15" i="17"/>
  <c r="G5" i="17"/>
  <c r="G55" i="17"/>
  <c r="G75" i="17"/>
  <c r="G35" i="17"/>
  <c r="G50" i="17"/>
  <c r="G65" i="17"/>
  <c r="G60" i="17"/>
  <c r="G70" i="17"/>
  <c r="G45" i="17"/>
  <c r="G20" i="17"/>
  <c r="G16" i="17"/>
  <c r="G41" i="17"/>
  <c r="G76" i="17"/>
  <c r="G56" i="17"/>
  <c r="G21" i="17"/>
  <c r="G46" i="17"/>
  <c r="G36" i="17"/>
  <c r="G31" i="17"/>
  <c r="G11" i="17"/>
  <c r="G26" i="17"/>
  <c r="G51" i="17"/>
  <c r="G6" i="17"/>
  <c r="G71" i="17"/>
  <c r="G66" i="17"/>
  <c r="G61" i="17"/>
  <c r="J6" i="17"/>
  <c r="G7" i="17"/>
  <c r="G57" i="17"/>
  <c r="G22" i="17"/>
  <c r="G52" i="17"/>
  <c r="G67" i="17"/>
  <c r="G32" i="17"/>
  <c r="G62" i="17"/>
  <c r="G47" i="17"/>
  <c r="G27" i="17"/>
  <c r="G42" i="17"/>
  <c r="G72" i="17"/>
  <c r="G12" i="17"/>
  <c r="G17" i="17"/>
  <c r="G37" i="17"/>
  <c r="G63" i="17"/>
  <c r="G48" i="17"/>
  <c r="G33" i="17"/>
  <c r="G23" i="17"/>
  <c r="G58" i="17"/>
  <c r="G53" i="17"/>
  <c r="G28" i="17"/>
  <c r="G43" i="17"/>
  <c r="G68" i="17"/>
  <c r="G38" i="17"/>
  <c r="G13" i="17"/>
  <c r="G8" i="17"/>
  <c r="G73" i="17"/>
  <c r="G18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<sst xmlns="http://schemas.openxmlformats.org/spreadsheetml/2006/main" count="226" uniqueCount="162">
  <si>
    <t>At</t>
  </si>
  <si>
    <t>MAD</t>
  </si>
  <si>
    <t>|E|</t>
  </si>
  <si>
    <t>E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</si>
  <si>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</si>
  <si>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</si>
  <si>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</si>
  <si>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</si>
  <si>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</si>
  <si>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</si>
  <si>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</si>
  <si>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</si>
  <si>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</si>
  <si>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</si>
  <si>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</si>
  <si>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</si>
  <si>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</si>
  <si>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</si>
  <si>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</si>
  <si>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</si>
  <si>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</si>
  <si>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</si>
  <si>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</si>
  <si>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</si>
  <si>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</si>
  <si>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</si>
  <si>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</si>
  <si>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Actual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</si>
  <si>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</si>
  <si>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</si>
  <si>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</si>
  <si>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</si>
  <si>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TS</t>
  </si>
  <si>
    <t>Generated using columns L to T</t>
  </si>
  <si>
    <t>Fixed Data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</si>
  <si>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</si>
  <si>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</si>
  <si>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</si>
  <si>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</si>
  <si>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</si>
  <si>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</si>
  <si>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</si>
  <si>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</si>
  <si>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</si>
  <si>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</si>
  <si>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</si>
  <si>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</si>
  <si>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</si>
  <si>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</si>
  <si>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</si>
  <si>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</si>
  <si>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</si>
  <si>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</si>
  <si>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</si>
  <si>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</si>
  <si>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</si>
  <si>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</si>
  <si>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</si>
  <si>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</si>
  <si>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</si>
  <si>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</si>
  <si>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</si>
  <si>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</si>
  <si>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</si>
  <si>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</si>
  <si>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</si>
  <si>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</si>
  <si>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</si>
  <si>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</si>
  <si>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</si>
  <si>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</si>
  <si>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</si>
  <si>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</si>
  <si>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</si>
  <si>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</si>
  <si>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</si>
  <si>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</si>
  <si>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</si>
  <si>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</si>
  <si>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</si>
  <si>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</si>
  <si>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</si>
  <si>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</si>
  <si>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</si>
  <si>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</si>
  <si>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</si>
  <si>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</si>
  <si>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</si>
  <si>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</si>
  <si>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TEUs</t>
  </si>
  <si>
    <t>Year (from 1)</t>
  </si>
  <si>
    <t>Year (Real)</t>
  </si>
  <si>
    <t>E-8 means 1/(10^8) = 1/100000000= 0.00000001</t>
  </si>
  <si>
    <t>E08 means 10^8 = 100000000</t>
  </si>
  <si>
    <t>Regression  Line</t>
  </si>
  <si>
    <t>We want is less that .05</t>
  </si>
  <si>
    <t>y=8552.043+396.762x</t>
  </si>
  <si>
    <t>X Variable 1</t>
  </si>
  <si>
    <t>Intercept</t>
  </si>
  <si>
    <t>Upper 95%</t>
  </si>
  <si>
    <t>Lower 95%</t>
  </si>
  <si>
    <t>P-value</t>
  </si>
  <si>
    <t>t Stat</t>
  </si>
  <si>
    <t>Standard Error</t>
  </si>
  <si>
    <t>Coefficients</t>
  </si>
  <si>
    <t>R = +SQRT(0.77)= 0.88</t>
  </si>
  <si>
    <t>Total</t>
  </si>
  <si>
    <t>R=sign of b1´SQRT(RSQ)</t>
  </si>
  <si>
    <t>Residual</t>
  </si>
  <si>
    <t>RSQ= 0.77</t>
  </si>
  <si>
    <t>Regression</t>
  </si>
  <si>
    <t>Significance F</t>
  </si>
  <si>
    <t>F</t>
  </si>
  <si>
    <t>MS</t>
  </si>
  <si>
    <t>SS</t>
  </si>
  <si>
    <t>df</t>
  </si>
  <si>
    <t>Standard Error =1491.58</t>
  </si>
  <si>
    <t>TheNEXT period is pperiod 24</t>
  </si>
  <si>
    <t>ANOVA</t>
  </si>
  <si>
    <t>The standard Deviation is</t>
  </si>
  <si>
    <t xml:space="preserve">The number of periods is 23, therefore, if we have started  from period 1, </t>
  </si>
  <si>
    <t>F24= 18074.3</t>
  </si>
  <si>
    <t>Standard Error Serves the same purpose as 1,25MAD and SQRT(MSE)</t>
  </si>
  <si>
    <t>Observations</t>
  </si>
  <si>
    <t>Standard Error is the standard deviation of our forecast. The smaller the better</t>
  </si>
  <si>
    <t>With an average of</t>
  </si>
  <si>
    <t>To know if the line had + or - slope we look at X Varaible 1 or Multiple R</t>
  </si>
  <si>
    <t>Adjusted R Square</t>
  </si>
  <si>
    <t>has Normal Dis tribution</t>
  </si>
  <si>
    <t xml:space="preserve">Coefficient of Determination. The closer to 1 the better. </t>
  </si>
  <si>
    <t>R Square</t>
  </si>
  <si>
    <t>The forcast for the next period</t>
  </si>
  <si>
    <t xml:space="preserve">Correlation Coefficient (-1 to +1). The colser to 1 or -1 the better. </t>
  </si>
  <si>
    <t>Multiple R</t>
  </si>
  <si>
    <t>Regression Statistics</t>
  </si>
  <si>
    <t>SUMMARY OUTPUT</t>
  </si>
  <si>
    <t>SUM/(n-2)</t>
  </si>
  <si>
    <t>R-Square</t>
  </si>
  <si>
    <t>SUM/(n-1)</t>
  </si>
  <si>
    <t>SUM/n</t>
  </si>
  <si>
    <t>b1</t>
  </si>
  <si>
    <t>SUM</t>
  </si>
  <si>
    <t>b0</t>
  </si>
  <si>
    <t>(A-Abar)^2</t>
  </si>
  <si>
    <t>(A-F)^2</t>
  </si>
  <si>
    <t>Ft</t>
  </si>
  <si>
    <t>MAPE</t>
  </si>
  <si>
    <t>MSE</t>
  </si>
  <si>
    <t>|E|/A IFE</t>
  </si>
  <si>
    <t>E2</t>
  </si>
  <si>
    <t>E=At-Ft</t>
  </si>
  <si>
    <t>Ft=(1-α)Ft+αAt</t>
  </si>
  <si>
    <t>t</t>
  </si>
  <si>
    <t>Draw the Tracking Signal  graph.</t>
  </si>
  <si>
    <t>Draw the Actual vs. Forcast graph.</t>
  </si>
  <si>
    <t>Compute MAD, MSE, MAPE, and TS for all periods.  Enter the values for period 50.</t>
  </si>
  <si>
    <t>LCL</t>
  </si>
  <si>
    <t>UCL</t>
  </si>
  <si>
    <t>Center</t>
  </si>
  <si>
    <t>Add</t>
  </si>
  <si>
    <t>Use the following data. Cpmute the forecast for the next period using alpha =</t>
  </si>
  <si>
    <t>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</si>
</sst>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rgb="FFC00000"/>
      <name val="Book Antiqua"/>
      <family val="1"/>
    </font>
    <font>
      <sz val="11"/>
      <name val="Book Antiqua"/>
      <family val="1"/>
    </font>
    <font>
      <b/>
      <sz val="11"/>
      <color rgb="FFC00000"/>
      <name val="Book Antiqua"/>
      <family val="1"/>
    </font>
    <font>
      <b/>
      <sz val="11"/>
      <color rgb="FF00B050"/>
      <name val="Book Antiqua"/>
      <family val="1"/>
    </font>
    <font>
      <i/>
      <sz val="11"/>
      <name val="Book Antiqua"/>
      <family val="1"/>
    </font>
    <font>
      <b/>
      <sz val="11"/>
      <color rgb="FF00B050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00B050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197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/>
    <xf numFmtId="0" fontId="4" fillId="0" borderId="0" xfId="2" applyFont="1" applyAlignment="1">
      <alignment horizontal="center"/>
    </xf>
    <xf numFmtId="0" fontId="3" fillId="0" borderId="2" xfId="2" applyBorder="1" applyAlignment="1">
      <alignment horizontal="center"/>
    </xf>
    <xf numFmtId="1" fontId="3" fillId="0" borderId="13" xfId="2" applyNumberFormat="1" applyFill="1" applyBorder="1" applyAlignment="1">
      <alignment horizontal="center"/>
    </xf>
    <xf numFmtId="1" fontId="3" fillId="0" borderId="13" xfId="2" applyNumberFormat="1" applyBorder="1" applyAlignment="1">
      <alignment horizontal="center"/>
    </xf>
    <xf numFmtId="1" fontId="3" fillId="0" borderId="8" xfId="2" applyNumberFormat="1" applyBorder="1" applyAlignment="1">
      <alignment horizontal="center"/>
    </xf>
    <xf numFmtId="2" fontId="3" fillId="0" borderId="13" xfId="2" applyNumberFormat="1" applyBorder="1" applyAlignment="1">
      <alignment horizontal="center"/>
    </xf>
    <xf numFmtId="2" fontId="3" fillId="0" borderId="3" xfId="2" applyNumberFormat="1" applyBorder="1" applyAlignment="1">
      <alignment horizontal="center"/>
    </xf>
    <xf numFmtId="0" fontId="5" fillId="4" borderId="2" xfId="2" applyFont="1" applyFill="1" applyBorder="1"/>
    <xf numFmtId="164" fontId="5" fillId="4" borderId="13" xfId="2" applyNumberFormat="1" applyFont="1" applyFill="1" applyBorder="1"/>
    <xf numFmtId="164" fontId="5" fillId="4" borderId="3" xfId="2" applyNumberFormat="1" applyFont="1" applyFill="1" applyBorder="1"/>
    <xf numFmtId="0" fontId="3" fillId="0" borderId="0" xfId="2" applyAlignment="1">
      <alignment horizontal="left"/>
    </xf>
    <xf numFmtId="1" fontId="3" fillId="0" borderId="2" xfId="2" applyNumberFormat="1" applyBorder="1"/>
    <xf numFmtId="1" fontId="3" fillId="0" borderId="13" xfId="2" applyNumberFormat="1" applyBorder="1"/>
    <xf numFmtId="1" fontId="3" fillId="0" borderId="3" xfId="2" applyNumberFormat="1" applyBorder="1"/>
    <xf numFmtId="0" fontId="3" fillId="0" borderId="4" xfId="2" applyBorder="1" applyAlignment="1">
      <alignment horizontal="center"/>
    </xf>
    <xf numFmtId="1" fontId="3" fillId="0" borderId="0" xfId="2" applyNumberFormat="1" applyBorder="1" applyAlignment="1">
      <alignment horizontal="center"/>
    </xf>
    <xf numFmtId="2" fontId="3" fillId="0" borderId="0" xfId="2" applyNumberFormat="1" applyBorder="1" applyAlignment="1">
      <alignment horizontal="center"/>
    </xf>
    <xf numFmtId="2" fontId="3" fillId="0" borderId="5" xfId="2" applyNumberFormat="1" applyBorder="1" applyAlignment="1">
      <alignment horizontal="center"/>
    </xf>
    <xf numFmtId="0" fontId="5" fillId="4" borderId="4" xfId="2" applyFont="1" applyFill="1" applyBorder="1"/>
    <xf numFmtId="164" fontId="5" fillId="4" borderId="0" xfId="2" applyNumberFormat="1" applyFont="1" applyFill="1" applyBorder="1"/>
    <xf numFmtId="164" fontId="5" fillId="4" borderId="5" xfId="2" applyNumberFormat="1" applyFont="1" applyFill="1" applyBorder="1"/>
    <xf numFmtId="1" fontId="3" fillId="0" borderId="4" xfId="2" applyNumberFormat="1" applyBorder="1"/>
    <xf numFmtId="1" fontId="3" fillId="0" borderId="0" xfId="2" applyNumberFormat="1" applyBorder="1"/>
    <xf numFmtId="1" fontId="3" fillId="0" borderId="5" xfId="2" applyNumberFormat="1" applyBorder="1"/>
    <xf numFmtId="0" fontId="5" fillId="4" borderId="6" xfId="2" applyFont="1" applyFill="1" applyBorder="1"/>
    <xf numFmtId="164" fontId="5" fillId="4" borderId="14" xfId="2" applyNumberFormat="1" applyFont="1" applyFill="1" applyBorder="1"/>
    <xf numFmtId="164" fontId="5" fillId="4" borderId="7" xfId="2" applyNumberFormat="1" applyFont="1" applyFill="1" applyBorder="1"/>
    <xf numFmtId="0" fontId="3" fillId="0" borderId="6" xfId="2" applyBorder="1" applyAlignment="1">
      <alignment horizontal="center"/>
    </xf>
    <xf numFmtId="1" fontId="3" fillId="0" borderId="14" xfId="2" applyNumberFormat="1" applyBorder="1" applyAlignment="1">
      <alignment horizontal="center"/>
    </xf>
    <xf numFmtId="1" fontId="3" fillId="0" borderId="1" xfId="2" applyNumberFormat="1" applyBorder="1" applyAlignment="1">
      <alignment horizontal="center"/>
    </xf>
    <xf numFmtId="2" fontId="3" fillId="0" borderId="14" xfId="2" applyNumberFormat="1" applyBorder="1" applyAlignment="1">
      <alignment horizontal="center"/>
    </xf>
    <xf numFmtId="2" fontId="3" fillId="0" borderId="7" xfId="2" applyNumberFormat="1" applyBorder="1" applyAlignment="1">
      <alignment horizontal="center"/>
    </xf>
    <xf numFmtId="0" fontId="3" fillId="0" borderId="0" xfId="2" applyAlignment="1">
      <alignment horizontal="center"/>
    </xf>
    <xf numFmtId="0" fontId="3" fillId="0" borderId="0" xfId="2" applyFont="1"/>
    <xf numFmtId="0" fontId="6" fillId="4" borderId="0" xfId="1" applyFont="1" applyFill="1"/>
    <xf numFmtId="0" fontId="1" fillId="4" borderId="0" xfId="1" applyFont="1" applyFill="1" applyAlignment="1">
      <alignment horizontal="right"/>
    </xf>
    <xf numFmtId="0" fontId="1" fillId="4" borderId="0" xfId="1" applyFill="1" applyAlignment="1">
      <alignment horizontal="left"/>
    </xf>
    <xf numFmtId="0" fontId="1" fillId="0" borderId="0" xfId="1"/>
    <xf numFmtId="0" fontId="1" fillId="0" borderId="0" xfId="1" applyFont="1"/>
    <xf numFmtId="0" fontId="2" fillId="0" borderId="0" xfId="1" applyFont="1"/>
    <xf numFmtId="0" fontId="1" fillId="5" borderId="0" xfId="1" applyFill="1"/>
    <xf numFmtId="0" fontId="1" fillId="5" borderId="0" xfId="1" applyFont="1" applyFill="1"/>
    <xf numFmtId="0" fontId="1" fillId="0" borderId="10" xfId="1" applyFont="1" applyBorder="1" applyAlignment="1">
      <alignment horizontal="left"/>
    </xf>
    <xf numFmtId="0" fontId="1" fillId="6" borderId="12" xfId="1" applyFont="1" applyFill="1" applyBorder="1" applyAlignment="1">
      <alignment horizontal="center"/>
    </xf>
    <xf numFmtId="0" fontId="3" fillId="0" borderId="0" xfId="3"/>
    <xf numFmtId="0" fontId="1" fillId="0" borderId="0" xfId="1" applyAlignment="1">
      <alignment horizontal="left"/>
    </xf>
    <xf numFmtId="0" fontId="1" fillId="3" borderId="0" xfId="1" applyFill="1" applyAlignment="1">
      <alignment horizontal="center"/>
    </xf>
    <xf numFmtId="0" fontId="1" fillId="6" borderId="0" xfId="1" applyFill="1" applyAlignment="1">
      <alignment horizontal="center"/>
    </xf>
    <xf numFmtId="0" fontId="1" fillId="7" borderId="0" xfId="1" applyFill="1" applyAlignment="1">
      <alignment horizontal="center"/>
    </xf>
    <xf numFmtId="0" fontId="1" fillId="0" borderId="0" xfId="4"/>
    <xf numFmtId="0" fontId="7" fillId="0" borderId="0" xfId="1" applyFont="1" applyAlignment="1">
      <alignment horizontal="left"/>
    </xf>
    <xf numFmtId="0" fontId="1" fillId="0" borderId="0" xfId="1" applyFill="1" applyAlignment="1">
      <alignment horizontal="center"/>
    </xf>
    <xf numFmtId="0" fontId="3" fillId="0" borderId="0" xfId="2" applyFill="1"/>
    <xf numFmtId="0" fontId="3" fillId="0" borderId="0" xfId="2" applyFont="1" applyFill="1"/>
    <xf numFmtId="0" fontId="0" fillId="7" borderId="11" xfId="1" applyFont="1" applyFill="1" applyBorder="1" applyAlignment="1">
      <alignment horizontal="center"/>
    </xf>
    <xf numFmtId="0" fontId="0" fillId="5" borderId="0" xfId="1" applyFont="1" applyFill="1"/>
    <xf numFmtId="0" fontId="0" fillId="0" borderId="0" xfId="1" applyFont="1"/>
    <xf numFmtId="0" fontId="0" fillId="3" borderId="12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164" fontId="3" fillId="0" borderId="0" xfId="2" applyNumberFormat="1" applyAlignment="1">
      <alignment horizontal="center"/>
    </xf>
    <xf numFmtId="164" fontId="3" fillId="9" borderId="0" xfId="2" applyNumberFormat="1" applyFill="1" applyAlignment="1">
      <alignment horizontal="left"/>
    </xf>
    <xf numFmtId="1" fontId="3" fillId="0" borderId="0" xfId="2" applyNumberFormat="1" applyAlignment="1">
      <alignment horizontal="left"/>
    </xf>
    <xf numFmtId="164" fontId="3" fillId="0" borderId="0" xfId="2" applyNumberFormat="1" applyAlignment="1">
      <alignment horizontal="left"/>
    </xf>
    <xf numFmtId="1" fontId="3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8" fillId="8" borderId="0" xfId="2" applyNumberFormat="1" applyFont="1" applyFill="1"/>
    <xf numFmtId="166" fontId="8" fillId="8" borderId="0" xfId="2" applyNumberFormat="1" applyFont="1" applyFill="1"/>
    <xf numFmtId="0" fontId="3" fillId="0" borderId="0" xfId="2" applyFont="1" applyAlignment="1">
      <alignment horizontal="center"/>
    </xf>
    <xf numFmtId="0" fontId="3" fillId="9" borderId="0" xfId="2" applyFont="1" applyFill="1" applyAlignment="1">
      <alignment horizontal="center"/>
    </xf>
    <xf numFmtId="0" fontId="3" fillId="10" borderId="0" xfId="2" applyFont="1" applyFill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4" fontId="3" fillId="0" borderId="0" xfId="2" applyNumberFormat="1"/>
    <xf numFmtId="1" fontId="3" fillId="0" borderId="0" xfId="2" applyNumberFormat="1"/>
    <xf numFmtId="0" fontId="3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165" fontId="3" fillId="0" borderId="0" xfId="2" applyNumberFormat="1"/>
    <xf numFmtId="1" fontId="8" fillId="2" borderId="0" xfId="2" applyNumberFormat="1" applyFont="1" applyFill="1" applyBorder="1" applyAlignment="1">
      <alignment horizontal="center"/>
    </xf>
    <xf numFmtId="164" fontId="3" fillId="0" borderId="0" xfId="2" applyNumberFormat="1" applyBorder="1" applyAlignment="1">
      <alignment horizontal="left"/>
    </xf>
    <xf numFmtId="1" fontId="3" fillId="0" borderId="0" xfId="2" applyNumberFormat="1" applyAlignment="1">
      <alignment horizontal="center"/>
    </xf>
    <xf numFmtId="2" fontId="3" fillId="0" borderId="0" xfId="2" applyNumberFormat="1" applyAlignment="1">
      <alignment horizontal="center"/>
    </xf>
    <xf numFmtId="167" fontId="3" fillId="0" borderId="0" xfId="2" applyNumberFormat="1" applyAlignment="1">
      <alignment horizontal="center"/>
    </xf>
    <xf numFmtId="0" fontId="3" fillId="0" borderId="15" xfId="2" applyBorder="1" applyAlignment="1">
      <alignment horizontal="center"/>
    </xf>
    <xf numFmtId="0" fontId="0" fillId="0" borderId="6" xfId="0" applyBorder="1"/>
    <xf numFmtId="0" fontId="3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1" borderId="0" xfId="0" applyNumberFormat="1" applyFill="1" applyAlignment="1">
      <alignment horizontal="center"/>
    </xf>
    <xf numFmtId="165" fontId="0" fillId="12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3" fillId="0" borderId="8" xfId="2" applyFill="1" applyBorder="1" applyAlignment="1">
      <alignment horizontal="center"/>
    </xf>
    <xf numFmtId="0" fontId="0" fillId="0" borderId="2" xfId="0" applyBorder="1"/>
    <xf numFmtId="0" fontId="7" fillId="0" borderId="0" xfId="0" applyFont="1"/>
    <xf numFmtId="0" fontId="7" fillId="0" borderId="0" xfId="1" applyFont="1"/>
    <xf numFmtId="0" fontId="12" fillId="0" borderId="0" xfId="3" applyFont="1"/>
    <xf numFmtId="0" fontId="11" fillId="4" borderId="0" xfId="1" applyFont="1" applyFill="1"/>
    <xf numFmtId="0" fontId="7" fillId="4" borderId="0" xfId="1" applyFont="1" applyFill="1" applyAlignment="1">
      <alignment horizontal="right"/>
    </xf>
    <xf numFmtId="0" fontId="7" fillId="4" borderId="0" xfId="1" applyFont="1" applyFill="1" applyAlignment="1">
      <alignment horizontal="left"/>
    </xf>
    <xf numFmtId="0" fontId="7" fillId="0" borderId="11" xfId="1" applyFont="1" applyFill="1" applyBorder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2" fillId="0" borderId="0" xfId="2" applyFont="1"/>
    <xf numFmtId="0" fontId="12" fillId="0" borderId="0" xfId="2" quotePrefix="1" applyFont="1"/>
    <xf numFmtId="0" fontId="14" fillId="0" borderId="0" xfId="1" applyFont="1"/>
    <xf numFmtId="0" fontId="7" fillId="5" borderId="0" xfId="1" applyFont="1" applyFill="1"/>
    <xf numFmtId="0" fontId="7" fillId="0" borderId="10" xfId="1" applyFont="1" applyBorder="1" applyAlignment="1">
      <alignment horizontal="left"/>
    </xf>
    <xf numFmtId="0" fontId="7" fillId="3" borderId="12" xfId="1" applyFont="1" applyFill="1" applyBorder="1" applyAlignment="1">
      <alignment horizontal="center"/>
    </xf>
    <xf numFmtId="0" fontId="7" fillId="6" borderId="12" xfId="1" applyFont="1" applyFill="1" applyBorder="1" applyAlignment="1">
      <alignment horizontal="center"/>
    </xf>
    <xf numFmtId="0" fontId="7" fillId="7" borderId="11" xfId="1" applyFont="1" applyFill="1" applyBorder="1" applyAlignment="1">
      <alignment horizontal="center"/>
    </xf>
    <xf numFmtId="0" fontId="12" fillId="0" borderId="0" xfId="2" applyFont="1" applyFill="1"/>
    <xf numFmtId="0" fontId="12" fillId="0" borderId="2" xfId="2" applyFont="1" applyBorder="1" applyAlignment="1">
      <alignment horizontal="center"/>
    </xf>
    <xf numFmtId="1" fontId="12" fillId="0" borderId="2" xfId="2" applyNumberFormat="1" applyFont="1" applyFill="1" applyBorder="1" applyAlignment="1">
      <alignment horizontal="center"/>
    </xf>
    <xf numFmtId="1" fontId="12" fillId="0" borderId="3" xfId="2" applyNumberFormat="1" applyFont="1" applyBorder="1" applyAlignment="1">
      <alignment horizontal="center"/>
    </xf>
    <xf numFmtId="1" fontId="12" fillId="0" borderId="13" xfId="2" applyNumberFormat="1" applyFont="1" applyBorder="1" applyAlignment="1">
      <alignment horizontal="center"/>
    </xf>
    <xf numFmtId="2" fontId="12" fillId="0" borderId="13" xfId="2" applyNumberFormat="1" applyFont="1" applyBorder="1" applyAlignment="1">
      <alignment horizontal="center"/>
    </xf>
    <xf numFmtId="2" fontId="12" fillId="0" borderId="3" xfId="2" applyNumberFormat="1" applyFont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7" fillId="6" borderId="0" xfId="1" applyFont="1" applyFill="1" applyAlignment="1">
      <alignment horizontal="center"/>
    </xf>
    <xf numFmtId="0" fontId="7" fillId="7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2" fillId="0" borderId="4" xfId="2" applyFont="1" applyBorder="1" applyAlignment="1">
      <alignment horizontal="center"/>
    </xf>
    <xf numFmtId="1" fontId="12" fillId="0" borderId="4" xfId="2" applyNumberFormat="1" applyFont="1" applyBorder="1" applyAlignment="1">
      <alignment horizontal="center"/>
    </xf>
    <xf numFmtId="1" fontId="12" fillId="0" borderId="5" xfId="2" applyNumberFormat="1" applyFont="1" applyBorder="1" applyAlignment="1">
      <alignment horizontal="center"/>
    </xf>
    <xf numFmtId="1" fontId="12" fillId="0" borderId="0" xfId="2" applyNumberFormat="1" applyFont="1" applyBorder="1" applyAlignment="1">
      <alignment horizontal="center"/>
    </xf>
    <xf numFmtId="2" fontId="12" fillId="0" borderId="0" xfId="2" applyNumberFormat="1" applyFont="1" applyBorder="1" applyAlignment="1">
      <alignment horizontal="center"/>
    </xf>
    <xf numFmtId="2" fontId="12" fillId="0" borderId="5" xfId="2" applyNumberFormat="1" applyFont="1" applyBorder="1" applyAlignment="1">
      <alignment horizontal="center"/>
    </xf>
    <xf numFmtId="0" fontId="7" fillId="0" borderId="0" xfId="4" applyFont="1"/>
    <xf numFmtId="0" fontId="12" fillId="0" borderId="6" xfId="2" applyFont="1" applyBorder="1" applyAlignment="1">
      <alignment horizontal="center"/>
    </xf>
    <xf numFmtId="1" fontId="12" fillId="0" borderId="6" xfId="2" applyNumberFormat="1" applyFont="1" applyBorder="1" applyAlignment="1">
      <alignment horizontal="center"/>
    </xf>
    <xf numFmtId="1" fontId="12" fillId="0" borderId="7" xfId="2" applyNumberFormat="1" applyFont="1" applyBorder="1" applyAlignment="1">
      <alignment horizontal="center"/>
    </xf>
    <xf numFmtId="1" fontId="12" fillId="0" borderId="14" xfId="2" applyNumberFormat="1" applyFont="1" applyBorder="1" applyAlignment="1">
      <alignment horizontal="center"/>
    </xf>
    <xf numFmtId="2" fontId="12" fillId="0" borderId="14" xfId="2" applyNumberFormat="1" applyFont="1" applyBorder="1" applyAlignment="1">
      <alignment horizontal="center"/>
    </xf>
    <xf numFmtId="2" fontId="12" fillId="0" borderId="7" xfId="2" applyNumberFormat="1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0" xfId="2" applyFont="1" applyBorder="1"/>
    <xf numFmtId="0" fontId="12" fillId="0" borderId="0" xfId="2" applyFont="1" applyAlignment="1">
      <alignment horizontal="center"/>
    </xf>
    <xf numFmtId="166" fontId="15" fillId="0" borderId="13" xfId="2" applyNumberFormat="1" applyFont="1" applyFill="1" applyBorder="1"/>
    <xf numFmtId="166" fontId="15" fillId="0" borderId="0" xfId="2" applyNumberFormat="1" applyFont="1" applyFill="1" applyBorder="1"/>
    <xf numFmtId="166" fontId="15" fillId="0" borderId="14" xfId="2" applyNumberFormat="1" applyFont="1" applyFill="1" applyBorder="1"/>
    <xf numFmtId="0" fontId="15" fillId="0" borderId="8" xfId="2" applyFont="1" applyFill="1" applyBorder="1"/>
    <xf numFmtId="0" fontId="15" fillId="0" borderId="9" xfId="2" applyFont="1" applyFill="1" applyBorder="1"/>
    <xf numFmtId="0" fontId="15" fillId="0" borderId="15" xfId="2" applyFont="1" applyFill="1" applyBorder="1"/>
    <xf numFmtId="166" fontId="15" fillId="0" borderId="8" xfId="2" applyNumberFormat="1" applyFont="1" applyFill="1" applyBorder="1"/>
    <xf numFmtId="166" fontId="15" fillId="0" borderId="9" xfId="2" applyNumberFormat="1" applyFont="1" applyFill="1" applyBorder="1"/>
    <xf numFmtId="166" fontId="15" fillId="0" borderId="15" xfId="2" applyNumberFormat="1" applyFont="1" applyFill="1" applyBorder="1"/>
    <xf numFmtId="0" fontId="12" fillId="0" borderId="10" xfId="2" applyFont="1" applyBorder="1"/>
    <xf numFmtId="0" fontId="12" fillId="0" borderId="11" xfId="2" applyFont="1" applyBorder="1"/>
    <xf numFmtId="0" fontId="12" fillId="0" borderId="1" xfId="2" applyFont="1" applyBorder="1"/>
    <xf numFmtId="0" fontId="7" fillId="13" borderId="0" xfId="1" applyFont="1" applyFill="1" applyAlignment="1">
      <alignment horizontal="center"/>
    </xf>
    <xf numFmtId="0" fontId="12" fillId="13" borderId="0" xfId="2" applyFont="1" applyFill="1"/>
    <xf numFmtId="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0" fontId="7" fillId="0" borderId="0" xfId="0" applyFont="1" applyAlignment="1">
      <alignment horizontal="center"/>
    </xf>
    <xf numFmtId="1" fontId="7" fillId="0" borderId="0" xfId="0" applyNumberFormat="1" applyFont="1"/>
    <xf numFmtId="0" fontId="16" fillId="0" borderId="0" xfId="0" applyFont="1"/>
    <xf numFmtId="0" fontId="17" fillId="0" borderId="0" xfId="0" applyFont="1"/>
    <xf numFmtId="1" fontId="17" fillId="0" borderId="14" xfId="0" applyNumberFormat="1" applyFont="1" applyBorder="1"/>
    <xf numFmtId="0" fontId="18" fillId="0" borderId="14" xfId="0" applyFont="1" applyBorder="1"/>
    <xf numFmtId="2" fontId="17" fillId="0" borderId="14" xfId="0" applyNumberFormat="1" applyFont="1" applyBorder="1"/>
    <xf numFmtId="0" fontId="17" fillId="0" borderId="14" xfId="0" applyFont="1" applyBorder="1"/>
    <xf numFmtId="2" fontId="19" fillId="0" borderId="14" xfId="0" applyNumberFormat="1" applyFont="1" applyBorder="1"/>
    <xf numFmtId="0" fontId="19" fillId="0" borderId="14" xfId="0" applyFont="1" applyBorder="1"/>
    <xf numFmtId="1" fontId="17" fillId="0" borderId="0" xfId="0" applyNumberFormat="1" applyFont="1"/>
    <xf numFmtId="2" fontId="17" fillId="0" borderId="0" xfId="0" applyNumberFormat="1" applyFont="1"/>
    <xf numFmtId="2" fontId="19" fillId="0" borderId="0" xfId="0" applyNumberFormat="1" applyFont="1"/>
    <xf numFmtId="0" fontId="19" fillId="0" borderId="0" xfId="0" applyFont="1"/>
    <xf numFmtId="0" fontId="20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Continuous"/>
    </xf>
    <xf numFmtId="49" fontId="0" fillId="0" borderId="0" xfId="0" applyNumberFormat="1"/>
    <xf numFmtId="2" fontId="0" fillId="0" borderId="0" xfId="0" applyNumberForma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164" fontId="0" fillId="0" borderId="0" xfId="0" applyNumberFormat="1"/>
    <xf numFmtId="164" fontId="23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" xfId="0" applyBorder="1"/>
    <xf numFmtId="0" fontId="22" fillId="0" borderId="0" xfId="0" applyFont="1" applyAlignment="1">
      <alignment horizontal="left"/>
    </xf>
    <xf numFmtId="165" fontId="22" fillId="0" borderId="0" xfId="0" applyNumberFormat="1" applyFont="1"/>
    <xf numFmtId="2" fontId="22" fillId="0" borderId="0" xfId="0" applyNumberFormat="1" applyFont="1" applyAlignment="1">
      <alignment horizontal="left"/>
    </xf>
  </cellXfs>
  <cellStyles count="5">
    <cellStyle name="Normal" xfId="0" builtinId="0"/>
    <cellStyle name="Normal 2" xfId="2" xr:uid="{00000000-0005-0000-0000-000002000000}"/>
    <cellStyle name="Normal 2 2" xfId="1" xr:uid="{00000000-0005-0000-0000-000003000000}"/>
    <cellStyle name="Normal 3 2" xfId="4" xr:uid="{00000000-0005-0000-0000-000004000000}"/>
    <cellStyle name="Normal 4" xfId="3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'1.LALB23TrendLine'!$B$1</c:f>
          <c:strCache>
            <c:ptCount val="1"/>
            <c:pt idx="0">
              <c:v>Year (from 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8.7129702537182857E-2"/>
                  <c:y val="0.1746087909897338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'1.LALB23TrendLine'!$B$2:$B$24</c:f>
              <c:numCache>
                <c:formatCode>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AA-4518-821B-70F80B763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'1.LALB23TrendLine'!$A$1</c:f>
          <c:strCache>
            <c:ptCount val="1"/>
            <c:pt idx="0">
              <c:v>Year (Real)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'1.LALB23TrendLine'!$C$1</c:f>
              <c:strCache>
                <c:ptCount val="1"/>
                <c:pt idx="0">
                  <c:v>TEUs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1292738407699038"/>
                  <c:y val="2.6929466095219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9155949256342956E-2"/>
                  <c:y val="0.145072926010830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Ref>
              <c:f>'1.LALB23TrendLine'!$A$2:$A$24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'1.LALB23TrendLine'!$C$2:$C$24</c:f>
              <c:numCache>
                <c:formatCode>0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9-41EC-A46D-0F68D5E7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220560"/>
        <c:axId val="544223512"/>
      </c:scatterChart>
      <c:valAx>
        <c:axId val="54422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3512"/>
        <c:crosses val="autoZero"/>
        <c:crossBetween val="midCat"/>
      </c:valAx>
      <c:valAx>
        <c:axId val="54422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422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'4.LALB23Solver&amp;Formulas'!$A$2:$A$24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'4.LALB23Solver&amp;Formulas'!$D$2:$D$24</c:f>
              <c:numCache>
                <c:formatCode>@</c:formatCode>
                <c:ptCount val="23"/>
                <c:pt idx="0">
                  <c:v>8948.8043476009498</c:v>
                </c:pt>
                <c:pt idx="1">
                  <c:v>9345.5652172337323</c:v>
                </c:pt>
                <c:pt idx="2">
                  <c:v>9742.3260868665129</c:v>
                </c:pt>
                <c:pt idx="3">
                  <c:v>10139.086956499295</c:v>
                </c:pt>
                <c:pt idx="4">
                  <c:v>10535.847826132076</c:v>
                </c:pt>
                <c:pt idx="5">
                  <c:v>10932.608695764859</c:v>
                </c:pt>
                <c:pt idx="6">
                  <c:v>11329.369565397639</c:v>
                </c:pt>
                <c:pt idx="7">
                  <c:v>11726.13043503042</c:v>
                </c:pt>
                <c:pt idx="8">
                  <c:v>12122.891304663202</c:v>
                </c:pt>
                <c:pt idx="9">
                  <c:v>12519.652174295985</c:v>
                </c:pt>
                <c:pt idx="10">
                  <c:v>12916.413043928766</c:v>
                </c:pt>
                <c:pt idx="11">
                  <c:v>13313.173913561546</c:v>
                </c:pt>
                <c:pt idx="12">
                  <c:v>13709.934783194327</c:v>
                </c:pt>
                <c:pt idx="13">
                  <c:v>14106.695652827109</c:v>
                </c:pt>
                <c:pt idx="14">
                  <c:v>14503.456522459892</c:v>
                </c:pt>
                <c:pt idx="15">
                  <c:v>14900.217392092673</c:v>
                </c:pt>
                <c:pt idx="16">
                  <c:v>15296.978261725453</c:v>
                </c:pt>
                <c:pt idx="17">
                  <c:v>15693.739131358236</c:v>
                </c:pt>
                <c:pt idx="18">
                  <c:v>16090.500000991018</c:v>
                </c:pt>
                <c:pt idx="19">
                  <c:v>16487.260870623799</c:v>
                </c:pt>
                <c:pt idx="20">
                  <c:v>16884.02174025658</c:v>
                </c:pt>
                <c:pt idx="21">
                  <c:v>17280.782609889364</c:v>
                </c:pt>
                <c:pt idx="22">
                  <c:v>17677.543479522144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5-4F9E-827D-108DFE604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989288"/>
        <c:axId val="758989944"/>
      </c:line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'4.LALB23Solver&amp;Formulas'!$A$2:$A$24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xVal>
          <c:yVal>
            <c:numRef>
              <c:f>'4.LALB23Solver&amp;Formulas'!$C$2:$C$24</c:f>
              <c:numCache>
                <c:formatCode>@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35-4F9E-827D-108DFE604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989288"/>
        <c:axId val="758989944"/>
      </c:scatterChart>
      <c:catAx>
        <c:axId val="75898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89944"/>
        <c:crosses val="autoZero"/>
        <c:auto val="1"/>
        <c:lblAlgn val="ctr"/>
        <c:lblOffset val="100"/>
        <c:noMultiLvlLbl val="0"/>
      </c:catAx>
      <c:valAx>
        <c:axId val="75898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98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'1.ES.MAD.MSE.MAPE.TS.Resi'!$B$8:$B$57</c:f>
              <c:numCache>
                <c:formatCode>General</c:formatCode>
                <c:ptCount val="50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EE-469A-A392-CD7C788B5B07}"/>
            </c:ext>
          </c:extLst>
        </c:ser>
        <c:ser>
          <c:idx val="1"/>
          <c:order val="1"/>
          <c:tx>
            <c:strRef>
              <c:f>'1.ES.MAD.MSE.MAPE.TS.Resi'!$C$7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'1.ES.MAD.MSE.MAPE.TS.Resi'!$C$8:$C$57</c:f>
              <c:numCache>
                <c:formatCode>0.0</c:formatCode>
                <c:ptCount val="50"/>
                <c:pt idx="0">
                  <c:v>6464</c:v>
                </c:pt>
                <c:pt idx="1">
                  <c:v>6464</c:v>
                </c:pt>
                <c:pt idx="2">
                  <c:v>7475</c:v>
                </c:pt>
                <c:pt idx="3">
                  <c:v>8237</c:v>
                </c:pt>
                <c:pt idx="4">
                  <c:v>9480</c:v>
                </c:pt>
                <c:pt idx="5">
                  <c:v>11642</c:v>
                </c:pt>
                <c:pt idx="6">
                  <c:v>11705</c:v>
                </c:pt>
                <c:pt idx="7">
                  <c:v>11837</c:v>
                </c:pt>
                <c:pt idx="8">
                  <c:v>13101</c:v>
                </c:pt>
                <c:pt idx="9">
                  <c:v>14194</c:v>
                </c:pt>
                <c:pt idx="10">
                  <c:v>15760</c:v>
                </c:pt>
                <c:pt idx="11">
                  <c:v>15667</c:v>
                </c:pt>
                <c:pt idx="12">
                  <c:v>14338</c:v>
                </c:pt>
                <c:pt idx="13">
                  <c:v>11816</c:v>
                </c:pt>
                <c:pt idx="14">
                  <c:v>14095</c:v>
                </c:pt>
                <c:pt idx="15">
                  <c:v>14001</c:v>
                </c:pt>
                <c:pt idx="16">
                  <c:v>14123</c:v>
                </c:pt>
                <c:pt idx="17">
                  <c:v>14599</c:v>
                </c:pt>
                <c:pt idx="18">
                  <c:v>15160</c:v>
                </c:pt>
                <c:pt idx="19">
                  <c:v>15352</c:v>
                </c:pt>
                <c:pt idx="20">
                  <c:v>15631</c:v>
                </c:pt>
                <c:pt idx="21">
                  <c:v>16887</c:v>
                </c:pt>
                <c:pt idx="22">
                  <c:v>17549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EE-469A-A392-CD7C788B5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'1.ES.MAD.MSE.MAPE.TS.Resi'!$K$7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'1.ES.MAD.MSE.MAPE.TS.Resi'!$K$8:$K$57</c:f>
              <c:numCache>
                <c:formatCode>0.0</c:formatCode>
                <c:ptCount val="50"/>
                <c:pt idx="0">
                  <c:v>0</c:v>
                </c:pt>
                <c:pt idx="1">
                  <c:v>1011</c:v>
                </c:pt>
                <c:pt idx="2">
                  <c:v>1773</c:v>
                </c:pt>
                <c:pt idx="3">
                  <c:v>3016</c:v>
                </c:pt>
                <c:pt idx="4">
                  <c:v>5178</c:v>
                </c:pt>
                <c:pt idx="5">
                  <c:v>5241</c:v>
                </c:pt>
                <c:pt idx="6">
                  <c:v>5373</c:v>
                </c:pt>
                <c:pt idx="7">
                  <c:v>6637</c:v>
                </c:pt>
                <c:pt idx="8">
                  <c:v>7730</c:v>
                </c:pt>
                <c:pt idx="9">
                  <c:v>9296</c:v>
                </c:pt>
                <c:pt idx="10">
                  <c:v>9203</c:v>
                </c:pt>
                <c:pt idx="11">
                  <c:v>7874</c:v>
                </c:pt>
                <c:pt idx="12">
                  <c:v>5352</c:v>
                </c:pt>
                <c:pt idx="13">
                  <c:v>7631</c:v>
                </c:pt>
                <c:pt idx="14">
                  <c:v>7537</c:v>
                </c:pt>
                <c:pt idx="15">
                  <c:v>7659</c:v>
                </c:pt>
                <c:pt idx="16">
                  <c:v>8135</c:v>
                </c:pt>
                <c:pt idx="17">
                  <c:v>8696</c:v>
                </c:pt>
                <c:pt idx="18">
                  <c:v>8888</c:v>
                </c:pt>
                <c:pt idx="19">
                  <c:v>9167</c:v>
                </c:pt>
                <c:pt idx="20">
                  <c:v>10423</c:v>
                </c:pt>
                <c:pt idx="21">
                  <c:v>11085</c:v>
                </c:pt>
                <c:pt idx="22">
                  <c:v>10626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C7-4BB4-A208-6D098D3B0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C7-4BB4-A208-6D098D3B0BCD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C7-4BB4-A208-6D098D3B0BCD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DC7-4BB4-A208-6D098D3B0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'1.ES.MAD.MSE.MAPE.TS.Resi'!$D$7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'1.ES.MAD.MSE.MAPE.TS.Resi'!$D$8:$D$57</c:f>
              <c:numCache>
                <c:formatCode>0.0</c:formatCode>
                <c:ptCount val="50"/>
                <c:pt idx="0">
                  <c:v>0</c:v>
                </c:pt>
                <c:pt idx="1">
                  <c:v>1011</c:v>
                </c:pt>
                <c:pt idx="2">
                  <c:v>762</c:v>
                </c:pt>
                <c:pt idx="3">
                  <c:v>1243</c:v>
                </c:pt>
                <c:pt idx="4">
                  <c:v>2162</c:v>
                </c:pt>
                <c:pt idx="5">
                  <c:v>63</c:v>
                </c:pt>
                <c:pt idx="6">
                  <c:v>132</c:v>
                </c:pt>
                <c:pt idx="7">
                  <c:v>1264</c:v>
                </c:pt>
                <c:pt idx="8">
                  <c:v>1093</c:v>
                </c:pt>
                <c:pt idx="9">
                  <c:v>1566</c:v>
                </c:pt>
                <c:pt idx="10">
                  <c:v>-93</c:v>
                </c:pt>
                <c:pt idx="11">
                  <c:v>-1329</c:v>
                </c:pt>
                <c:pt idx="12">
                  <c:v>-2522</c:v>
                </c:pt>
                <c:pt idx="13">
                  <c:v>2279</c:v>
                </c:pt>
                <c:pt idx="14">
                  <c:v>-94</c:v>
                </c:pt>
                <c:pt idx="15">
                  <c:v>122</c:v>
                </c:pt>
                <c:pt idx="16">
                  <c:v>476</c:v>
                </c:pt>
                <c:pt idx="17">
                  <c:v>561</c:v>
                </c:pt>
                <c:pt idx="18">
                  <c:v>192</c:v>
                </c:pt>
                <c:pt idx="19">
                  <c:v>279</c:v>
                </c:pt>
                <c:pt idx="20">
                  <c:v>1256</c:v>
                </c:pt>
                <c:pt idx="21">
                  <c:v>662</c:v>
                </c:pt>
                <c:pt idx="22">
                  <c:v>-459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CC-4DEF-A8E1-4678F98F1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CC-4DEF-A8E1-4678F98F1685}"/>
            </c:ext>
          </c:extLst>
        </c:ser>
        <c:ser>
          <c:idx val="2"/>
          <c:order val="2"/>
          <c:tx>
            <c:strRef>
              <c:f>'1.ES.MAD.MSE.MAPE.TS.Resi'!$Q$1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CC-4DEF-A8E1-4678F98F1685}"/>
            </c:ext>
          </c:extLst>
        </c:ser>
        <c:ser>
          <c:idx val="3"/>
          <c:order val="3"/>
          <c:tx>
            <c:strRef>
              <c:f>'1.ES.MAD.MSE.MAPE.TS.Resi'!$O$1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DCC-4DEF-A8E1-4678F98F1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(2)'!$C$3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(2)'!$B$7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(2)'!$B$9:$B$31</c:f>
              <c:numCache>
                <c:formatCode>General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4-4791-83C4-7303878BB114}"/>
            </c:ext>
          </c:extLst>
        </c:ser>
        <c:ser>
          <c:idx val="1"/>
          <c:order val="1"/>
          <c:tx>
            <c:strRef>
              <c:f>'1.ES.MAD.MSE.MAPE.TS.Resi (2)'!$E$7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(2)'!$C$9:$C$31</c:f>
              <c:numCache>
                <c:formatCode>General</c:formatCode>
                <c:ptCount val="23"/>
                <c:pt idx="0">
                  <c:v>6464</c:v>
                </c:pt>
                <c:pt idx="1">
                  <c:v>7475</c:v>
                </c:pt>
                <c:pt idx="2">
                  <c:v>8237</c:v>
                </c:pt>
                <c:pt idx="3">
                  <c:v>9480</c:v>
                </c:pt>
                <c:pt idx="4">
                  <c:v>11642</c:v>
                </c:pt>
                <c:pt idx="5">
                  <c:v>11705</c:v>
                </c:pt>
                <c:pt idx="6">
                  <c:v>11837</c:v>
                </c:pt>
                <c:pt idx="7">
                  <c:v>13101</c:v>
                </c:pt>
                <c:pt idx="8">
                  <c:v>14194</c:v>
                </c:pt>
                <c:pt idx="9">
                  <c:v>15760</c:v>
                </c:pt>
                <c:pt idx="10">
                  <c:v>15667</c:v>
                </c:pt>
                <c:pt idx="11">
                  <c:v>14338</c:v>
                </c:pt>
                <c:pt idx="12">
                  <c:v>11816</c:v>
                </c:pt>
                <c:pt idx="13">
                  <c:v>14095</c:v>
                </c:pt>
                <c:pt idx="14">
                  <c:v>14001</c:v>
                </c:pt>
                <c:pt idx="15">
                  <c:v>14123</c:v>
                </c:pt>
                <c:pt idx="16">
                  <c:v>14599</c:v>
                </c:pt>
                <c:pt idx="17">
                  <c:v>15160</c:v>
                </c:pt>
                <c:pt idx="18">
                  <c:v>15352</c:v>
                </c:pt>
                <c:pt idx="19">
                  <c:v>15631</c:v>
                </c:pt>
                <c:pt idx="20">
                  <c:v>16887</c:v>
                </c:pt>
                <c:pt idx="21">
                  <c:v>17549</c:v>
                </c:pt>
                <c:pt idx="22">
                  <c:v>17090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B4-4791-83C4-7303878B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(2)'!$M$7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(2)'!$K$9:$K$31</c:f>
              <c:numCache>
                <c:formatCode>0.0</c:formatCode>
                <c:ptCount val="23"/>
                <c:pt idx="0">
                  <c:v>233289</c:v>
                </c:pt>
                <c:pt idx="1">
                  <c:v>256036.5</c:v>
                </c:pt>
                <c:pt idx="2">
                  <c:v>196638</c:v>
                </c:pt>
                <c:pt idx="3">
                  <c:v>291878.5</c:v>
                </c:pt>
                <c:pt idx="4">
                  <c:v>797311</c:v>
                </c:pt>
                <c:pt idx="5">
                  <c:v>693825.83333333337</c:v>
                </c:pt>
                <c:pt idx="6">
                  <c:v>612308</c:v>
                </c:pt>
                <c:pt idx="7">
                  <c:v>612014.625</c:v>
                </c:pt>
                <c:pt idx="8">
                  <c:v>585357.4444444445</c:v>
                </c:pt>
                <c:pt idx="9">
                  <c:v>644110.6</c:v>
                </c:pt>
                <c:pt idx="10">
                  <c:v>615716.54545454541</c:v>
                </c:pt>
                <c:pt idx="11">
                  <c:v>838018.83333333337</c:v>
                </c:pt>
                <c:pt idx="12">
                  <c:v>1468173.1538461538</c:v>
                </c:pt>
                <c:pt idx="13">
                  <c:v>1593704.7857142857</c:v>
                </c:pt>
                <c:pt idx="14">
                  <c:v>1509653.0666666667</c:v>
                </c:pt>
                <c:pt idx="15">
                  <c:v>1423444.8125</c:v>
                </c:pt>
                <c:pt idx="16">
                  <c:v>1339715.6470588236</c:v>
                </c:pt>
                <c:pt idx="17">
                  <c:v>1265625</c:v>
                </c:pt>
                <c:pt idx="18">
                  <c:v>1203470.0526315789</c:v>
                </c:pt>
                <c:pt idx="19">
                  <c:v>1145377.3500000001</c:v>
                </c:pt>
                <c:pt idx="20">
                  <c:v>1119289.3333333333</c:v>
                </c:pt>
                <c:pt idx="21">
                  <c:v>1069868.9545454546</c:v>
                </c:pt>
                <c:pt idx="22">
                  <c:v>1061933.956521739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80-46DD-B510-8255A940F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(2)'!$P$1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80-46DD-B510-8255A940F05D}"/>
            </c:ext>
          </c:extLst>
        </c:ser>
        <c:ser>
          <c:idx val="2"/>
          <c:order val="2"/>
          <c:tx>
            <c:strRef>
              <c:f>'1.ES.MAD.MSE.MAPE.TS.Resi (2)'!$Q$1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480-46DD-B510-8255A940F05D}"/>
            </c:ext>
          </c:extLst>
        </c:ser>
        <c:ser>
          <c:idx val="3"/>
          <c:order val="3"/>
          <c:tx>
            <c:strRef>
              <c:f>'1.ES.MAD.MSE.MAPE.TS.Resi (2)'!$O$1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480-46DD-B510-8255A940F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'1.ES.MAD.MSE.MAPE.TS.Resi (2)'!$F$7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'1.ES.MAD.MSE.MAPE.TS.Resi (2)'!$F$7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'1.ES.MAD.MSE.MAPE.TS.Resi (2)'!$A$9:$A$31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'1.ES.MAD.MSE.MAPE.TS.Resi (2)'!$D$9:$D$31</c:f>
              <c:numCache>
                <c:formatCode>General</c:formatCode>
                <c:ptCount val="23"/>
                <c:pt idx="0">
                  <c:v>483</c:v>
                </c:pt>
                <c:pt idx="1">
                  <c:v>483</c:v>
                </c:pt>
                <c:pt idx="2">
                  <c:v>483</c:v>
                </c:pt>
                <c:pt idx="3">
                  <c:v>483</c:v>
                </c:pt>
                <c:pt idx="4">
                  <c:v>483</c:v>
                </c:pt>
                <c:pt idx="5">
                  <c:v>483</c:v>
                </c:pt>
                <c:pt idx="6">
                  <c:v>483</c:v>
                </c:pt>
                <c:pt idx="7">
                  <c:v>483</c:v>
                </c:pt>
                <c:pt idx="8">
                  <c:v>483</c:v>
                </c:pt>
                <c:pt idx="9">
                  <c:v>483</c:v>
                </c:pt>
                <c:pt idx="10">
                  <c:v>483</c:v>
                </c:pt>
                <c:pt idx="11">
                  <c:v>483</c:v>
                </c:pt>
                <c:pt idx="12">
                  <c:v>483</c:v>
                </c:pt>
                <c:pt idx="13">
                  <c:v>483</c:v>
                </c:pt>
                <c:pt idx="14">
                  <c:v>483</c:v>
                </c:pt>
                <c:pt idx="15">
                  <c:v>483</c:v>
                </c:pt>
                <c:pt idx="16">
                  <c:v>483</c:v>
                </c:pt>
                <c:pt idx="17">
                  <c:v>483</c:v>
                </c:pt>
                <c:pt idx="18">
                  <c:v>483</c:v>
                </c:pt>
                <c:pt idx="19">
                  <c:v>483</c:v>
                </c:pt>
                <c:pt idx="20">
                  <c:v>483</c:v>
                </c:pt>
                <c:pt idx="21">
                  <c:v>483</c:v>
                </c:pt>
                <c:pt idx="22">
                  <c:v>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DE-4D44-9E45-E2053F0C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'1.ES.MAD.MSE.MAPE.TS.Resi (2)'!$P$1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DE-4D44-9E45-E2053F0CF3F7}"/>
            </c:ext>
          </c:extLst>
        </c:ser>
        <c:ser>
          <c:idx val="2"/>
          <c:order val="2"/>
          <c:tx>
            <c:strRef>
              <c:f>'1.ES.MAD.MSE.MAPE.TS.Resi (2)'!$Q$1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DE-4D44-9E45-E2053F0CF3F7}"/>
            </c:ext>
          </c:extLst>
        </c:ser>
        <c:ser>
          <c:idx val="3"/>
          <c:order val="3"/>
          <c:tx>
            <c:strRef>
              <c:f>'1.ES.MAD.MSE.MAPE.TS.Resi (2)'!$O$1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'1.ES.MAD.MSE.MAPE.TS.Resi (2)'!$N$2:$N$3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'1.ES.MAD.MSE.MAPE.TS.Resi (2)'!$O$2:$O$3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DE-4D44-9E45-E2053F0C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6.6666666666666666E-2</c:v>
                </c:pt>
                <c:pt idx="2">
                  <c:v>0.16</c:v>
                </c:pt>
                <c:pt idx="3">
                  <c:v>0.08</c:v>
                </c:pt>
                <c:pt idx="4">
                  <c:v>0.14666666666666667</c:v>
                </c:pt>
                <c:pt idx="5">
                  <c:v>0.10666666666666667</c:v>
                </c:pt>
                <c:pt idx="6">
                  <c:v>9.3333333333333338E-2</c:v>
                </c:pt>
                <c:pt idx="7">
                  <c:v>0.13333333333333333</c:v>
                </c:pt>
                <c:pt idx="8">
                  <c:v>0.08</c:v>
                </c:pt>
                <c:pt idx="9">
                  <c:v>0.04</c:v>
                </c:pt>
                <c:pt idx="10">
                  <c:v>2.6666666666666668E-2</c:v>
                </c:pt>
                <c:pt idx="11">
                  <c:v>0.04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6.6666666666666666E-2</c:v>
                </c:pt>
                <c:pt idx="2">
                  <c:v>0.16</c:v>
                </c:pt>
                <c:pt idx="3">
                  <c:v>0.08</c:v>
                </c:pt>
                <c:pt idx="4">
                  <c:v>0.14666666666666667</c:v>
                </c:pt>
                <c:pt idx="5">
                  <c:v>0.10666666666666667</c:v>
                </c:pt>
                <c:pt idx="6">
                  <c:v>9.3333333333333338E-2</c:v>
                </c:pt>
                <c:pt idx="7">
                  <c:v>0.13333333333333333</c:v>
                </c:pt>
                <c:pt idx="8">
                  <c:v>0.08</c:v>
                </c:pt>
                <c:pt idx="9">
                  <c:v>0.04</c:v>
                </c:pt>
                <c:pt idx="10">
                  <c:v>2.6666666666666668E-2</c:v>
                </c:pt>
                <c:pt idx="11">
                  <c:v>0.04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1000 - 2000</c:v>
                </c:pt>
                <c:pt idx="1">
                  <c:v>2000 - 3000</c:v>
                </c:pt>
                <c:pt idx="2">
                  <c:v>3000 - 4000</c:v>
                </c:pt>
                <c:pt idx="3">
                  <c:v>4000 - 5000</c:v>
                </c:pt>
                <c:pt idx="4">
                  <c:v>5000 - 6000</c:v>
                </c:pt>
                <c:pt idx="5">
                  <c:v>6000 - 7000</c:v>
                </c:pt>
                <c:pt idx="6">
                  <c:v>7000 - 8000</c:v>
                </c:pt>
                <c:pt idx="7">
                  <c:v>8000 - 9000</c:v>
                </c:pt>
                <c:pt idx="8">
                  <c:v>9000 - 10000</c:v>
                </c:pt>
                <c:pt idx="9">
                  <c:v>10000 - 11000</c:v>
                </c:pt>
                <c:pt idx="10">
                  <c:v>11000 - 12000</c:v>
                </c:pt>
                <c:pt idx="11">
                  <c:v>12000 - 13000</c:v>
                </c:pt>
                <c:pt idx="12">
                  <c:v>13000 - 14000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2.6666666666666668E-2</c:v>
                </c:pt>
                <c:pt idx="1">
                  <c:v>6.6666666666666666E-2</c:v>
                </c:pt>
                <c:pt idx="2">
                  <c:v>0.16</c:v>
                </c:pt>
                <c:pt idx="3">
                  <c:v>0.08</c:v>
                </c:pt>
                <c:pt idx="4">
                  <c:v>0.14666666666666667</c:v>
                </c:pt>
                <c:pt idx="5">
                  <c:v>0.10666666666666667</c:v>
                </c:pt>
                <c:pt idx="6">
                  <c:v>9.3333333333333338E-2</c:v>
                </c:pt>
                <c:pt idx="7">
                  <c:v>0.13333333333333333</c:v>
                </c:pt>
                <c:pt idx="8">
                  <c:v>0.08</c:v>
                </c:pt>
                <c:pt idx="9">
                  <c:v>0.04</c:v>
                </c:pt>
                <c:pt idx="10">
                  <c:v>2.6666666666666668E-2</c:v>
                </c:pt>
                <c:pt idx="11">
                  <c:v>0.04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5950</c:v>
                </c:pt>
                <c:pt idx="1">
                  <c:v>7762</c:v>
                </c:pt>
                <c:pt idx="2">
                  <c:v>5820</c:v>
                </c:pt>
                <c:pt idx="3">
                  <c:v>5012</c:v>
                </c:pt>
                <c:pt idx="4">
                  <c:v>5404</c:v>
                </c:pt>
                <c:pt idx="5">
                  <c:v>3259</c:v>
                </c:pt>
                <c:pt idx="6">
                  <c:v>3588</c:v>
                </c:pt>
                <c:pt idx="7">
                  <c:v>6500</c:v>
                </c:pt>
                <c:pt idx="8">
                  <c:v>3352</c:v>
                </c:pt>
                <c:pt idx="9">
                  <c:v>5656</c:v>
                </c:pt>
                <c:pt idx="10">
                  <c:v>12163</c:v>
                </c:pt>
                <c:pt idx="11">
                  <c:v>4979</c:v>
                </c:pt>
                <c:pt idx="12">
                  <c:v>6125</c:v>
                </c:pt>
                <c:pt idx="13">
                  <c:v>5881</c:v>
                </c:pt>
                <c:pt idx="14">
                  <c:v>2807</c:v>
                </c:pt>
                <c:pt idx="15">
                  <c:v>2468</c:v>
                </c:pt>
                <c:pt idx="16">
                  <c:v>5353</c:v>
                </c:pt>
                <c:pt idx="17">
                  <c:v>6624</c:v>
                </c:pt>
                <c:pt idx="18">
                  <c:v>7875</c:v>
                </c:pt>
                <c:pt idx="19">
                  <c:v>3789</c:v>
                </c:pt>
                <c:pt idx="20">
                  <c:v>12138</c:v>
                </c:pt>
                <c:pt idx="21">
                  <c:v>5484</c:v>
                </c:pt>
                <c:pt idx="22">
                  <c:v>5615</c:v>
                </c:pt>
                <c:pt idx="23">
                  <c:v>9423</c:v>
                </c:pt>
                <c:pt idx="24">
                  <c:v>8482</c:v>
                </c:pt>
                <c:pt idx="25">
                  <c:v>6775</c:v>
                </c:pt>
                <c:pt idx="26">
                  <c:v>7274</c:v>
                </c:pt>
                <c:pt idx="27">
                  <c:v>2720</c:v>
                </c:pt>
                <c:pt idx="28">
                  <c:v>8309</c:v>
                </c:pt>
                <c:pt idx="29">
                  <c:v>3289</c:v>
                </c:pt>
                <c:pt idx="30">
                  <c:v>8237</c:v>
                </c:pt>
                <c:pt idx="31">
                  <c:v>6805</c:v>
                </c:pt>
                <c:pt idx="32">
                  <c:v>12343</c:v>
                </c:pt>
                <c:pt idx="33">
                  <c:v>8811</c:v>
                </c:pt>
                <c:pt idx="34">
                  <c:v>5059</c:v>
                </c:pt>
                <c:pt idx="35">
                  <c:v>10232</c:v>
                </c:pt>
                <c:pt idx="36">
                  <c:v>5521</c:v>
                </c:pt>
                <c:pt idx="37">
                  <c:v>2125</c:v>
                </c:pt>
                <c:pt idx="38">
                  <c:v>10078</c:v>
                </c:pt>
                <c:pt idx="39">
                  <c:v>8155</c:v>
                </c:pt>
                <c:pt idx="40">
                  <c:v>6986</c:v>
                </c:pt>
                <c:pt idx="41">
                  <c:v>4996</c:v>
                </c:pt>
                <c:pt idx="42">
                  <c:v>11908</c:v>
                </c:pt>
                <c:pt idx="43">
                  <c:v>7618</c:v>
                </c:pt>
                <c:pt idx="44">
                  <c:v>9860</c:v>
                </c:pt>
                <c:pt idx="45">
                  <c:v>6450</c:v>
                </c:pt>
                <c:pt idx="46">
                  <c:v>3640</c:v>
                </c:pt>
                <c:pt idx="47">
                  <c:v>9125</c:v>
                </c:pt>
                <c:pt idx="48">
                  <c:v>2379</c:v>
                </c:pt>
                <c:pt idx="49">
                  <c:v>3017</c:v>
                </c:pt>
                <c:pt idx="50">
                  <c:v>9737</c:v>
                </c:pt>
                <c:pt idx="51">
                  <c:v>3726</c:v>
                </c:pt>
                <c:pt idx="52">
                  <c:v>3092</c:v>
                </c:pt>
                <c:pt idx="53">
                  <c:v>7923</c:v>
                </c:pt>
                <c:pt idx="54">
                  <c:v>8942</c:v>
                </c:pt>
                <c:pt idx="55">
                  <c:v>8885</c:v>
                </c:pt>
                <c:pt idx="56">
                  <c:v>8666</c:v>
                </c:pt>
                <c:pt idx="57">
                  <c:v>3992</c:v>
                </c:pt>
                <c:pt idx="58">
                  <c:v>6238</c:v>
                </c:pt>
                <c:pt idx="59">
                  <c:v>7646</c:v>
                </c:pt>
                <c:pt idx="60">
                  <c:v>7043</c:v>
                </c:pt>
                <c:pt idx="61">
                  <c:v>4335</c:v>
                </c:pt>
                <c:pt idx="62">
                  <c:v>1916</c:v>
                </c:pt>
                <c:pt idx="63">
                  <c:v>10364</c:v>
                </c:pt>
                <c:pt idx="64">
                  <c:v>3374</c:v>
                </c:pt>
                <c:pt idx="65">
                  <c:v>4966</c:v>
                </c:pt>
                <c:pt idx="66">
                  <c:v>8448</c:v>
                </c:pt>
                <c:pt idx="67">
                  <c:v>1717</c:v>
                </c:pt>
                <c:pt idx="68">
                  <c:v>3717</c:v>
                </c:pt>
                <c:pt idx="69">
                  <c:v>9029</c:v>
                </c:pt>
                <c:pt idx="70">
                  <c:v>4147</c:v>
                </c:pt>
                <c:pt idx="71">
                  <c:v>11573</c:v>
                </c:pt>
                <c:pt idx="72">
                  <c:v>4264</c:v>
                </c:pt>
                <c:pt idx="73">
                  <c:v>9715</c:v>
                </c:pt>
                <c:pt idx="74">
                  <c:v>8838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1717</c:v>
                </c:pt>
                <c:pt idx="1">
                  <c:v>1916</c:v>
                </c:pt>
                <c:pt idx="2">
                  <c:v>2125</c:v>
                </c:pt>
                <c:pt idx="3">
                  <c:v>2379</c:v>
                </c:pt>
                <c:pt idx="4">
                  <c:v>2468</c:v>
                </c:pt>
                <c:pt idx="5">
                  <c:v>2720</c:v>
                </c:pt>
                <c:pt idx="6">
                  <c:v>3017</c:v>
                </c:pt>
                <c:pt idx="7">
                  <c:v>2807</c:v>
                </c:pt>
                <c:pt idx="8">
                  <c:v>3352</c:v>
                </c:pt>
                <c:pt idx="9">
                  <c:v>3092</c:v>
                </c:pt>
                <c:pt idx="10">
                  <c:v>3259</c:v>
                </c:pt>
                <c:pt idx="11">
                  <c:v>3289</c:v>
                </c:pt>
                <c:pt idx="12">
                  <c:v>3588</c:v>
                </c:pt>
                <c:pt idx="13">
                  <c:v>3717</c:v>
                </c:pt>
                <c:pt idx="14">
                  <c:v>3789</c:v>
                </c:pt>
                <c:pt idx="15">
                  <c:v>3374</c:v>
                </c:pt>
                <c:pt idx="16">
                  <c:v>3726</c:v>
                </c:pt>
                <c:pt idx="17">
                  <c:v>3640</c:v>
                </c:pt>
                <c:pt idx="18">
                  <c:v>3992</c:v>
                </c:pt>
                <c:pt idx="19">
                  <c:v>4147</c:v>
                </c:pt>
                <c:pt idx="20">
                  <c:v>4979</c:v>
                </c:pt>
                <c:pt idx="21">
                  <c:v>4335</c:v>
                </c:pt>
                <c:pt idx="22">
                  <c:v>4966</c:v>
                </c:pt>
                <c:pt idx="23">
                  <c:v>4996</c:v>
                </c:pt>
                <c:pt idx="24">
                  <c:v>4264</c:v>
                </c:pt>
                <c:pt idx="25">
                  <c:v>5059</c:v>
                </c:pt>
                <c:pt idx="26">
                  <c:v>5012</c:v>
                </c:pt>
                <c:pt idx="27">
                  <c:v>5656</c:v>
                </c:pt>
                <c:pt idx="28">
                  <c:v>5820</c:v>
                </c:pt>
                <c:pt idx="29">
                  <c:v>5353</c:v>
                </c:pt>
                <c:pt idx="30">
                  <c:v>5484</c:v>
                </c:pt>
                <c:pt idx="31">
                  <c:v>5404</c:v>
                </c:pt>
                <c:pt idx="32">
                  <c:v>5521</c:v>
                </c:pt>
                <c:pt idx="33">
                  <c:v>5615</c:v>
                </c:pt>
                <c:pt idx="34">
                  <c:v>5881</c:v>
                </c:pt>
                <c:pt idx="35">
                  <c:v>6450</c:v>
                </c:pt>
                <c:pt idx="36">
                  <c:v>5950</c:v>
                </c:pt>
                <c:pt idx="37">
                  <c:v>6125</c:v>
                </c:pt>
                <c:pt idx="38">
                  <c:v>6238</c:v>
                </c:pt>
                <c:pt idx="39">
                  <c:v>6624</c:v>
                </c:pt>
                <c:pt idx="40">
                  <c:v>6500</c:v>
                </c:pt>
                <c:pt idx="41">
                  <c:v>7274</c:v>
                </c:pt>
                <c:pt idx="42">
                  <c:v>6986</c:v>
                </c:pt>
                <c:pt idx="43">
                  <c:v>7043</c:v>
                </c:pt>
                <c:pt idx="44">
                  <c:v>7618</c:v>
                </c:pt>
                <c:pt idx="45">
                  <c:v>7646</c:v>
                </c:pt>
                <c:pt idx="46">
                  <c:v>6775</c:v>
                </c:pt>
                <c:pt idx="47">
                  <c:v>6805</c:v>
                </c:pt>
                <c:pt idx="48">
                  <c:v>7875</c:v>
                </c:pt>
                <c:pt idx="49">
                  <c:v>7762</c:v>
                </c:pt>
                <c:pt idx="50">
                  <c:v>7923</c:v>
                </c:pt>
                <c:pt idx="51">
                  <c:v>8309</c:v>
                </c:pt>
                <c:pt idx="52">
                  <c:v>8237</c:v>
                </c:pt>
                <c:pt idx="53">
                  <c:v>8155</c:v>
                </c:pt>
                <c:pt idx="54">
                  <c:v>8448</c:v>
                </c:pt>
                <c:pt idx="55">
                  <c:v>8482</c:v>
                </c:pt>
                <c:pt idx="56">
                  <c:v>8811</c:v>
                </c:pt>
                <c:pt idx="57">
                  <c:v>9029</c:v>
                </c:pt>
                <c:pt idx="58">
                  <c:v>8666</c:v>
                </c:pt>
                <c:pt idx="59">
                  <c:v>8838</c:v>
                </c:pt>
                <c:pt idx="60">
                  <c:v>8885</c:v>
                </c:pt>
                <c:pt idx="61">
                  <c:v>8942</c:v>
                </c:pt>
                <c:pt idx="62">
                  <c:v>9423</c:v>
                </c:pt>
                <c:pt idx="63">
                  <c:v>9125</c:v>
                </c:pt>
                <c:pt idx="64">
                  <c:v>10078</c:v>
                </c:pt>
                <c:pt idx="65">
                  <c:v>9737</c:v>
                </c:pt>
                <c:pt idx="66">
                  <c:v>9860</c:v>
                </c:pt>
                <c:pt idx="67">
                  <c:v>9715</c:v>
                </c:pt>
                <c:pt idx="68">
                  <c:v>10232</c:v>
                </c:pt>
                <c:pt idx="69">
                  <c:v>10364</c:v>
                </c:pt>
                <c:pt idx="70">
                  <c:v>11908</c:v>
                </c:pt>
                <c:pt idx="71">
                  <c:v>12343</c:v>
                </c:pt>
                <c:pt idx="72">
                  <c:v>11573</c:v>
                </c:pt>
                <c:pt idx="73">
                  <c:v>12138</c:v>
                </c:pt>
                <c:pt idx="74">
                  <c:v>12163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1717</c:v>
                </c:pt>
                <c:pt idx="1">
                  <c:v>1916</c:v>
                </c:pt>
                <c:pt idx="2">
                  <c:v>2468</c:v>
                </c:pt>
                <c:pt idx="3">
                  <c:v>2720</c:v>
                </c:pt>
                <c:pt idx="4">
                  <c:v>3017</c:v>
                </c:pt>
                <c:pt idx="5">
                  <c:v>2125</c:v>
                </c:pt>
                <c:pt idx="6">
                  <c:v>2379</c:v>
                </c:pt>
                <c:pt idx="7">
                  <c:v>2807</c:v>
                </c:pt>
                <c:pt idx="8">
                  <c:v>3352</c:v>
                </c:pt>
                <c:pt idx="9">
                  <c:v>3259</c:v>
                </c:pt>
                <c:pt idx="10">
                  <c:v>3092</c:v>
                </c:pt>
                <c:pt idx="11">
                  <c:v>3289</c:v>
                </c:pt>
                <c:pt idx="12">
                  <c:v>3640</c:v>
                </c:pt>
                <c:pt idx="13">
                  <c:v>3374</c:v>
                </c:pt>
                <c:pt idx="14">
                  <c:v>3789</c:v>
                </c:pt>
                <c:pt idx="15">
                  <c:v>3717</c:v>
                </c:pt>
                <c:pt idx="16">
                  <c:v>3726</c:v>
                </c:pt>
                <c:pt idx="17">
                  <c:v>4335</c:v>
                </c:pt>
                <c:pt idx="18">
                  <c:v>5353</c:v>
                </c:pt>
                <c:pt idx="19">
                  <c:v>4979</c:v>
                </c:pt>
                <c:pt idx="20">
                  <c:v>3588</c:v>
                </c:pt>
                <c:pt idx="21">
                  <c:v>3992</c:v>
                </c:pt>
                <c:pt idx="22">
                  <c:v>4264</c:v>
                </c:pt>
                <c:pt idx="23">
                  <c:v>5059</c:v>
                </c:pt>
                <c:pt idx="24">
                  <c:v>5656</c:v>
                </c:pt>
                <c:pt idx="25">
                  <c:v>4147</c:v>
                </c:pt>
                <c:pt idx="26">
                  <c:v>4966</c:v>
                </c:pt>
                <c:pt idx="27">
                  <c:v>5950</c:v>
                </c:pt>
                <c:pt idx="28">
                  <c:v>6125</c:v>
                </c:pt>
                <c:pt idx="29">
                  <c:v>6238</c:v>
                </c:pt>
                <c:pt idx="30">
                  <c:v>5012</c:v>
                </c:pt>
                <c:pt idx="31">
                  <c:v>5404</c:v>
                </c:pt>
                <c:pt idx="32">
                  <c:v>5615</c:v>
                </c:pt>
                <c:pt idx="33">
                  <c:v>5820</c:v>
                </c:pt>
                <c:pt idx="34">
                  <c:v>6775</c:v>
                </c:pt>
                <c:pt idx="35">
                  <c:v>4996</c:v>
                </c:pt>
                <c:pt idx="36">
                  <c:v>5484</c:v>
                </c:pt>
                <c:pt idx="37">
                  <c:v>6450</c:v>
                </c:pt>
                <c:pt idx="38">
                  <c:v>7043</c:v>
                </c:pt>
                <c:pt idx="39">
                  <c:v>7618</c:v>
                </c:pt>
                <c:pt idx="40">
                  <c:v>5881</c:v>
                </c:pt>
                <c:pt idx="41">
                  <c:v>6500</c:v>
                </c:pt>
                <c:pt idx="42">
                  <c:v>6805</c:v>
                </c:pt>
                <c:pt idx="43">
                  <c:v>6624</c:v>
                </c:pt>
                <c:pt idx="44">
                  <c:v>7762</c:v>
                </c:pt>
                <c:pt idx="45">
                  <c:v>5521</c:v>
                </c:pt>
                <c:pt idx="46">
                  <c:v>6986</c:v>
                </c:pt>
                <c:pt idx="47">
                  <c:v>8155</c:v>
                </c:pt>
                <c:pt idx="48">
                  <c:v>8237</c:v>
                </c:pt>
                <c:pt idx="49">
                  <c:v>8838</c:v>
                </c:pt>
                <c:pt idx="50">
                  <c:v>7646</c:v>
                </c:pt>
                <c:pt idx="51">
                  <c:v>8448</c:v>
                </c:pt>
                <c:pt idx="52">
                  <c:v>8885</c:v>
                </c:pt>
                <c:pt idx="53">
                  <c:v>8666</c:v>
                </c:pt>
                <c:pt idx="54">
                  <c:v>10078</c:v>
                </c:pt>
                <c:pt idx="55">
                  <c:v>7274</c:v>
                </c:pt>
                <c:pt idx="56">
                  <c:v>7875</c:v>
                </c:pt>
                <c:pt idx="57">
                  <c:v>9423</c:v>
                </c:pt>
                <c:pt idx="58">
                  <c:v>8942</c:v>
                </c:pt>
                <c:pt idx="59">
                  <c:v>10232</c:v>
                </c:pt>
                <c:pt idx="60">
                  <c:v>8309</c:v>
                </c:pt>
                <c:pt idx="61">
                  <c:v>8482</c:v>
                </c:pt>
                <c:pt idx="62">
                  <c:v>9737</c:v>
                </c:pt>
                <c:pt idx="63">
                  <c:v>10364</c:v>
                </c:pt>
                <c:pt idx="64">
                  <c:v>11573</c:v>
                </c:pt>
                <c:pt idx="65">
                  <c:v>7923</c:v>
                </c:pt>
                <c:pt idx="66">
                  <c:v>9029</c:v>
                </c:pt>
                <c:pt idx="67">
                  <c:v>9715</c:v>
                </c:pt>
                <c:pt idx="68">
                  <c:v>11908</c:v>
                </c:pt>
                <c:pt idx="69">
                  <c:v>12163</c:v>
                </c:pt>
                <c:pt idx="70">
                  <c:v>8811</c:v>
                </c:pt>
                <c:pt idx="71">
                  <c:v>9125</c:v>
                </c:pt>
                <c:pt idx="72">
                  <c:v>9860</c:v>
                </c:pt>
                <c:pt idx="73">
                  <c:v>12343</c:v>
                </c:pt>
                <c:pt idx="74">
                  <c:v>12138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'5.Trend&amp;Season'!$B$4:$B$76</c:f>
              <c:numCache>
                <c:formatCode>0</c:formatCode>
                <c:ptCount val="73"/>
                <c:pt idx="0">
                  <c:v>2197</c:v>
                </c:pt>
                <c:pt idx="1">
                  <c:v>2343</c:v>
                </c:pt>
                <c:pt idx="2">
                  <c:v>2437</c:v>
                </c:pt>
                <c:pt idx="3">
                  <c:v>2094</c:v>
                </c:pt>
                <c:pt idx="4">
                  <c:v>2321</c:v>
                </c:pt>
                <c:pt idx="5">
                  <c:v>2795</c:v>
                </c:pt>
                <c:pt idx="6">
                  <c:v>2980</c:v>
                </c:pt>
                <c:pt idx="7">
                  <c:v>3331</c:v>
                </c:pt>
                <c:pt idx="8">
                  <c:v>2687</c:v>
                </c:pt>
                <c:pt idx="9">
                  <c:v>3419</c:v>
                </c:pt>
                <c:pt idx="10">
                  <c:v>3412</c:v>
                </c:pt>
                <c:pt idx="11">
                  <c:v>4196</c:v>
                </c:pt>
                <c:pt idx="12">
                  <c:v>4297</c:v>
                </c:pt>
                <c:pt idx="13">
                  <c:v>3435</c:v>
                </c:pt>
                <c:pt idx="14">
                  <c:v>3892</c:v>
                </c:pt>
                <c:pt idx="15">
                  <c:v>3883</c:v>
                </c:pt>
                <c:pt idx="16">
                  <c:v>4786</c:v>
                </c:pt>
                <c:pt idx="17">
                  <c:v>5708</c:v>
                </c:pt>
                <c:pt idx="18">
                  <c:v>4018</c:v>
                </c:pt>
                <c:pt idx="19">
                  <c:v>5009</c:v>
                </c:pt>
                <c:pt idx="20">
                  <c:v>5027</c:v>
                </c:pt>
                <c:pt idx="21">
                  <c:v>5590</c:v>
                </c:pt>
                <c:pt idx="22">
                  <c:v>5513</c:v>
                </c:pt>
                <c:pt idx="23">
                  <c:v>4904</c:v>
                </c:pt>
                <c:pt idx="24">
                  <c:v>5376</c:v>
                </c:pt>
                <c:pt idx="25">
                  <c:v>5884</c:v>
                </c:pt>
                <c:pt idx="26">
                  <c:v>6623</c:v>
                </c:pt>
                <c:pt idx="27">
                  <c:v>6734</c:v>
                </c:pt>
                <c:pt idx="28">
                  <c:v>4551</c:v>
                </c:pt>
                <c:pt idx="29">
                  <c:v>5540</c:v>
                </c:pt>
                <c:pt idx="30">
                  <c:v>6567</c:v>
                </c:pt>
                <c:pt idx="31">
                  <c:v>7500</c:v>
                </c:pt>
                <c:pt idx="32">
                  <c:v>7640</c:v>
                </c:pt>
                <c:pt idx="33">
                  <c:v>6528</c:v>
                </c:pt>
                <c:pt idx="34">
                  <c:v>6923</c:v>
                </c:pt>
                <c:pt idx="35">
                  <c:v>7304</c:v>
                </c:pt>
                <c:pt idx="36">
                  <c:v>7739</c:v>
                </c:pt>
                <c:pt idx="37">
                  <c:v>8155</c:v>
                </c:pt>
                <c:pt idx="38">
                  <c:v>6362</c:v>
                </c:pt>
                <c:pt idx="39">
                  <c:v>6928</c:v>
                </c:pt>
                <c:pt idx="40">
                  <c:v>7651</c:v>
                </c:pt>
                <c:pt idx="41">
                  <c:v>8539</c:v>
                </c:pt>
                <c:pt idx="42">
                  <c:v>9743</c:v>
                </c:pt>
                <c:pt idx="43">
                  <c:v>7741</c:v>
                </c:pt>
                <c:pt idx="44">
                  <c:v>8135</c:v>
                </c:pt>
                <c:pt idx="45">
                  <c:v>8613</c:v>
                </c:pt>
                <c:pt idx="46">
                  <c:v>8786</c:v>
                </c:pt>
                <c:pt idx="47">
                  <c:v>10747</c:v>
                </c:pt>
                <c:pt idx="48">
                  <c:v>9088</c:v>
                </c:pt>
                <c:pt idx="49">
                  <c:v>8902</c:v>
                </c:pt>
                <c:pt idx="50">
                  <c:v>9326</c:v>
                </c:pt>
                <c:pt idx="51">
                  <c:v>10188</c:v>
                </c:pt>
                <c:pt idx="52">
                  <c:v>12134</c:v>
                </c:pt>
                <c:pt idx="53">
                  <c:v>9053</c:v>
                </c:pt>
                <c:pt idx="54">
                  <c:v>10100</c:v>
                </c:pt>
                <c:pt idx="55">
                  <c:v>8986</c:v>
                </c:pt>
                <c:pt idx="56">
                  <c:v>11222</c:v>
                </c:pt>
                <c:pt idx="57">
                  <c:v>12135</c:v>
                </c:pt>
                <c:pt idx="58">
                  <c:v>10671</c:v>
                </c:pt>
                <c:pt idx="59">
                  <c:v>9103</c:v>
                </c:pt>
                <c:pt idx="60">
                  <c:v>10688</c:v>
                </c:pt>
                <c:pt idx="61">
                  <c:v>12426</c:v>
                </c:pt>
                <c:pt idx="62">
                  <c:v>12400</c:v>
                </c:pt>
                <c:pt idx="63">
                  <c:v>8791</c:v>
                </c:pt>
                <c:pt idx="64">
                  <c:v>10767</c:v>
                </c:pt>
                <c:pt idx="65">
                  <c:v>12086</c:v>
                </c:pt>
                <c:pt idx="66">
                  <c:v>12876</c:v>
                </c:pt>
                <c:pt idx="67">
                  <c:v>13723</c:v>
                </c:pt>
                <c:pt idx="68">
                  <c:v>10042</c:v>
                </c:pt>
                <c:pt idx="69">
                  <c:v>12169</c:v>
                </c:pt>
                <c:pt idx="70">
                  <c:v>13285</c:v>
                </c:pt>
                <c:pt idx="71">
                  <c:v>14280</c:v>
                </c:pt>
                <c:pt idx="72">
                  <c:v>13771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99-4CA5-81B4-B3BBE23C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03096"/>
        <c:axId val="661031272"/>
      </c:scatterChart>
      <c:scatterChart>
        <c:scatterStyle val="lineMarker"/>
        <c:varyColors val="0"/>
        <c:ser>
          <c:idx val="1"/>
          <c:order val="1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'5.Trend&amp;Season'!$C$4:$C$76</c:f>
              <c:numCache>
                <c:formatCode>0</c:formatCode>
                <c:ptCount val="73"/>
                <c:pt idx="0">
                  <c:v>2056.1999999999998</c:v>
                </c:pt>
                <c:pt idx="1">
                  <c:v>2172.1999999999998</c:v>
                </c:pt>
                <c:pt idx="2">
                  <c:v>2278.4</c:v>
                </c:pt>
                <c:pt idx="3">
                  <c:v>2398</c:v>
                </c:pt>
                <c:pt idx="4">
                  <c:v>2525.4</c:v>
                </c:pt>
                <c:pt idx="5">
                  <c:v>2704.2</c:v>
                </c:pt>
                <c:pt idx="6">
                  <c:v>2822.8</c:v>
                </c:pt>
                <c:pt idx="7">
                  <c:v>3042.4</c:v>
                </c:pt>
                <c:pt idx="8">
                  <c:v>3165.8</c:v>
                </c:pt>
                <c:pt idx="9">
                  <c:v>3409</c:v>
                </c:pt>
                <c:pt idx="10">
                  <c:v>3602.2</c:v>
                </c:pt>
                <c:pt idx="11">
                  <c:v>3751.8</c:v>
                </c:pt>
                <c:pt idx="12">
                  <c:v>3846.4</c:v>
                </c:pt>
                <c:pt idx="13">
                  <c:v>3940.6</c:v>
                </c:pt>
                <c:pt idx="14">
                  <c:v>4058.6</c:v>
                </c:pt>
                <c:pt idx="15">
                  <c:v>4340.8</c:v>
                </c:pt>
                <c:pt idx="16">
                  <c:v>4457.3999999999996</c:v>
                </c:pt>
                <c:pt idx="17">
                  <c:v>4680.8</c:v>
                </c:pt>
                <c:pt idx="18">
                  <c:v>4909.6000000000004</c:v>
                </c:pt>
                <c:pt idx="19">
                  <c:v>5070.3999999999996</c:v>
                </c:pt>
                <c:pt idx="20">
                  <c:v>5031.3999999999996</c:v>
                </c:pt>
                <c:pt idx="21">
                  <c:v>5208.6000000000004</c:v>
                </c:pt>
                <c:pt idx="22">
                  <c:v>5282</c:v>
                </c:pt>
                <c:pt idx="23">
                  <c:v>5453.4</c:v>
                </c:pt>
                <c:pt idx="24">
                  <c:v>5660</c:v>
                </c:pt>
                <c:pt idx="25">
                  <c:v>5904.2</c:v>
                </c:pt>
                <c:pt idx="26">
                  <c:v>5833.6</c:v>
                </c:pt>
                <c:pt idx="27">
                  <c:v>5866.4</c:v>
                </c:pt>
                <c:pt idx="28">
                  <c:v>6003</c:v>
                </c:pt>
                <c:pt idx="29">
                  <c:v>6178.4</c:v>
                </c:pt>
                <c:pt idx="30">
                  <c:v>6359.6</c:v>
                </c:pt>
                <c:pt idx="31">
                  <c:v>6755</c:v>
                </c:pt>
                <c:pt idx="32">
                  <c:v>7031.6</c:v>
                </c:pt>
                <c:pt idx="33">
                  <c:v>7179</c:v>
                </c:pt>
                <c:pt idx="34">
                  <c:v>7226.8</c:v>
                </c:pt>
                <c:pt idx="35">
                  <c:v>7329.8</c:v>
                </c:pt>
                <c:pt idx="36">
                  <c:v>7296.6</c:v>
                </c:pt>
                <c:pt idx="37">
                  <c:v>7297.6</c:v>
                </c:pt>
                <c:pt idx="38">
                  <c:v>7367</c:v>
                </c:pt>
                <c:pt idx="39">
                  <c:v>7527</c:v>
                </c:pt>
                <c:pt idx="40">
                  <c:v>7844.6</c:v>
                </c:pt>
                <c:pt idx="41">
                  <c:v>8120.4</c:v>
                </c:pt>
                <c:pt idx="42">
                  <c:v>8361.7999999999993</c:v>
                </c:pt>
                <c:pt idx="43">
                  <c:v>8554.2000000000007</c:v>
                </c:pt>
                <c:pt idx="44">
                  <c:v>8603.6</c:v>
                </c:pt>
                <c:pt idx="45">
                  <c:v>8804.4</c:v>
                </c:pt>
                <c:pt idx="46">
                  <c:v>9073.7999999999993</c:v>
                </c:pt>
                <c:pt idx="47">
                  <c:v>9227.2000000000007</c:v>
                </c:pt>
                <c:pt idx="48">
                  <c:v>9369.7999999999993</c:v>
                </c:pt>
                <c:pt idx="49">
                  <c:v>9650.2000000000007</c:v>
                </c:pt>
                <c:pt idx="50">
                  <c:v>9927.6</c:v>
                </c:pt>
                <c:pt idx="51">
                  <c:v>9920.6</c:v>
                </c:pt>
                <c:pt idx="52">
                  <c:v>10160.200000000001</c:v>
                </c:pt>
                <c:pt idx="53">
                  <c:v>10092.200000000001</c:v>
                </c:pt>
                <c:pt idx="54">
                  <c:v>10299</c:v>
                </c:pt>
                <c:pt idx="55">
                  <c:v>10299.200000000001</c:v>
                </c:pt>
                <c:pt idx="56">
                  <c:v>10622.8</c:v>
                </c:pt>
                <c:pt idx="57">
                  <c:v>10423.4</c:v>
                </c:pt>
                <c:pt idx="58">
                  <c:v>10763.8</c:v>
                </c:pt>
                <c:pt idx="59">
                  <c:v>11004.6</c:v>
                </c:pt>
                <c:pt idx="60">
                  <c:v>11057.6</c:v>
                </c:pt>
                <c:pt idx="61">
                  <c:v>10681.6</c:v>
                </c:pt>
                <c:pt idx="62">
                  <c:v>11014.4</c:v>
                </c:pt>
                <c:pt idx="63">
                  <c:v>11294</c:v>
                </c:pt>
                <c:pt idx="64">
                  <c:v>11384</c:v>
                </c:pt>
                <c:pt idx="65">
                  <c:v>11648.6</c:v>
                </c:pt>
                <c:pt idx="66">
                  <c:v>11898.8</c:v>
                </c:pt>
                <c:pt idx="67">
                  <c:v>12179.2</c:v>
                </c:pt>
                <c:pt idx="68">
                  <c:v>12419</c:v>
                </c:pt>
                <c:pt idx="69">
                  <c:v>12699.8</c:v>
                </c:pt>
                <c:pt idx="70">
                  <c:v>12709.4</c:v>
                </c:pt>
                <c:pt idx="71">
                  <c:v>13376.25</c:v>
                </c:pt>
                <c:pt idx="72">
                  <c:v>13778.666666666666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99-4CA5-81B4-B3BBE23C7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03096"/>
        <c:axId val="661031272"/>
      </c:scatterChart>
      <c:valAx>
        <c:axId val="6667030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1031272"/>
        <c:crosses val="autoZero"/>
        <c:crossBetween val="midCat"/>
      </c:valAx>
      <c:valAx>
        <c:axId val="661031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703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'5.Trend&amp;Season'!$B$4:$B$76</c:f>
              <c:numCache>
                <c:formatCode>0</c:formatCode>
                <c:ptCount val="73"/>
                <c:pt idx="0">
                  <c:v>2197</c:v>
                </c:pt>
                <c:pt idx="1">
                  <c:v>2343</c:v>
                </c:pt>
                <c:pt idx="2">
                  <c:v>2437</c:v>
                </c:pt>
                <c:pt idx="3">
                  <c:v>2094</c:v>
                </c:pt>
                <c:pt idx="4">
                  <c:v>2321</c:v>
                </c:pt>
                <c:pt idx="5">
                  <c:v>2795</c:v>
                </c:pt>
                <c:pt idx="6">
                  <c:v>2980</c:v>
                </c:pt>
                <c:pt idx="7">
                  <c:v>3331</c:v>
                </c:pt>
                <c:pt idx="8">
                  <c:v>2687</c:v>
                </c:pt>
                <c:pt idx="9">
                  <c:v>3419</c:v>
                </c:pt>
                <c:pt idx="10">
                  <c:v>3412</c:v>
                </c:pt>
                <c:pt idx="11">
                  <c:v>4196</c:v>
                </c:pt>
                <c:pt idx="12">
                  <c:v>4297</c:v>
                </c:pt>
                <c:pt idx="13">
                  <c:v>3435</c:v>
                </c:pt>
                <c:pt idx="14">
                  <c:v>3892</c:v>
                </c:pt>
                <c:pt idx="15">
                  <c:v>3883</c:v>
                </c:pt>
                <c:pt idx="16">
                  <c:v>4786</c:v>
                </c:pt>
                <c:pt idx="17">
                  <c:v>5708</c:v>
                </c:pt>
                <c:pt idx="18">
                  <c:v>4018</c:v>
                </c:pt>
                <c:pt idx="19">
                  <c:v>5009</c:v>
                </c:pt>
                <c:pt idx="20">
                  <c:v>5027</c:v>
                </c:pt>
                <c:pt idx="21">
                  <c:v>5590</c:v>
                </c:pt>
                <c:pt idx="22">
                  <c:v>5513</c:v>
                </c:pt>
                <c:pt idx="23">
                  <c:v>4904</c:v>
                </c:pt>
                <c:pt idx="24">
                  <c:v>5376</c:v>
                </c:pt>
                <c:pt idx="25">
                  <c:v>5884</c:v>
                </c:pt>
                <c:pt idx="26">
                  <c:v>6623</c:v>
                </c:pt>
                <c:pt idx="27">
                  <c:v>6734</c:v>
                </c:pt>
                <c:pt idx="28">
                  <c:v>4551</c:v>
                </c:pt>
                <c:pt idx="29">
                  <c:v>5540</c:v>
                </c:pt>
                <c:pt idx="30">
                  <c:v>6567</c:v>
                </c:pt>
                <c:pt idx="31">
                  <c:v>7500</c:v>
                </c:pt>
                <c:pt idx="32">
                  <c:v>7640</c:v>
                </c:pt>
                <c:pt idx="33">
                  <c:v>6528</c:v>
                </c:pt>
                <c:pt idx="34">
                  <c:v>6923</c:v>
                </c:pt>
                <c:pt idx="35">
                  <c:v>7304</c:v>
                </c:pt>
                <c:pt idx="36">
                  <c:v>7739</c:v>
                </c:pt>
                <c:pt idx="37">
                  <c:v>8155</c:v>
                </c:pt>
                <c:pt idx="38">
                  <c:v>6362</c:v>
                </c:pt>
                <c:pt idx="39">
                  <c:v>6928</c:v>
                </c:pt>
                <c:pt idx="40">
                  <c:v>7651</c:v>
                </c:pt>
                <c:pt idx="41">
                  <c:v>8539</c:v>
                </c:pt>
                <c:pt idx="42">
                  <c:v>9743</c:v>
                </c:pt>
                <c:pt idx="43">
                  <c:v>7741</c:v>
                </c:pt>
                <c:pt idx="44">
                  <c:v>8135</c:v>
                </c:pt>
                <c:pt idx="45">
                  <c:v>8613</c:v>
                </c:pt>
                <c:pt idx="46">
                  <c:v>8786</c:v>
                </c:pt>
                <c:pt idx="47">
                  <c:v>10747</c:v>
                </c:pt>
                <c:pt idx="48">
                  <c:v>9088</c:v>
                </c:pt>
                <c:pt idx="49">
                  <c:v>8902</c:v>
                </c:pt>
                <c:pt idx="50">
                  <c:v>9326</c:v>
                </c:pt>
                <c:pt idx="51">
                  <c:v>10188</c:v>
                </c:pt>
                <c:pt idx="52">
                  <c:v>12134</c:v>
                </c:pt>
                <c:pt idx="53">
                  <c:v>9053</c:v>
                </c:pt>
                <c:pt idx="54">
                  <c:v>10100</c:v>
                </c:pt>
                <c:pt idx="55">
                  <c:v>8986</c:v>
                </c:pt>
                <c:pt idx="56">
                  <c:v>11222</c:v>
                </c:pt>
                <c:pt idx="57">
                  <c:v>12135</c:v>
                </c:pt>
                <c:pt idx="58">
                  <c:v>10671</c:v>
                </c:pt>
                <c:pt idx="59">
                  <c:v>9103</c:v>
                </c:pt>
                <c:pt idx="60">
                  <c:v>10688</c:v>
                </c:pt>
                <c:pt idx="61">
                  <c:v>12426</c:v>
                </c:pt>
                <c:pt idx="62">
                  <c:v>12400</c:v>
                </c:pt>
                <c:pt idx="63">
                  <c:v>8791</c:v>
                </c:pt>
                <c:pt idx="64">
                  <c:v>10767</c:v>
                </c:pt>
                <c:pt idx="65">
                  <c:v>12086</c:v>
                </c:pt>
                <c:pt idx="66">
                  <c:v>12876</c:v>
                </c:pt>
                <c:pt idx="67">
                  <c:v>13723</c:v>
                </c:pt>
                <c:pt idx="68">
                  <c:v>10042</c:v>
                </c:pt>
                <c:pt idx="69">
                  <c:v>12169</c:v>
                </c:pt>
                <c:pt idx="70">
                  <c:v>13285</c:v>
                </c:pt>
                <c:pt idx="71">
                  <c:v>14280</c:v>
                </c:pt>
                <c:pt idx="72">
                  <c:v>13771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3B-45CB-96DE-8D1EC3BC9067}"/>
            </c:ext>
          </c:extLst>
        </c:ser>
        <c:ser>
          <c:idx val="1"/>
          <c:order val="1"/>
          <c:marker>
            <c:symbol val="none"/>
          </c:marker>
          <c:xVal>
            <c:numRef>
              <c:f>'5.Trend&amp;Season'!$A$4:$A$76</c:f>
              <c:numCache>
                <c:formatCode>General</c:formatCode>
                <c:ptCount val="7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53</c:v>
                </c:pt>
                <c:pt idx="51">
                  <c:v>54</c:v>
                </c:pt>
                <c:pt idx="52">
                  <c:v>55</c:v>
                </c:pt>
                <c:pt idx="53">
                  <c:v>56</c:v>
                </c:pt>
                <c:pt idx="54">
                  <c:v>57</c:v>
                </c:pt>
                <c:pt idx="55">
                  <c:v>58</c:v>
                </c:pt>
                <c:pt idx="56">
                  <c:v>59</c:v>
                </c:pt>
                <c:pt idx="57">
                  <c:v>60</c:v>
                </c:pt>
                <c:pt idx="58">
                  <c:v>61</c:v>
                </c:pt>
                <c:pt idx="59">
                  <c:v>62</c:v>
                </c:pt>
                <c:pt idx="60">
                  <c:v>63</c:v>
                </c:pt>
                <c:pt idx="61">
                  <c:v>64</c:v>
                </c:pt>
                <c:pt idx="62">
                  <c:v>65</c:v>
                </c:pt>
                <c:pt idx="63">
                  <c:v>66</c:v>
                </c:pt>
                <c:pt idx="64">
                  <c:v>67</c:v>
                </c:pt>
                <c:pt idx="65">
                  <c:v>68</c:v>
                </c:pt>
                <c:pt idx="66">
                  <c:v>69</c:v>
                </c:pt>
                <c:pt idx="67">
                  <c:v>70</c:v>
                </c:pt>
                <c:pt idx="68">
                  <c:v>71</c:v>
                </c:pt>
                <c:pt idx="69">
                  <c:v>72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</c:numCache>
            </c:numRef>
          </c:xVal>
          <c:yVal>
            <c:numRef>
              <c:f>'5.Trend&amp;Season'!$G$4:$G$76</c:f>
              <c:numCache>
                <c:formatCode>General</c:formatCode>
                <c:ptCount val="73"/>
                <c:pt idx="0">
                  <c:v>1942.8043551263643</c:v>
                </c:pt>
                <c:pt idx="1">
                  <c:v>2277.6615844352027</c:v>
                </c:pt>
                <c:pt idx="2">
                  <c:v>2549.5465162510641</c:v>
                </c:pt>
                <c:pt idx="3">
                  <c:v>2101.3520120163066</c:v>
                </c:pt>
                <c:pt idx="4">
                  <c:v>2418.8937551908366</c:v>
                </c:pt>
                <c:pt idx="5">
                  <c:v>2698.2621178911554</c:v>
                </c:pt>
                <c:pt idx="6">
                  <c:v>3099.4202585900061</c:v>
                </c:pt>
                <c:pt idx="7">
                  <c:v>3407.4910443833114</c:v>
                </c:pt>
                <c:pt idx="8">
                  <c:v>2763.8855433850476</c:v>
                </c:pt>
                <c:pt idx="9">
                  <c:v>3136.306279318198</c:v>
                </c:pt>
                <c:pt idx="10">
                  <c:v>3453.7198806559468</c:v>
                </c:pt>
                <c:pt idx="11">
                  <c:v>3921.1789327448096</c:v>
                </c:pt>
                <c:pt idx="12">
                  <c:v>4265.4355725155592</c:v>
                </c:pt>
                <c:pt idx="13">
                  <c:v>3426.4190747537887</c:v>
                </c:pt>
                <c:pt idx="14">
                  <c:v>3853.7188034455598</c:v>
                </c:pt>
                <c:pt idx="15">
                  <c:v>4209.1776434207377</c:v>
                </c:pt>
                <c:pt idx="16">
                  <c:v>4742.9376068996125</c:v>
                </c:pt>
                <c:pt idx="17">
                  <c:v>5123.380100647807</c:v>
                </c:pt>
                <c:pt idx="18">
                  <c:v>4088.9526061225297</c:v>
                </c:pt>
                <c:pt idx="19">
                  <c:v>4571.1313275729208</c:v>
                </c:pt>
                <c:pt idx="20">
                  <c:v>4964.63540618553</c:v>
                </c:pt>
                <c:pt idx="21">
                  <c:v>5564.6962810544155</c:v>
                </c:pt>
                <c:pt idx="22">
                  <c:v>5981.324628780053</c:v>
                </c:pt>
                <c:pt idx="23">
                  <c:v>4751.4861374912707</c:v>
                </c:pt>
                <c:pt idx="24">
                  <c:v>5288.5438517002822</c:v>
                </c:pt>
                <c:pt idx="25">
                  <c:v>5720.0931689503213</c:v>
                </c:pt>
                <c:pt idx="26">
                  <c:v>6386.4549552092185</c:v>
                </c:pt>
                <c:pt idx="27">
                  <c:v>6839.2691569123017</c:v>
                </c:pt>
                <c:pt idx="28">
                  <c:v>5414.0196688600117</c:v>
                </c:pt>
                <c:pt idx="29">
                  <c:v>6005.9563758276436</c:v>
                </c:pt>
                <c:pt idx="30">
                  <c:v>6475.5509317151127</c:v>
                </c:pt>
                <c:pt idx="31">
                  <c:v>7208.2136293640215</c:v>
                </c:pt>
                <c:pt idx="32">
                  <c:v>7697.2136850445486</c:v>
                </c:pt>
                <c:pt idx="33">
                  <c:v>6076.5532002287537</c:v>
                </c:pt>
                <c:pt idx="34">
                  <c:v>6723.368899955005</c:v>
                </c:pt>
                <c:pt idx="35">
                  <c:v>7231.0086944799041</c:v>
                </c:pt>
                <c:pt idx="36">
                  <c:v>8029.9723035188254</c:v>
                </c:pt>
                <c:pt idx="37">
                  <c:v>8555.1582131767955</c:v>
                </c:pt>
                <c:pt idx="38">
                  <c:v>6739.0867315974956</c:v>
                </c:pt>
                <c:pt idx="39">
                  <c:v>7440.7814240823664</c:v>
                </c:pt>
                <c:pt idx="40">
                  <c:v>7986.4664572446945</c:v>
                </c:pt>
                <c:pt idx="41">
                  <c:v>8851.7309776736274</c:v>
                </c:pt>
                <c:pt idx="42">
                  <c:v>9413.1027413090433</c:v>
                </c:pt>
                <c:pt idx="43">
                  <c:v>7401.6202629662366</c:v>
                </c:pt>
                <c:pt idx="44">
                  <c:v>8158.1939482097278</c:v>
                </c:pt>
                <c:pt idx="45">
                  <c:v>8741.9242200094868</c:v>
                </c:pt>
                <c:pt idx="46">
                  <c:v>9673.4896518284313</c:v>
                </c:pt>
                <c:pt idx="47">
                  <c:v>10271.047269441291</c:v>
                </c:pt>
                <c:pt idx="48">
                  <c:v>8064.1537943349767</c:v>
                </c:pt>
                <c:pt idx="49">
                  <c:v>8875.6064723370873</c:v>
                </c:pt>
                <c:pt idx="50">
                  <c:v>9497.3819827742773</c:v>
                </c:pt>
                <c:pt idx="51">
                  <c:v>10495.248325983237</c:v>
                </c:pt>
                <c:pt idx="52">
                  <c:v>11128.991797573539</c:v>
                </c:pt>
                <c:pt idx="53">
                  <c:v>8726.6873257037187</c:v>
                </c:pt>
                <c:pt idx="54">
                  <c:v>9593.0189964644505</c:v>
                </c:pt>
                <c:pt idx="55">
                  <c:v>10252.839745539068</c:v>
                </c:pt>
                <c:pt idx="56">
                  <c:v>11317.007000138035</c:v>
                </c:pt>
                <c:pt idx="57">
                  <c:v>11986.936325705787</c:v>
                </c:pt>
                <c:pt idx="58">
                  <c:v>9389.2208570724597</c:v>
                </c:pt>
                <c:pt idx="59">
                  <c:v>10310.431520591812</c:v>
                </c:pt>
                <c:pt idx="60">
                  <c:v>11008.29750830386</c:v>
                </c:pt>
                <c:pt idx="61">
                  <c:v>12138.765674292841</c:v>
                </c:pt>
                <c:pt idx="62">
                  <c:v>12844.880853838031</c:v>
                </c:pt>
                <c:pt idx="63">
                  <c:v>10051.754388441203</c:v>
                </c:pt>
                <c:pt idx="64">
                  <c:v>11027.844044719173</c:v>
                </c:pt>
                <c:pt idx="65">
                  <c:v>11763.755271068652</c:v>
                </c:pt>
                <c:pt idx="66">
                  <c:v>12960.524348447645</c:v>
                </c:pt>
                <c:pt idx="67">
                  <c:v>13702.82538197028</c:v>
                </c:pt>
                <c:pt idx="68">
                  <c:v>10714.287919809942</c:v>
                </c:pt>
                <c:pt idx="69">
                  <c:v>11745.256568846533</c:v>
                </c:pt>
                <c:pt idx="70">
                  <c:v>12519.213033833445</c:v>
                </c:pt>
                <c:pt idx="71">
                  <c:v>13782.283022602449</c:v>
                </c:pt>
                <c:pt idx="72">
                  <c:v>14560.769910102528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3B-45CB-96DE-8D1EC3BC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599520"/>
        <c:axId val="228969872"/>
      </c:scatterChart>
      <c:valAx>
        <c:axId val="6635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969872"/>
        <c:crosses val="autoZero"/>
        <c:crossBetween val="midCat"/>
      </c:valAx>
      <c:valAx>
        <c:axId val="228969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599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'5.Trend&amp;Season'!$B$1</c:f>
              <c:strCache>
                <c:ptCount val="1"/>
                <c:pt idx="0">
                  <c:v>Trend&amp;S</c:v>
                </c:pt>
              </c:strCache>
            </c:strRef>
          </c:tx>
          <c:xVal>
            <c:numRef>
              <c:f>'5.Trend&amp;Season'!$A$2:$A$76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'5.Trend&amp;Season'!$B$2:$B$76</c:f>
              <c:numCache>
                <c:formatCode>0</c:formatCode>
                <c:ptCount val="75"/>
                <c:pt idx="0">
                  <c:v>1514</c:v>
                </c:pt>
                <c:pt idx="1">
                  <c:v>1790</c:v>
                </c:pt>
                <c:pt idx="2">
                  <c:v>2197</c:v>
                </c:pt>
                <c:pt idx="3">
                  <c:v>2343</c:v>
                </c:pt>
                <c:pt idx="4">
                  <c:v>2437</c:v>
                </c:pt>
                <c:pt idx="5">
                  <c:v>2094</c:v>
                </c:pt>
                <c:pt idx="6">
                  <c:v>2321</c:v>
                </c:pt>
                <c:pt idx="7">
                  <c:v>2795</c:v>
                </c:pt>
                <c:pt idx="8">
                  <c:v>2980</c:v>
                </c:pt>
                <c:pt idx="9">
                  <c:v>3331</c:v>
                </c:pt>
                <c:pt idx="10">
                  <c:v>2687</c:v>
                </c:pt>
                <c:pt idx="11">
                  <c:v>3419</c:v>
                </c:pt>
                <c:pt idx="12">
                  <c:v>3412</c:v>
                </c:pt>
                <c:pt idx="13">
                  <c:v>4196</c:v>
                </c:pt>
                <c:pt idx="14">
                  <c:v>4297</c:v>
                </c:pt>
                <c:pt idx="15">
                  <c:v>3435</c:v>
                </c:pt>
                <c:pt idx="16">
                  <c:v>3892</c:v>
                </c:pt>
                <c:pt idx="17">
                  <c:v>3883</c:v>
                </c:pt>
                <c:pt idx="18">
                  <c:v>4786</c:v>
                </c:pt>
                <c:pt idx="19">
                  <c:v>5708</c:v>
                </c:pt>
                <c:pt idx="20">
                  <c:v>4018</c:v>
                </c:pt>
                <c:pt idx="21">
                  <c:v>5009</c:v>
                </c:pt>
                <c:pt idx="22">
                  <c:v>5027</c:v>
                </c:pt>
                <c:pt idx="23">
                  <c:v>5590</c:v>
                </c:pt>
                <c:pt idx="24">
                  <c:v>5513</c:v>
                </c:pt>
                <c:pt idx="25">
                  <c:v>4904</c:v>
                </c:pt>
                <c:pt idx="26">
                  <c:v>5376</c:v>
                </c:pt>
                <c:pt idx="27">
                  <c:v>5884</c:v>
                </c:pt>
                <c:pt idx="28">
                  <c:v>6623</c:v>
                </c:pt>
                <c:pt idx="29">
                  <c:v>6734</c:v>
                </c:pt>
                <c:pt idx="30">
                  <c:v>4551</c:v>
                </c:pt>
                <c:pt idx="31">
                  <c:v>5540</c:v>
                </c:pt>
                <c:pt idx="32">
                  <c:v>6567</c:v>
                </c:pt>
                <c:pt idx="33">
                  <c:v>7500</c:v>
                </c:pt>
                <c:pt idx="34">
                  <c:v>7640</c:v>
                </c:pt>
                <c:pt idx="35">
                  <c:v>6528</c:v>
                </c:pt>
                <c:pt idx="36">
                  <c:v>6923</c:v>
                </c:pt>
                <c:pt idx="37">
                  <c:v>7304</c:v>
                </c:pt>
                <c:pt idx="38">
                  <c:v>7739</c:v>
                </c:pt>
                <c:pt idx="39">
                  <c:v>8155</c:v>
                </c:pt>
                <c:pt idx="40">
                  <c:v>6362</c:v>
                </c:pt>
                <c:pt idx="41">
                  <c:v>6928</c:v>
                </c:pt>
                <c:pt idx="42">
                  <c:v>7651</c:v>
                </c:pt>
                <c:pt idx="43">
                  <c:v>8539</c:v>
                </c:pt>
                <c:pt idx="44">
                  <c:v>9743</c:v>
                </c:pt>
                <c:pt idx="45">
                  <c:v>7741</c:v>
                </c:pt>
                <c:pt idx="46">
                  <c:v>8135</c:v>
                </c:pt>
                <c:pt idx="47">
                  <c:v>8613</c:v>
                </c:pt>
                <c:pt idx="48">
                  <c:v>8786</c:v>
                </c:pt>
                <c:pt idx="49">
                  <c:v>10747</c:v>
                </c:pt>
                <c:pt idx="50">
                  <c:v>9088</c:v>
                </c:pt>
                <c:pt idx="51">
                  <c:v>8902</c:v>
                </c:pt>
                <c:pt idx="52">
                  <c:v>9326</c:v>
                </c:pt>
                <c:pt idx="53">
                  <c:v>10188</c:v>
                </c:pt>
                <c:pt idx="54">
                  <c:v>12134</c:v>
                </c:pt>
                <c:pt idx="55">
                  <c:v>9053</c:v>
                </c:pt>
                <c:pt idx="56">
                  <c:v>10100</c:v>
                </c:pt>
                <c:pt idx="57">
                  <c:v>8986</c:v>
                </c:pt>
                <c:pt idx="58">
                  <c:v>11222</c:v>
                </c:pt>
                <c:pt idx="59">
                  <c:v>12135</c:v>
                </c:pt>
                <c:pt idx="60">
                  <c:v>10671</c:v>
                </c:pt>
                <c:pt idx="61">
                  <c:v>9103</c:v>
                </c:pt>
                <c:pt idx="62">
                  <c:v>10688</c:v>
                </c:pt>
                <c:pt idx="63">
                  <c:v>12426</c:v>
                </c:pt>
                <c:pt idx="64">
                  <c:v>12400</c:v>
                </c:pt>
                <c:pt idx="65">
                  <c:v>8791</c:v>
                </c:pt>
                <c:pt idx="66">
                  <c:v>10767</c:v>
                </c:pt>
                <c:pt idx="67">
                  <c:v>12086</c:v>
                </c:pt>
                <c:pt idx="68">
                  <c:v>12876</c:v>
                </c:pt>
                <c:pt idx="69">
                  <c:v>13723</c:v>
                </c:pt>
                <c:pt idx="70">
                  <c:v>10042</c:v>
                </c:pt>
                <c:pt idx="71">
                  <c:v>12169</c:v>
                </c:pt>
                <c:pt idx="72">
                  <c:v>13285</c:v>
                </c:pt>
                <c:pt idx="73">
                  <c:v>14280</c:v>
                </c:pt>
                <c:pt idx="74">
                  <c:v>13771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D-4DC0-AD53-0DE1DBED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458544"/>
        <c:axId val="669458936"/>
      </c:scatterChart>
      <c:valAx>
        <c:axId val="669458544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9458936"/>
        <c:crosses val="autoZero"/>
        <c:crossBetween val="midCat"/>
      </c:valAx>
      <c:valAx>
        <c:axId val="66945893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6694585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'5.Trend&amp;Season'!$B$1</c:f>
              <c:strCache>
                <c:ptCount val="1"/>
                <c:pt idx="0">
                  <c:v>Trend&amp;S</c:v>
                </c:pt>
              </c:strCache>
            </c:strRef>
          </c:tx>
          <c:marker>
            <c:symbol val="none"/>
          </c:marker>
          <c:xVal>
            <c:numRef>
              <c:f>'5.Trend&amp;Season'!$A$2:$A$76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'5.Trend&amp;Season'!$C$2:$C$76</c:f>
              <c:numCache>
                <c:formatCode>General</c:formatCode>
                <c:ptCount val="75"/>
                <c:pt idx="2" formatCode="0">
                  <c:v>2056.1999999999998</c:v>
                </c:pt>
                <c:pt idx="3" formatCode="0">
                  <c:v>2172.1999999999998</c:v>
                </c:pt>
                <c:pt idx="4" formatCode="0">
                  <c:v>2278.4</c:v>
                </c:pt>
                <c:pt idx="5" formatCode="0">
                  <c:v>2398</c:v>
                </c:pt>
                <c:pt idx="6" formatCode="0">
                  <c:v>2525.4</c:v>
                </c:pt>
                <c:pt idx="7" formatCode="0">
                  <c:v>2704.2</c:v>
                </c:pt>
                <c:pt idx="8" formatCode="0">
                  <c:v>2822.8</c:v>
                </c:pt>
                <c:pt idx="9" formatCode="0">
                  <c:v>3042.4</c:v>
                </c:pt>
                <c:pt idx="10" formatCode="0">
                  <c:v>3165.8</c:v>
                </c:pt>
                <c:pt idx="11" formatCode="0">
                  <c:v>3409</c:v>
                </c:pt>
                <c:pt idx="12" formatCode="0">
                  <c:v>3602.2</c:v>
                </c:pt>
                <c:pt idx="13" formatCode="0">
                  <c:v>3751.8</c:v>
                </c:pt>
                <c:pt idx="14" formatCode="0">
                  <c:v>3846.4</c:v>
                </c:pt>
                <c:pt idx="15" formatCode="0">
                  <c:v>3940.6</c:v>
                </c:pt>
                <c:pt idx="16" formatCode="0">
                  <c:v>4058.6</c:v>
                </c:pt>
                <c:pt idx="17" formatCode="0">
                  <c:v>4340.8</c:v>
                </c:pt>
                <c:pt idx="18" formatCode="0">
                  <c:v>4457.3999999999996</c:v>
                </c:pt>
                <c:pt idx="19" formatCode="0">
                  <c:v>4680.8</c:v>
                </c:pt>
                <c:pt idx="20" formatCode="0">
                  <c:v>4909.6000000000004</c:v>
                </c:pt>
                <c:pt idx="21" formatCode="0">
                  <c:v>5070.3999999999996</c:v>
                </c:pt>
                <c:pt idx="22" formatCode="0">
                  <c:v>5031.3999999999996</c:v>
                </c:pt>
                <c:pt idx="23" formatCode="0">
                  <c:v>5208.6000000000004</c:v>
                </c:pt>
                <c:pt idx="24" formatCode="0">
                  <c:v>5282</c:v>
                </c:pt>
                <c:pt idx="25" formatCode="0">
                  <c:v>5453.4</c:v>
                </c:pt>
                <c:pt idx="26" formatCode="0">
                  <c:v>5660</c:v>
                </c:pt>
                <c:pt idx="27" formatCode="0">
                  <c:v>5904.2</c:v>
                </c:pt>
                <c:pt idx="28" formatCode="0">
                  <c:v>5833.6</c:v>
                </c:pt>
                <c:pt idx="29" formatCode="0">
                  <c:v>5866.4</c:v>
                </c:pt>
                <c:pt idx="30" formatCode="0">
                  <c:v>6003</c:v>
                </c:pt>
                <c:pt idx="31" formatCode="0">
                  <c:v>6178.4</c:v>
                </c:pt>
                <c:pt idx="32" formatCode="0">
                  <c:v>6359.6</c:v>
                </c:pt>
                <c:pt idx="33" formatCode="0">
                  <c:v>6755</c:v>
                </c:pt>
                <c:pt idx="34" formatCode="0">
                  <c:v>7031.6</c:v>
                </c:pt>
                <c:pt idx="35" formatCode="0">
                  <c:v>7179</c:v>
                </c:pt>
                <c:pt idx="36" formatCode="0">
                  <c:v>7226.8</c:v>
                </c:pt>
                <c:pt idx="37" formatCode="0">
                  <c:v>7329.8</c:v>
                </c:pt>
                <c:pt idx="38" formatCode="0">
                  <c:v>7296.6</c:v>
                </c:pt>
                <c:pt idx="39" formatCode="0">
                  <c:v>7297.6</c:v>
                </c:pt>
                <c:pt idx="40" formatCode="0">
                  <c:v>7367</c:v>
                </c:pt>
                <c:pt idx="41" formatCode="0">
                  <c:v>7527</c:v>
                </c:pt>
                <c:pt idx="42" formatCode="0">
                  <c:v>7844.6</c:v>
                </c:pt>
                <c:pt idx="43" formatCode="0">
                  <c:v>8120.4</c:v>
                </c:pt>
                <c:pt idx="44" formatCode="0">
                  <c:v>8361.7999999999993</c:v>
                </c:pt>
                <c:pt idx="45" formatCode="0">
                  <c:v>8554.2000000000007</c:v>
                </c:pt>
                <c:pt idx="46" formatCode="0">
                  <c:v>8603.6</c:v>
                </c:pt>
                <c:pt idx="47" formatCode="0">
                  <c:v>8804.4</c:v>
                </c:pt>
                <c:pt idx="48" formatCode="0">
                  <c:v>9073.7999999999993</c:v>
                </c:pt>
                <c:pt idx="49" formatCode="0">
                  <c:v>9227.2000000000007</c:v>
                </c:pt>
                <c:pt idx="50" formatCode="0">
                  <c:v>9369.7999999999993</c:v>
                </c:pt>
                <c:pt idx="51" formatCode="0">
                  <c:v>9650.2000000000007</c:v>
                </c:pt>
                <c:pt idx="52" formatCode="0">
                  <c:v>9927.6</c:v>
                </c:pt>
                <c:pt idx="53" formatCode="0">
                  <c:v>9920.6</c:v>
                </c:pt>
                <c:pt idx="54" formatCode="0">
                  <c:v>10160.200000000001</c:v>
                </c:pt>
                <c:pt idx="55" formatCode="0">
                  <c:v>10092.200000000001</c:v>
                </c:pt>
                <c:pt idx="56" formatCode="0">
                  <c:v>10299</c:v>
                </c:pt>
                <c:pt idx="57" formatCode="0">
                  <c:v>10299.200000000001</c:v>
                </c:pt>
                <c:pt idx="58" formatCode="0">
                  <c:v>10622.8</c:v>
                </c:pt>
                <c:pt idx="59" formatCode="0">
                  <c:v>10423.4</c:v>
                </c:pt>
                <c:pt idx="60" formatCode="0">
                  <c:v>10763.8</c:v>
                </c:pt>
                <c:pt idx="61" formatCode="0">
                  <c:v>11004.6</c:v>
                </c:pt>
                <c:pt idx="62" formatCode="0">
                  <c:v>11057.6</c:v>
                </c:pt>
                <c:pt idx="63" formatCode="0">
                  <c:v>10681.6</c:v>
                </c:pt>
                <c:pt idx="64" formatCode="0">
                  <c:v>11014.4</c:v>
                </c:pt>
                <c:pt idx="65" formatCode="0">
                  <c:v>11294</c:v>
                </c:pt>
                <c:pt idx="66" formatCode="0">
                  <c:v>11384</c:v>
                </c:pt>
                <c:pt idx="67" formatCode="0">
                  <c:v>11648.6</c:v>
                </c:pt>
                <c:pt idx="68" formatCode="0">
                  <c:v>11898.8</c:v>
                </c:pt>
                <c:pt idx="69" formatCode="0">
                  <c:v>12179.2</c:v>
                </c:pt>
                <c:pt idx="70" formatCode="0">
                  <c:v>12419</c:v>
                </c:pt>
                <c:pt idx="71" formatCode="0">
                  <c:v>12699.8</c:v>
                </c:pt>
                <c:pt idx="72" formatCode="0">
                  <c:v>12709.4</c:v>
                </c:pt>
                <c:pt idx="73" formatCode="0">
                  <c:v>13376.25</c:v>
                </c:pt>
                <c:pt idx="74" formatCode="0">
                  <c:v>13778.666666666666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74-4D2D-BB3C-D57A208D7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459720"/>
        <c:axId val="669460112"/>
      </c:scatterChart>
      <c:valAx>
        <c:axId val="66945972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9460112"/>
        <c:crosses val="autoZero"/>
        <c:crossBetween val="midCat"/>
      </c:valAx>
      <c:valAx>
        <c:axId val="66946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94597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172</c:v>
                </c:pt>
                <c:pt idx="1">
                  <c:v>192</c:v>
                </c:pt>
                <c:pt idx="2">
                  <c:v>213</c:v>
                </c:pt>
                <c:pt idx="3">
                  <c:v>238</c:v>
                </c:pt>
                <c:pt idx="4">
                  <c:v>247</c:v>
                </c:pt>
                <c:pt idx="5">
                  <c:v>272</c:v>
                </c:pt>
                <c:pt idx="6">
                  <c:v>302</c:v>
                </c:pt>
                <c:pt idx="7">
                  <c:v>281</c:v>
                </c:pt>
                <c:pt idx="8">
                  <c:v>335</c:v>
                </c:pt>
                <c:pt idx="9">
                  <c:v>309</c:v>
                </c:pt>
                <c:pt idx="10">
                  <c:v>326</c:v>
                </c:pt>
                <c:pt idx="11">
                  <c:v>329</c:v>
                </c:pt>
                <c:pt idx="12">
                  <c:v>359</c:v>
                </c:pt>
                <c:pt idx="13">
                  <c:v>372</c:v>
                </c:pt>
                <c:pt idx="14">
                  <c:v>379</c:v>
                </c:pt>
                <c:pt idx="15">
                  <c:v>337</c:v>
                </c:pt>
                <c:pt idx="16">
                  <c:v>373</c:v>
                </c:pt>
                <c:pt idx="17">
                  <c:v>364</c:v>
                </c:pt>
                <c:pt idx="18">
                  <c:v>399</c:v>
                </c:pt>
                <c:pt idx="19">
                  <c:v>415</c:v>
                </c:pt>
                <c:pt idx="20">
                  <c:v>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172</c:v>
                </c:pt>
                <c:pt idx="1">
                  <c:v>182</c:v>
                </c:pt>
                <c:pt idx="2">
                  <c:v>197.5</c:v>
                </c:pt>
                <c:pt idx="3">
                  <c:v>217.75</c:v>
                </c:pt>
                <c:pt idx="4">
                  <c:v>232.375</c:v>
                </c:pt>
                <c:pt idx="5">
                  <c:v>252.1875</c:v>
                </c:pt>
                <c:pt idx="6">
                  <c:v>277.09375</c:v>
                </c:pt>
                <c:pt idx="7">
                  <c:v>279.046875</c:v>
                </c:pt>
                <c:pt idx="8">
                  <c:v>307.0234375</c:v>
                </c:pt>
                <c:pt idx="9">
                  <c:v>308.01171875</c:v>
                </c:pt>
                <c:pt idx="10">
                  <c:v>317.005859375</c:v>
                </c:pt>
                <c:pt idx="11">
                  <c:v>323.0029296875</c:v>
                </c:pt>
                <c:pt idx="12">
                  <c:v>341.00146484375</c:v>
                </c:pt>
                <c:pt idx="13">
                  <c:v>356.500732421875</c:v>
                </c:pt>
                <c:pt idx="14">
                  <c:v>367.7503662109375</c:v>
                </c:pt>
                <c:pt idx="15">
                  <c:v>352.37518310546875</c:v>
                </c:pt>
                <c:pt idx="16">
                  <c:v>362.68759155273438</c:v>
                </c:pt>
                <c:pt idx="17">
                  <c:v>363.34379577636719</c:v>
                </c:pt>
                <c:pt idx="18">
                  <c:v>381.17189788818359</c:v>
                </c:pt>
                <c:pt idx="19">
                  <c:v>398.0859489440918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197.96969696969694</c:v>
                </c:pt>
                <c:pt idx="1">
                  <c:v>201.06731601731599</c:v>
                </c:pt>
                <c:pt idx="2">
                  <c:v>215.07489177489177</c:v>
                </c:pt>
                <c:pt idx="3">
                  <c:v>235.80806277056274</c:v>
                </c:pt>
                <c:pt idx="4">
                  <c:v>252.28933982683981</c:v>
                </c:pt>
                <c:pt idx="5">
                  <c:v>269.83732413419915</c:v>
                </c:pt>
                <c:pt idx="6">
                  <c:v>296.01498917748921</c:v>
                </c:pt>
                <c:pt idx="7">
                  <c:v>301.05565814393947</c:v>
                </c:pt>
                <c:pt idx="8">
                  <c:v>319.05191084956715</c:v>
                </c:pt>
                <c:pt idx="9">
                  <c:v>328.03799631358225</c:v>
                </c:pt>
                <c:pt idx="10">
                  <c:v>327.52501860119042</c:v>
                </c:pt>
                <c:pt idx="11">
                  <c:v>332.76551952279488</c:v>
                </c:pt>
                <c:pt idx="12">
                  <c:v>348.88426487249728</c:v>
                </c:pt>
                <c:pt idx="13">
                  <c:v>369.44288499179856</c:v>
                </c:pt>
                <c:pt idx="14">
                  <c:v>381.97181877367422</c:v>
                </c:pt>
                <c:pt idx="15">
                  <c:v>365.11109752572457</c:v>
                </c:pt>
                <c:pt idx="16">
                  <c:v>361.36814283230598</c:v>
                </c:pt>
                <c:pt idx="17">
                  <c:v>367.84036845087485</c:v>
                </c:pt>
                <c:pt idx="18">
                  <c:v>383.74833274279837</c:v>
                </c:pt>
                <c:pt idx="19">
                  <c:v>408.2882406300796</c:v>
                </c:pt>
                <c:pt idx="20">
                  <c:v>461.60115744438002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-3.5538477424328931</c:v>
                </c:pt>
                <c:pt idx="4">
                  <c:v>-4.5084591096517022</c:v>
                </c:pt>
                <c:pt idx="5">
                  <c:v>-4.8823783856977849</c:v>
                </c:pt>
                <c:pt idx="6">
                  <c:v>-4.2553592887712401</c:v>
                </c:pt>
                <c:pt idx="7">
                  <c:v>-5.7274467574752261</c:v>
                </c:pt>
                <c:pt idx="8">
                  <c:v>-3.6680840188768333</c:v>
                </c:pt>
                <c:pt idx="9">
                  <c:v>-5.1220864752714697</c:v>
                </c:pt>
                <c:pt idx="10">
                  <c:v>-5.7091554019269575</c:v>
                </c:pt>
                <c:pt idx="11">
                  <c:v>-6.4203808569408833</c:v>
                </c:pt>
                <c:pt idx="12">
                  <c:v>-5.3167609620281704</c:v>
                </c:pt>
                <c:pt idx="13">
                  <c:v>-5.3246086041463228</c:v>
                </c:pt>
                <c:pt idx="14">
                  <c:v>-5.919540869672602</c:v>
                </c:pt>
                <c:pt idx="15">
                  <c:v>-8.0503307108877902</c:v>
                </c:pt>
                <c:pt idx="16">
                  <c:v>-6.7890633326016578</c:v>
                </c:pt>
                <c:pt idx="17">
                  <c:v>-7.4293960611755558</c:v>
                </c:pt>
                <c:pt idx="18">
                  <c:v>-5.6593556454513383</c:v>
                </c:pt>
                <c:pt idx="19">
                  <c:v>-5.0604055279128524</c:v>
                </c:pt>
                <c:pt idx="20">
                  <c:v>-1.1611493906976842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BookData!$B$1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1480"/>
        <c:axId val="663241872"/>
      </c:barChart>
      <c:catAx>
        <c:axId val="66324148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1872"/>
        <c:crosses val="autoZero"/>
        <c:auto val="1"/>
        <c:lblAlgn val="ctr"/>
        <c:lblOffset val="100"/>
        <c:noMultiLvlLbl val="0"/>
      </c:catAx>
      <c:valAx>
        <c:axId val="6632418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1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2656"/>
        <c:axId val="663243048"/>
      </c:barChart>
      <c:catAx>
        <c:axId val="663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43048"/>
        <c:crosses val="autoZero"/>
        <c:auto val="1"/>
        <c:lblAlgn val="ctr"/>
        <c:lblOffset val="100"/>
        <c:noMultiLvlLbl val="0"/>
      </c:catAx>
      <c:valAx>
        <c:axId val="663243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BookData!$K$1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BookData!$K$2:$K$14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243832"/>
        <c:axId val="666687416"/>
      </c:barChart>
      <c:catAx>
        <c:axId val="66324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666687416"/>
        <c:crosses val="autoZero"/>
        <c:auto val="1"/>
        <c:lblAlgn val="ctr"/>
        <c:lblOffset val="100"/>
        <c:noMultiLvlLbl val="0"/>
      </c:catAx>
      <c:valAx>
        <c:axId val="66668741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24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8200"/>
        <c:axId val="666688592"/>
      </c:scatterChart>
      <c:valAx>
        <c:axId val="66668820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8592"/>
        <c:crosses val="autoZero"/>
        <c:crossBetween val="midCat"/>
      </c:valAx>
      <c:valAx>
        <c:axId val="666688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8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BookData!$C$1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89376"/>
        <c:axId val="666689768"/>
      </c:scatterChart>
      <c:valAx>
        <c:axId val="6666893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89768"/>
        <c:crosses val="autoZero"/>
        <c:crossBetween val="midCat"/>
      </c:valAx>
      <c:valAx>
        <c:axId val="666689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89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BookData!$D$1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BookData!$B$1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BookData!$A$3:$A$77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BookData!$D$3:$D$77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90552"/>
        <c:axId val="666690944"/>
      </c:scatterChart>
      <c:valAx>
        <c:axId val="66669055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6690944"/>
        <c:crosses val="autoZero"/>
        <c:crossBetween val="midCat"/>
      </c:valAx>
      <c:valAx>
        <c:axId val="666690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6690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603250</xdr:colOff>
      <xdr:row>0</xdr:row>
      <xdr:rowOff>114300</xdr:rowOff>
    </xdr:from>
    <xdr:to>
      <xdr:col>12</xdr:col>
      <xdr:colOff>298450</xdr:colOff>
      <xdr:row>14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5C0AC-64DC-4BDB-AEC1-92A39EA5E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596900</xdr:colOff>
      <xdr:row>15</xdr:row>
      <xdr:rowOff>95250</xdr:rowOff>
    </xdr:from>
    <xdr:to>
      <xdr:col>12</xdr:col>
      <xdr:colOff>292100</xdr:colOff>
      <xdr:row>29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36A480-5B63-4673-8D4C-E23BDF935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412750</xdr:colOff>
      <xdr:row>6</xdr:row>
      <xdr:rowOff>177800</xdr:rowOff>
    </xdr:from>
    <xdr:to>
      <xdr:col>17</xdr:col>
      <xdr:colOff>107950</xdr:colOff>
      <xdr:row>21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7A07B7-A102-47B6-B2A6-4A8DDCD96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754857</xdr:colOff>
      <xdr:row>5</xdr:row>
      <xdr:rowOff>9526</xdr:rowOff>
    </xdr:from>
    <xdr:to>
      <xdr:col>18</xdr:col>
      <xdr:colOff>504826</xdr:colOff>
      <xdr:row>18</xdr:row>
      <xdr:rowOff>54769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C48044-8EA5-4753-AAAD-8AC0B2B2E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106911</xdr:colOff>
      <xdr:row>7</xdr:row>
      <xdr:rowOff>203400</xdr:rowOff>
    </xdr:from>
    <xdr:to>
      <xdr:col>26</xdr:col>
      <xdr:colOff>430468</xdr:colOff>
      <xdr:row>20</xdr:row>
      <xdr:rowOff>142727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44E69A-CE70-489E-AC4D-CB95F1918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748872</xdr:colOff>
      <xdr:row>20</xdr:row>
      <xdr:rowOff>158795</xdr:rowOff>
    </xdr:from>
    <xdr:to>
      <xdr:col>18</xdr:col>
      <xdr:colOff>520332</xdr:colOff>
      <xdr:row>37</xdr:row>
      <xdr:rowOff>154803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50AE16-CE4D-4FF4-8D2F-3A19AE741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66143</xdr:colOff>
      <xdr:row>4</xdr:row>
      <xdr:rowOff>61719</xdr:rowOff>
    </xdr:from>
    <xdr:to>
      <xdr:col>35</xdr:col>
      <xdr:colOff>377173</xdr:colOff>
      <xdr:row>17</xdr:row>
      <xdr:rowOff>146106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CF59F6-59A2-4658-85BF-3017DA694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146054</xdr:colOff>
      <xdr:row>24</xdr:row>
      <xdr:rowOff>116631</xdr:rowOff>
    </xdr:from>
    <xdr:to>
      <xdr:col>33</xdr:col>
      <xdr:colOff>469611</xdr:colOff>
      <xdr:row>37</xdr:row>
      <xdr:rowOff>138160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BD6D51-7FDB-4E8E-88C5-B03302431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173675</xdr:colOff>
      <xdr:row>38</xdr:row>
      <xdr:rowOff>187673</xdr:rowOff>
    </xdr:from>
    <xdr:to>
      <xdr:col>32</xdr:col>
      <xdr:colOff>506196</xdr:colOff>
      <xdr:row>54</xdr:row>
      <xdr:rowOff>96957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8A1173-D549-4476-8FB7-38F5335B1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27</xdr:row>
      <xdr:rowOff>66676</xdr:rowOff>
    </xdr:from>
    <xdr:to>
      <xdr:col>12</xdr:col>
      <xdr:colOff>238125</xdr:colOff>
      <xdr:row>40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391568</xdr:colOff>
      <xdr:row>27</xdr:row>
      <xdr:rowOff>79723</xdr:rowOff>
    </xdr:from>
    <xdr:to>
      <xdr:col>18</xdr:col>
      <xdr:colOff>143527</xdr:colOff>
      <xdr:row>40</xdr:row>
      <xdr:rowOff>108298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288491</xdr:colOff>
      <xdr:row>27</xdr:row>
      <xdr:rowOff>92771</xdr:rowOff>
    </xdr:from>
    <xdr:to>
      <xdr:col>25</xdr:col>
      <xdr:colOff>182672</xdr:colOff>
      <xdr:row>40</xdr:row>
      <xdr:rowOff>107058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276225</xdr:colOff>
      <xdr:row>41</xdr:row>
      <xdr:rowOff>4762</xdr:rowOff>
    </xdr:from>
    <xdr:to>
      <xdr:col>12</xdr:col>
      <xdr:colOff>221815</xdr:colOff>
      <xdr:row>56</xdr:row>
      <xdr:rowOff>65239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404619</xdr:colOff>
      <xdr:row>41</xdr:row>
      <xdr:rowOff>22574</xdr:rowOff>
    </xdr:from>
    <xdr:to>
      <xdr:col>18</xdr:col>
      <xdr:colOff>143528</xdr:colOff>
      <xdr:row>56</xdr:row>
      <xdr:rowOff>94012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294492</xdr:colOff>
      <xdr:row>41</xdr:row>
      <xdr:rowOff>26096</xdr:rowOff>
    </xdr:from>
    <xdr:to>
      <xdr:col>25</xdr:col>
      <xdr:colOff>208767</xdr:colOff>
      <xdr:row>56</xdr:row>
      <xdr:rowOff>104383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16</xdr:row>
      <xdr:rowOff>138112</xdr:rowOff>
    </xdr:from>
    <xdr:to>
      <xdr:col>16</xdr:col>
      <xdr:colOff>123825</xdr:colOff>
      <xdr:row>33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314325</xdr:colOff>
      <xdr:row>17</xdr:row>
      <xdr:rowOff>14287</xdr:rowOff>
    </xdr:from>
    <xdr:to>
      <xdr:col>24</xdr:col>
      <xdr:colOff>9525</xdr:colOff>
      <xdr:row>34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0</xdr:row>
      <xdr:rowOff>123825</xdr:rowOff>
    </xdr:from>
    <xdr:to>
      <xdr:col>17</xdr:col>
      <xdr:colOff>400050</xdr:colOff>
      <xdr:row>16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466725</xdr:colOff>
      <xdr:row>0</xdr:row>
      <xdr:rowOff>114300</xdr:rowOff>
    </xdr:from>
    <xdr:to>
      <xdr:col>24</xdr:col>
      <xdr:colOff>123825</xdr:colOff>
      <xdr:row>16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6B43-3FB9-4BB8-901B-4B2278E8B02F}">
  <sheetPr>
    <tabColor rgb="FFFFFF00"/>
  </sheetPr>
  <dimension ref="A1:F24"/>
  <sheetViews>
    <sheetView zoomScale="150" zoomScaleNormal="150" workbookViewId="0">
      <selection sqref="A1:XFD1048576"/>
    </sheetView>
  </sheetViews>
  <sheetFormatPr defaultRowHeight="16.5" x14ac:dyDescent="0.3"/>
  <cols>
    <col min="1" max="1" width="11.5703125" style="101" bestFit="1" customWidth="1"/>
    <col min="2" max="2" width="13.85546875" style="101" bestFit="1" customWidth="1"/>
    <col min="3" max="16384" width="9.140625" style="101"/>
  </cols>
  <sheetData>
    <row r="1" spans="1:6" x14ac:dyDescent="0.3">
      <c r="A1" s="163" t="s">
        <v>91</v>
      </c>
      <c r="B1" s="163" t="s">
        <v>90</v>
      </c>
      <c r="C1" s="163" t="s">
        <v>89</v>
      </c>
    </row>
    <row r="2" spans="1:6" x14ac:dyDescent="0.3">
      <c r="A2" s="161" t="s">
        <v>88</v>
      </c>
      <c r="B2" s="160">
        <v>1</v>
      </c>
      <c r="C2" s="160">
        <v>6464</v>
      </c>
      <c r="D2" s="162"/>
      <c r="E2" s="162"/>
      <c r="F2" s="162">
        <f>C2/2</f>
        <v>3232</v>
      </c>
    </row>
    <row r="3" spans="1:6" x14ac:dyDescent="0.3">
      <c r="A3" s="161" t="s">
        <v>87</v>
      </c>
      <c r="B3" s="160">
        <v>2</v>
      </c>
      <c r="C3" s="160">
        <v>7475</v>
      </c>
    </row>
    <row r="4" spans="1:6" x14ac:dyDescent="0.3">
      <c r="A4" s="161" t="s">
        <v>86</v>
      </c>
      <c r="B4" s="160">
        <v>3</v>
      </c>
      <c r="C4" s="160">
        <v>8237</v>
      </c>
    </row>
    <row r="5" spans="1:6" x14ac:dyDescent="0.3">
      <c r="A5" s="161" t="s">
        <v>85</v>
      </c>
      <c r="B5" s="160">
        <v>4</v>
      </c>
      <c r="C5" s="160">
        <v>9480</v>
      </c>
    </row>
    <row r="6" spans="1:6" x14ac:dyDescent="0.3">
      <c r="A6" s="161" t="s">
        <v>84</v>
      </c>
      <c r="B6" s="160">
        <v>5</v>
      </c>
      <c r="C6" s="160">
        <v>11642</v>
      </c>
    </row>
    <row r="7" spans="1:6" x14ac:dyDescent="0.3">
      <c r="A7" s="161" t="s">
        <v>83</v>
      </c>
      <c r="B7" s="160">
        <v>6</v>
      </c>
      <c r="C7" s="160">
        <v>11705</v>
      </c>
    </row>
    <row r="8" spans="1:6" x14ac:dyDescent="0.3">
      <c r="A8" s="161" t="s">
        <v>82</v>
      </c>
      <c r="B8" s="160">
        <v>7</v>
      </c>
      <c r="C8" s="160">
        <v>11837</v>
      </c>
    </row>
    <row r="9" spans="1:6" x14ac:dyDescent="0.3">
      <c r="A9" s="161" t="s">
        <v>81</v>
      </c>
      <c r="B9" s="160">
        <v>8</v>
      </c>
      <c r="C9" s="160">
        <v>13101</v>
      </c>
    </row>
    <row r="10" spans="1:6" x14ac:dyDescent="0.3">
      <c r="A10" s="161" t="s">
        <v>80</v>
      </c>
      <c r="B10" s="160">
        <v>9</v>
      </c>
      <c r="C10" s="160">
        <v>14194</v>
      </c>
    </row>
    <row r="11" spans="1:6" x14ac:dyDescent="0.3">
      <c r="A11" s="161" t="s">
        <v>79</v>
      </c>
      <c r="B11" s="160">
        <v>10</v>
      </c>
      <c r="C11" s="160">
        <v>15760</v>
      </c>
    </row>
    <row r="12" spans="1:6" x14ac:dyDescent="0.3">
      <c r="A12" s="161" t="s">
        <v>78</v>
      </c>
      <c r="B12" s="160">
        <v>11</v>
      </c>
      <c r="C12" s="160">
        <v>15667</v>
      </c>
    </row>
    <row r="13" spans="1:6" x14ac:dyDescent="0.3">
      <c r="A13" s="161" t="s">
        <v>77</v>
      </c>
      <c r="B13" s="160">
        <v>12</v>
      </c>
      <c r="C13" s="160">
        <v>14338</v>
      </c>
    </row>
    <row r="14" spans="1:6" x14ac:dyDescent="0.3">
      <c r="A14" s="161" t="s">
        <v>76</v>
      </c>
      <c r="B14" s="160">
        <v>13</v>
      </c>
      <c r="C14" s="160">
        <v>11816</v>
      </c>
    </row>
    <row r="15" spans="1:6" x14ac:dyDescent="0.3">
      <c r="A15" s="161" t="s">
        <v>75</v>
      </c>
      <c r="B15" s="160">
        <v>14</v>
      </c>
      <c r="C15" s="160">
        <v>14095</v>
      </c>
    </row>
    <row r="16" spans="1:6" x14ac:dyDescent="0.3">
      <c r="A16" s="161" t="s">
        <v>74</v>
      </c>
      <c r="B16" s="160">
        <v>15</v>
      </c>
      <c r="C16" s="160">
        <v>14001</v>
      </c>
    </row>
    <row r="17" spans="1:3" x14ac:dyDescent="0.3">
      <c r="A17" s="161" t="s">
        <v>73</v>
      </c>
      <c r="B17" s="160">
        <v>16</v>
      </c>
      <c r="C17" s="160">
        <v>14123</v>
      </c>
    </row>
    <row r="18" spans="1:3" x14ac:dyDescent="0.3">
      <c r="A18" s="161" t="s">
        <v>72</v>
      </c>
      <c r="B18" s="160">
        <v>17</v>
      </c>
      <c r="C18" s="160">
        <v>14599</v>
      </c>
    </row>
    <row r="19" spans="1:3" x14ac:dyDescent="0.3">
      <c r="A19" s="161" t="s">
        <v>71</v>
      </c>
      <c r="B19" s="160">
        <v>18</v>
      </c>
      <c r="C19" s="160">
        <v>15160</v>
      </c>
    </row>
    <row r="20" spans="1:3" x14ac:dyDescent="0.3">
      <c r="A20" s="161" t="s">
        <v>70</v>
      </c>
      <c r="B20" s="160">
        <v>19</v>
      </c>
      <c r="C20" s="160">
        <v>15352</v>
      </c>
    </row>
    <row r="21" spans="1:3" x14ac:dyDescent="0.3">
      <c r="A21" s="161" t="s">
        <v>69</v>
      </c>
      <c r="B21" s="160">
        <v>20</v>
      </c>
      <c r="C21" s="160">
        <v>15631</v>
      </c>
    </row>
    <row r="22" spans="1:3" x14ac:dyDescent="0.3">
      <c r="A22" s="161" t="s">
        <v>68</v>
      </c>
      <c r="B22" s="160">
        <v>21</v>
      </c>
      <c r="C22" s="160">
        <v>16887</v>
      </c>
    </row>
    <row r="23" spans="1:3" x14ac:dyDescent="0.3">
      <c r="A23" s="161" t="s">
        <v>67</v>
      </c>
      <c r="B23" s="160">
        <v>22</v>
      </c>
      <c r="C23" s="160">
        <v>17549</v>
      </c>
    </row>
    <row r="24" spans="1:3" x14ac:dyDescent="0.3">
      <c r="A24" s="161" t="s">
        <v>66</v>
      </c>
      <c r="B24" s="160">
        <v>23</v>
      </c>
      <c r="C24" s="160">
        <v>17090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C62FA-1CAE-4078-9853-589168A93BF7}">
  <sheetPr>
    <tabColor rgb="FF92D050"/>
  </sheetPr>
  <dimension ref="A1:P24"/>
  <sheetViews>
    <sheetView zoomScale="160" zoomScaleNormal="160" workbookViewId="0">
      <selection sqref="A1:XFD1048576"/>
    </sheetView>
  </sheetViews>
  <sheetFormatPr defaultRowHeight="16.5" x14ac:dyDescent="0.3"/>
  <cols>
    <col min="1" max="3" width="9.140625" style="101" customWidth="1"/>
    <col min="4" max="4" width="5.140625" style="101" customWidth="1"/>
    <col min="5" max="5" width="16.140625" style="101" customWidth="1"/>
    <col min="6" max="6" width="12" style="101" customWidth="1"/>
    <col min="7" max="7" width="14.7109375" style="101" bestFit="1" customWidth="1"/>
    <col min="8" max="8" width="11.28515625" style="101" bestFit="1" customWidth="1"/>
    <col min="9" max="10" width="14" style="101" bestFit="1" customWidth="1"/>
    <col min="11" max="11" width="11.140625" style="101" bestFit="1" customWidth="1"/>
    <col min="12" max="12" width="11.42578125" style="101" customWidth="1"/>
    <col min="13" max="13" width="4.42578125" style="101" customWidth="1"/>
    <col min="14" max="14" width="30.5703125" style="101" bestFit="1" customWidth="1"/>
    <col min="15" max="15" width="9.140625" style="101"/>
    <col min="16" max="16" width="5.5703125" style="101" bestFit="1" customWidth="1"/>
    <col min="17" max="16384" width="9.140625" style="101"/>
  </cols>
  <sheetData>
    <row r="1" spans="1:16" x14ac:dyDescent="0.3">
      <c r="A1" s="101" t="str">
        <f>'1.LALB23TrendLine'!A1</f>
        <v>Year (Real)</v>
      </c>
      <c r="B1" s="101" t="str">
        <f>'1.LALB23TrendLine'!B1</f>
        <v>Year (from 1)</v>
      </c>
      <c r="C1" s="101" t="str">
        <f>'1.LALB23TrendLine'!C1</f>
        <v>TEUs</v>
      </c>
      <c r="E1" s="166" t="s">
        <v>135</v>
      </c>
      <c r="F1" s="166"/>
      <c r="G1" s="166"/>
      <c r="H1" s="166"/>
      <c r="I1" s="166"/>
      <c r="J1" s="166"/>
      <c r="K1" s="166"/>
      <c r="L1" s="166"/>
      <c r="M1" s="166"/>
    </row>
    <row r="2" spans="1:16" ht="17.25" thickBot="1" x14ac:dyDescent="0.35">
      <c r="A2" s="162" t="str">
        <f>'1.LALB23TrendLine'!A2</f>
        <v>1997</v>
      </c>
      <c r="B2" s="162">
        <f>'1.LALB23TrendLine'!B2</f>
        <v>1</v>
      </c>
      <c r="C2" s="162">
        <f>'1.LALB23TrendLine'!C2</f>
        <v>6464</v>
      </c>
      <c r="D2" s="164"/>
      <c r="E2" s="166"/>
      <c r="F2" s="166"/>
      <c r="G2" s="166"/>
      <c r="H2" s="166"/>
      <c r="I2" s="166"/>
      <c r="J2" s="166"/>
      <c r="K2" s="166"/>
      <c r="L2" s="166"/>
      <c r="M2" s="166"/>
    </row>
    <row r="3" spans="1:16" x14ac:dyDescent="0.3">
      <c r="A3" s="162" t="str">
        <f>'1.LALB23TrendLine'!A3</f>
        <v>1998</v>
      </c>
      <c r="B3" s="162">
        <f>'1.LALB23TrendLine'!B3</f>
        <v>2</v>
      </c>
      <c r="C3" s="162">
        <f>'1.LALB23TrendLine'!C3</f>
        <v>7475</v>
      </c>
      <c r="D3" s="164"/>
      <c r="E3" s="178" t="s">
        <v>134</v>
      </c>
      <c r="F3" s="178"/>
      <c r="G3" s="166"/>
      <c r="H3" s="166"/>
      <c r="I3" s="166"/>
      <c r="J3" s="166"/>
      <c r="K3" s="166"/>
      <c r="L3" s="166"/>
      <c r="M3" s="166"/>
    </row>
    <row r="4" spans="1:16" x14ac:dyDescent="0.3">
      <c r="A4" s="162" t="str">
        <f>'1.LALB23TrendLine'!A4</f>
        <v>1999</v>
      </c>
      <c r="B4" s="162">
        <f>'1.LALB23TrendLine'!B4</f>
        <v>3</v>
      </c>
      <c r="C4" s="162">
        <f>'1.LALB23TrendLine'!C4</f>
        <v>8237</v>
      </c>
      <c r="D4" s="164"/>
      <c r="E4" s="176" t="s">
        <v>133</v>
      </c>
      <c r="F4" s="175">
        <f>SQRT(F5)</f>
        <v>0.87946894163603284</v>
      </c>
      <c r="G4" s="165" t="s">
        <v>132</v>
      </c>
      <c r="H4" s="166"/>
      <c r="I4" s="166"/>
      <c r="J4" s="166"/>
      <c r="K4" s="166"/>
      <c r="L4" s="166"/>
      <c r="M4" s="166"/>
      <c r="N4" s="165" t="s">
        <v>131</v>
      </c>
      <c r="O4" s="165"/>
      <c r="P4" s="165"/>
    </row>
    <row r="5" spans="1:16" x14ac:dyDescent="0.3">
      <c r="A5" s="162" t="str">
        <f>'1.LALB23TrendLine'!A5</f>
        <v>2000</v>
      </c>
      <c r="B5" s="162">
        <f>'1.LALB23TrendLine'!B5</f>
        <v>4</v>
      </c>
      <c r="C5" s="162">
        <f>'1.LALB23TrendLine'!C5</f>
        <v>9480</v>
      </c>
      <c r="D5" s="164"/>
      <c r="E5" s="176" t="s">
        <v>130</v>
      </c>
      <c r="F5" s="175">
        <f>RSQ($C$2:$C$24,$B$2:$B$24)</f>
        <v>0.77346561930240376</v>
      </c>
      <c r="G5" s="165" t="s">
        <v>129</v>
      </c>
      <c r="H5" s="166"/>
      <c r="I5" s="166"/>
      <c r="J5" s="166"/>
      <c r="K5" s="166"/>
      <c r="L5" s="166"/>
      <c r="M5" s="166"/>
      <c r="N5" s="165" t="s">
        <v>128</v>
      </c>
      <c r="O5" s="165"/>
      <c r="P5" s="165"/>
    </row>
    <row r="6" spans="1:16" x14ac:dyDescent="0.3">
      <c r="A6" s="162" t="str">
        <f>'1.LALB23TrendLine'!A6</f>
        <v>2001</v>
      </c>
      <c r="B6" s="162">
        <f>'1.LALB23TrendLine'!B6</f>
        <v>5</v>
      </c>
      <c r="C6" s="162">
        <f>'1.LALB23TrendLine'!C6</f>
        <v>11642</v>
      </c>
      <c r="D6" s="164"/>
      <c r="E6" s="166" t="s">
        <v>127</v>
      </c>
      <c r="F6" s="174">
        <v>0.76267826784061332</v>
      </c>
      <c r="G6" s="165" t="s">
        <v>126</v>
      </c>
      <c r="H6" s="166"/>
      <c r="I6" s="166"/>
      <c r="J6" s="166"/>
      <c r="K6" s="166"/>
      <c r="L6" s="166"/>
      <c r="M6" s="166"/>
      <c r="N6" s="165" t="s">
        <v>125</v>
      </c>
      <c r="O6" s="165"/>
      <c r="P6" s="165"/>
    </row>
    <row r="7" spans="1:16" x14ac:dyDescent="0.3">
      <c r="A7" s="162" t="str">
        <f>'1.LALB23TrendLine'!A7</f>
        <v>2002</v>
      </c>
      <c r="B7" s="162">
        <f>'1.LALB23TrendLine'!B7</f>
        <v>6</v>
      </c>
      <c r="C7" s="162">
        <f>'1.LALB23TrendLine'!C7</f>
        <v>11705</v>
      </c>
      <c r="D7" s="164"/>
      <c r="E7" s="176" t="s">
        <v>103</v>
      </c>
      <c r="F7" s="175">
        <f>STEYX($C$2:$C$24,$B$2:$B$24)</f>
        <v>1490.5824274708484</v>
      </c>
      <c r="G7" s="165" t="s">
        <v>124</v>
      </c>
      <c r="H7" s="166"/>
      <c r="I7" s="166"/>
      <c r="J7" s="166"/>
      <c r="K7" s="166"/>
      <c r="L7" s="166"/>
      <c r="M7" s="166"/>
      <c r="N7" s="165" t="str">
        <f>"F24="&amp;ROUND(F17,3)&amp;"+"&amp;ROUND(F18,3)&amp;"*24"</f>
        <v>F24=8552.043+396.761*24</v>
      </c>
      <c r="O7" s="165"/>
      <c r="P7" s="165"/>
    </row>
    <row r="8" spans="1:16" ht="17.25" thickBot="1" x14ac:dyDescent="0.35">
      <c r="A8" s="162" t="str">
        <f>'1.LALB23TrendLine'!A8</f>
        <v>2003</v>
      </c>
      <c r="B8" s="162">
        <f>'1.LALB23TrendLine'!B8</f>
        <v>7</v>
      </c>
      <c r="C8" s="162">
        <f>'1.LALB23TrendLine'!C8</f>
        <v>11837</v>
      </c>
      <c r="D8" s="164"/>
      <c r="E8" s="172" t="s">
        <v>123</v>
      </c>
      <c r="F8" s="175">
        <f>COUNT($B$2:$B$24)</f>
        <v>23</v>
      </c>
      <c r="G8" s="165" t="s">
        <v>122</v>
      </c>
      <c r="H8" s="166"/>
      <c r="I8" s="166"/>
      <c r="J8" s="166"/>
      <c r="K8" s="166"/>
      <c r="L8" s="166"/>
      <c r="M8" s="166"/>
      <c r="N8" s="165" t="s">
        <v>121</v>
      </c>
      <c r="O8" s="165"/>
      <c r="P8" s="165"/>
    </row>
    <row r="9" spans="1:16" x14ac:dyDescent="0.3">
      <c r="A9" s="162" t="str">
        <f>'1.LALB23TrendLine'!A9</f>
        <v>2004</v>
      </c>
      <c r="B9" s="162">
        <f>'1.LALB23TrendLine'!B9</f>
        <v>8</v>
      </c>
      <c r="C9" s="162">
        <f>'1.LALB23TrendLine'!C9</f>
        <v>13101</v>
      </c>
      <c r="D9" s="164"/>
      <c r="E9" s="166"/>
      <c r="F9" s="166"/>
      <c r="G9" s="165" t="s">
        <v>120</v>
      </c>
      <c r="H9" s="166"/>
      <c r="I9" s="166"/>
      <c r="J9" s="166"/>
      <c r="K9" s="166"/>
      <c r="L9" s="166"/>
      <c r="M9" s="166"/>
      <c r="N9" s="165" t="s">
        <v>119</v>
      </c>
      <c r="O9" s="165"/>
      <c r="P9" s="165"/>
    </row>
    <row r="10" spans="1:16" ht="17.25" thickBot="1" x14ac:dyDescent="0.35">
      <c r="A10" s="162" t="str">
        <f>'1.LALB23TrendLine'!A10</f>
        <v>2005</v>
      </c>
      <c r="B10" s="162">
        <f>'1.LALB23TrendLine'!B10</f>
        <v>9</v>
      </c>
      <c r="C10" s="162">
        <f>'1.LALB23TrendLine'!C10</f>
        <v>14194</v>
      </c>
      <c r="D10" s="164"/>
      <c r="E10" s="166" t="s">
        <v>118</v>
      </c>
      <c r="F10" s="166"/>
      <c r="G10" s="165" t="s">
        <v>117</v>
      </c>
      <c r="H10" s="166"/>
      <c r="I10" s="166"/>
      <c r="J10" s="166"/>
      <c r="K10" s="166"/>
      <c r="L10" s="166"/>
      <c r="M10" s="166"/>
      <c r="N10" s="165" t="s">
        <v>116</v>
      </c>
      <c r="O10" s="165"/>
      <c r="P10" s="165"/>
    </row>
    <row r="11" spans="1:16" x14ac:dyDescent="0.3">
      <c r="A11" s="162" t="str">
        <f>'1.LALB23TrendLine'!A11</f>
        <v>2006</v>
      </c>
      <c r="B11" s="162">
        <f>'1.LALB23TrendLine'!B11</f>
        <v>10</v>
      </c>
      <c r="C11" s="162">
        <f>'1.LALB23TrendLine'!C11</f>
        <v>15760</v>
      </c>
      <c r="D11" s="164"/>
      <c r="E11" s="177"/>
      <c r="F11" s="177" t="s">
        <v>115</v>
      </c>
      <c r="G11" s="177" t="s">
        <v>114</v>
      </c>
      <c r="H11" s="177" t="s">
        <v>113</v>
      </c>
      <c r="I11" s="177" t="s">
        <v>112</v>
      </c>
      <c r="J11" s="177" t="s">
        <v>111</v>
      </c>
      <c r="K11" s="166"/>
      <c r="L11" s="166"/>
      <c r="M11" s="166"/>
    </row>
    <row r="12" spans="1:16" x14ac:dyDescent="0.3">
      <c r="A12" s="162" t="str">
        <f>'1.LALB23TrendLine'!A12</f>
        <v>2007</v>
      </c>
      <c r="B12" s="162">
        <f>'1.LALB23TrendLine'!B12</f>
        <v>11</v>
      </c>
      <c r="C12" s="162">
        <f>'1.LALB23TrendLine'!C12</f>
        <v>15667</v>
      </c>
      <c r="D12" s="164"/>
      <c r="E12" s="166" t="s">
        <v>110</v>
      </c>
      <c r="F12" s="166">
        <v>1</v>
      </c>
      <c r="G12" s="173">
        <v>159308217.86956519</v>
      </c>
      <c r="H12" s="173">
        <v>159308217.86956519</v>
      </c>
      <c r="I12" s="174">
        <v>71.701160571441818</v>
      </c>
      <c r="J12" s="166">
        <v>3.2731884293452792E-8</v>
      </c>
      <c r="K12" s="166"/>
      <c r="L12" s="166"/>
      <c r="M12" s="166"/>
      <c r="N12" s="165" t="s">
        <v>109</v>
      </c>
    </row>
    <row r="13" spans="1:16" x14ac:dyDescent="0.3">
      <c r="A13" s="162" t="str">
        <f>'1.LALB23TrendLine'!A13</f>
        <v>2008</v>
      </c>
      <c r="B13" s="162">
        <f>'1.LALB23TrendLine'!B13</f>
        <v>12</v>
      </c>
      <c r="C13" s="162">
        <f>'1.LALB23TrendLine'!C13</f>
        <v>14338</v>
      </c>
      <c r="D13" s="164"/>
      <c r="E13" s="166" t="s">
        <v>108</v>
      </c>
      <c r="F13" s="166">
        <v>21</v>
      </c>
      <c r="G13" s="173">
        <v>46658555.434782639</v>
      </c>
      <c r="H13" s="173">
        <v>2221835.9730848875</v>
      </c>
      <c r="I13" s="166"/>
      <c r="J13" s="166"/>
      <c r="K13" s="166"/>
      <c r="L13" s="166"/>
      <c r="M13" s="166"/>
      <c r="N13" s="165" t="s">
        <v>107</v>
      </c>
    </row>
    <row r="14" spans="1:16" ht="17.25" thickBot="1" x14ac:dyDescent="0.35">
      <c r="A14" s="162" t="str">
        <f>'1.LALB23TrendLine'!A14</f>
        <v>2009</v>
      </c>
      <c r="B14" s="162">
        <f>'1.LALB23TrendLine'!B14</f>
        <v>13</v>
      </c>
      <c r="C14" s="162">
        <f>'1.LALB23TrendLine'!C14</f>
        <v>11816</v>
      </c>
      <c r="D14" s="164"/>
      <c r="E14" s="170" t="s">
        <v>106</v>
      </c>
      <c r="F14" s="170">
        <v>22</v>
      </c>
      <c r="G14" s="167">
        <v>205966773.30434781</v>
      </c>
      <c r="H14" s="170"/>
      <c r="I14" s="170"/>
      <c r="J14" s="170"/>
      <c r="K14" s="166"/>
      <c r="L14" s="166"/>
      <c r="M14" s="166"/>
      <c r="N14" s="165" t="s">
        <v>105</v>
      </c>
    </row>
    <row r="15" spans="1:16" ht="17.25" thickBot="1" x14ac:dyDescent="0.35">
      <c r="A15" s="162" t="str">
        <f>'1.LALB23TrendLine'!A15</f>
        <v>2010</v>
      </c>
      <c r="B15" s="162">
        <f>'1.LALB23TrendLine'!B15</f>
        <v>14</v>
      </c>
      <c r="C15" s="162">
        <f>'1.LALB23TrendLine'!C15</f>
        <v>14095</v>
      </c>
      <c r="D15" s="164"/>
      <c r="E15" s="166"/>
      <c r="F15" s="166"/>
      <c r="G15" s="166"/>
      <c r="H15" s="166"/>
      <c r="I15" s="166"/>
      <c r="J15" s="166"/>
      <c r="K15" s="166"/>
      <c r="L15" s="166"/>
      <c r="M15" s="166"/>
    </row>
    <row r="16" spans="1:16" x14ac:dyDescent="0.3">
      <c r="A16" s="162" t="str">
        <f>'1.LALB23TrendLine'!A16</f>
        <v>2011</v>
      </c>
      <c r="B16" s="162">
        <f>'1.LALB23TrendLine'!B16</f>
        <v>15</v>
      </c>
      <c r="C16" s="162">
        <f>'1.LALB23TrendLine'!C16</f>
        <v>14001</v>
      </c>
      <c r="D16" s="164"/>
      <c r="E16" s="177"/>
      <c r="F16" s="177" t="s">
        <v>104</v>
      </c>
      <c r="G16" s="177" t="s">
        <v>103</v>
      </c>
      <c r="H16" s="177" t="s">
        <v>102</v>
      </c>
      <c r="I16" s="177" t="s">
        <v>101</v>
      </c>
      <c r="J16" s="177" t="s">
        <v>100</v>
      </c>
      <c r="K16" s="177" t="s">
        <v>99</v>
      </c>
      <c r="L16" s="166"/>
      <c r="M16" s="166"/>
      <c r="N16" s="165"/>
    </row>
    <row r="17" spans="1:13" x14ac:dyDescent="0.3">
      <c r="A17" s="162" t="str">
        <f>'1.LALB23TrendLine'!A17</f>
        <v>2012</v>
      </c>
      <c r="B17" s="162">
        <f>'1.LALB23TrendLine'!B17</f>
        <v>16</v>
      </c>
      <c r="C17" s="162">
        <f>'1.LALB23TrendLine'!C17</f>
        <v>14123</v>
      </c>
      <c r="D17" s="164"/>
      <c r="E17" s="176" t="s">
        <v>98</v>
      </c>
      <c r="F17" s="175">
        <f>INTERCEPT($C$2:$C$24,$B$2:$B$24)</f>
        <v>8552.04347826087</v>
      </c>
      <c r="G17" s="166">
        <v>642.45788756341801</v>
      </c>
      <c r="H17" s="174">
        <v>13.311446001068333</v>
      </c>
      <c r="I17" s="166">
        <v>1.0510156739290253E-11</v>
      </c>
      <c r="J17" s="173">
        <v>7215.9791606294866</v>
      </c>
      <c r="K17" s="173">
        <v>9888.1077958922542</v>
      </c>
      <c r="L17" s="166"/>
      <c r="M17" s="166"/>
    </row>
    <row r="18" spans="1:13" ht="17.25" thickBot="1" x14ac:dyDescent="0.35">
      <c r="A18" s="162" t="str">
        <f>'1.LALB23TrendLine'!A18</f>
        <v>2013</v>
      </c>
      <c r="B18" s="162">
        <f>'1.LALB23TrendLine'!B18</f>
        <v>17</v>
      </c>
      <c r="C18" s="162">
        <f>'1.LALB23TrendLine'!C18</f>
        <v>14599</v>
      </c>
      <c r="D18" s="164"/>
      <c r="E18" s="172" t="s">
        <v>97</v>
      </c>
      <c r="F18" s="171">
        <f>SLOPE($C$2:$C$24,$B$2:$B$24)</f>
        <v>396.76086956521738</v>
      </c>
      <c r="G18" s="170">
        <v>46.85605715359663</v>
      </c>
      <c r="H18" s="169">
        <v>8.4676537819777327</v>
      </c>
      <c r="I18" s="168">
        <v>3.2731884293452905E-8</v>
      </c>
      <c r="J18" s="167">
        <v>299.31836439924632</v>
      </c>
      <c r="K18" s="167">
        <v>494.20337473118832</v>
      </c>
      <c r="L18" s="166"/>
      <c r="M18" s="166"/>
    </row>
    <row r="19" spans="1:13" x14ac:dyDescent="0.3">
      <c r="A19" s="162" t="str">
        <f>'1.LALB23TrendLine'!A19</f>
        <v>2014</v>
      </c>
      <c r="B19" s="162">
        <f>'1.LALB23TrendLine'!B19</f>
        <v>18</v>
      </c>
      <c r="C19" s="162">
        <f>'1.LALB23TrendLine'!C19</f>
        <v>15160</v>
      </c>
      <c r="D19" s="164"/>
      <c r="F19" s="101" t="s">
        <v>96</v>
      </c>
      <c r="I19" s="165" t="s">
        <v>95</v>
      </c>
    </row>
    <row r="20" spans="1:13" x14ac:dyDescent="0.3">
      <c r="A20" s="162" t="str">
        <f>'1.LALB23TrendLine'!A20</f>
        <v>2015</v>
      </c>
      <c r="B20" s="162">
        <f>'1.LALB23TrendLine'!B20</f>
        <v>19</v>
      </c>
      <c r="C20" s="162">
        <f>'1.LALB23TrendLine'!C20</f>
        <v>15352</v>
      </c>
      <c r="D20" s="164"/>
      <c r="F20" s="165" t="s">
        <v>94</v>
      </c>
      <c r="I20" s="165" t="s">
        <v>93</v>
      </c>
    </row>
    <row r="21" spans="1:13" x14ac:dyDescent="0.3">
      <c r="A21" s="162" t="str">
        <f>'1.LALB23TrendLine'!A21</f>
        <v>2016</v>
      </c>
      <c r="B21" s="162">
        <f>'1.LALB23TrendLine'!B21</f>
        <v>20</v>
      </c>
      <c r="C21" s="162">
        <f>'1.LALB23TrendLine'!C21</f>
        <v>15631</v>
      </c>
      <c r="D21" s="164"/>
      <c r="I21" s="165" t="s">
        <v>92</v>
      </c>
    </row>
    <row r="22" spans="1:13" x14ac:dyDescent="0.3">
      <c r="A22" s="162" t="str">
        <f>'1.LALB23TrendLine'!A22</f>
        <v>2017</v>
      </c>
      <c r="B22" s="162">
        <f>'1.LALB23TrendLine'!B22</f>
        <v>21</v>
      </c>
      <c r="C22" s="162">
        <f>'1.LALB23TrendLine'!C22</f>
        <v>16887</v>
      </c>
      <c r="D22" s="164"/>
    </row>
    <row r="23" spans="1:13" x14ac:dyDescent="0.3">
      <c r="A23" s="162" t="str">
        <f>'1.LALB23TrendLine'!A23</f>
        <v>2018</v>
      </c>
      <c r="B23" s="162">
        <f>'1.LALB23TrendLine'!B23</f>
        <v>22</v>
      </c>
      <c r="C23" s="162">
        <f>'1.LALB23TrendLine'!C23</f>
        <v>17549</v>
      </c>
      <c r="D23" s="164"/>
    </row>
    <row r="24" spans="1:13" x14ac:dyDescent="0.3">
      <c r="A24" s="162" t="str">
        <f>'1.LALB23TrendLine'!A24</f>
        <v>2019</v>
      </c>
      <c r="B24" s="162">
        <f>'1.LALB23TrendLine'!B24</f>
        <v>23</v>
      </c>
      <c r="C24" s="162">
        <f>'1.LALB23TrendLine'!C24</f>
        <v>17090</v>
      </c>
      <c r="D24" s="164"/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0A958-8CFC-4AC1-9EC3-9968C6B279DE}">
  <dimension ref="A1:L50"/>
  <sheetViews>
    <sheetView zoomScale="150" zoomScaleNormal="150" workbookViewId="0">
      <selection sqref="A1:XFD1048576"/>
    </sheetView>
  </sheetViews>
  <sheetFormatPr defaultRowHeight="15" x14ac:dyDescent="0.25"/>
  <cols>
    <col min="2" max="2" width="12.42578125" bestFit="1" customWidth="1"/>
    <col min="3" max="3" width="6.140625" bestFit="1" customWidth="1"/>
    <col min="5" max="5" width="14.140625" bestFit="1" customWidth="1"/>
    <col min="6" max="6" width="12" bestFit="1" customWidth="1"/>
    <col min="7" max="7" width="13.85546875" bestFit="1" customWidth="1"/>
  </cols>
  <sheetData>
    <row r="1" spans="1:12" x14ac:dyDescent="0.25">
      <c r="A1" s="179" t="str">
        <f>'1.LALB23TrendLine'!A1</f>
        <v>Year (Real)</v>
      </c>
      <c r="B1" s="179" t="str">
        <f>'1.LALB23TrendLine'!B1</f>
        <v>Year (from 1)</v>
      </c>
      <c r="C1" s="179" t="str">
        <f>'1.LALB23TrendLine'!C1</f>
        <v>TEUs</v>
      </c>
      <c r="D1" t="s">
        <v>145</v>
      </c>
      <c r="E1" t="s">
        <v>144</v>
      </c>
      <c r="F1" t="s">
        <v>143</v>
      </c>
      <c r="G1" t="s">
        <v>103</v>
      </c>
      <c r="H1">
        <f>$H$5</f>
        <v>2221835.9730848852</v>
      </c>
      <c r="J1" t="s">
        <v>142</v>
      </c>
      <c r="K1">
        <v>8552.0434779681691</v>
      </c>
    </row>
    <row r="2" spans="1:12" x14ac:dyDescent="0.25">
      <c r="A2" s="179" t="str">
        <f>'1.LALB23TrendLine'!A2</f>
        <v>1997</v>
      </c>
      <c r="B2" s="179">
        <f>'1.LALB23TrendLine'!B2</f>
        <v>1</v>
      </c>
      <c r="C2" s="179">
        <f>'1.LALB23TrendLine'!C2</f>
        <v>6464</v>
      </c>
      <c r="D2" s="179">
        <f>$K$1+$K$2*B2</f>
        <v>8948.8043476009498</v>
      </c>
      <c r="E2" s="179">
        <f>(C2-D2)^2</f>
        <v>6174252.6458565816</v>
      </c>
      <c r="F2" s="180">
        <f>(B2-$B$25)^2</f>
        <v>1</v>
      </c>
      <c r="G2" t="s">
        <v>141</v>
      </c>
      <c r="H2">
        <f>SUM(E2:E24)</f>
        <v>46658555.434782587</v>
      </c>
      <c r="J2" t="s">
        <v>140</v>
      </c>
      <c r="K2">
        <v>396.76086963278146</v>
      </c>
    </row>
    <row r="3" spans="1:12" x14ac:dyDescent="0.25">
      <c r="A3" s="179" t="str">
        <f>'1.LALB23TrendLine'!A3</f>
        <v>1998</v>
      </c>
      <c r="B3" s="179">
        <f>'1.LALB23TrendLine'!B3</f>
        <v>2</v>
      </c>
      <c r="C3" s="179">
        <f>'1.LALB23TrendLine'!C3</f>
        <v>7475</v>
      </c>
      <c r="D3" s="179">
        <f>$K$1+$K$2*B3</f>
        <v>9345.5652172337323</v>
      </c>
      <c r="E3" s="179">
        <f>(C3-D3)^2</f>
        <v>3499014.2319246801</v>
      </c>
      <c r="F3" s="180">
        <f>(B3-$B$25)^2</f>
        <v>4</v>
      </c>
      <c r="G3" t="s">
        <v>139</v>
      </c>
      <c r="H3">
        <f>$H$2/COUNT($E$2:$E$24)</f>
        <v>2028632.8449905473</v>
      </c>
      <c r="J3" s="181" t="s">
        <v>103</v>
      </c>
      <c r="L3">
        <f>SQRT(H5)</f>
        <v>1490.5824274708477</v>
      </c>
    </row>
    <row r="4" spans="1:12" x14ac:dyDescent="0.25">
      <c r="A4" s="179" t="str">
        <f>'1.LALB23TrendLine'!A4</f>
        <v>1999</v>
      </c>
      <c r="B4" s="179">
        <f>'1.LALB23TrendLine'!B4</f>
        <v>3</v>
      </c>
      <c r="C4" s="179">
        <f>'1.LALB23TrendLine'!C4</f>
        <v>8237</v>
      </c>
      <c r="D4" s="179">
        <f>$K$1+$K$2*B4</f>
        <v>9742.3260868665129</v>
      </c>
      <c r="E4" s="179">
        <f>(C4-D4)^2</f>
        <v>2266006.6278008483</v>
      </c>
      <c r="F4" s="180">
        <f>(B4-$B$25)^2</f>
        <v>9</v>
      </c>
      <c r="G4" t="s">
        <v>138</v>
      </c>
      <c r="H4">
        <f>$H$2/(COUNT($E$2:$E$24)-1)</f>
        <v>2120843.428853754</v>
      </c>
      <c r="J4" t="s">
        <v>137</v>
      </c>
      <c r="L4">
        <f>1-E25/F25</f>
        <v>-10789.600239311421</v>
      </c>
    </row>
    <row r="5" spans="1:12" x14ac:dyDescent="0.25">
      <c r="A5" s="179" t="str">
        <f>'1.LALB23TrendLine'!A5</f>
        <v>2000</v>
      </c>
      <c r="B5" s="179">
        <f>'1.LALB23TrendLine'!B5</f>
        <v>4</v>
      </c>
      <c r="C5" s="179">
        <f>'1.LALB23TrendLine'!C5</f>
        <v>9480</v>
      </c>
      <c r="D5" s="179">
        <f>$K$1+$K$2*B5</f>
        <v>10139.086956499295</v>
      </c>
      <c r="E5" s="179">
        <f>(C5-D5)^2</f>
        <v>434395.6162275041</v>
      </c>
      <c r="F5" s="180">
        <f>(B5-$B$25)^2</f>
        <v>16</v>
      </c>
      <c r="G5" t="s">
        <v>136</v>
      </c>
      <c r="H5">
        <f>$H$2/(COUNT($E$2:$E$24)-2)</f>
        <v>2221835.9730848852</v>
      </c>
    </row>
    <row r="6" spans="1:12" x14ac:dyDescent="0.25">
      <c r="A6" s="179" t="str">
        <f>'1.LALB23TrendLine'!A6</f>
        <v>2001</v>
      </c>
      <c r="B6" s="179">
        <f>'1.LALB23TrendLine'!B6</f>
        <v>5</v>
      </c>
      <c r="C6" s="179">
        <f>'1.LALB23TrendLine'!C6</f>
        <v>11642</v>
      </c>
      <c r="D6" s="179">
        <f>$K$1+$K$2*B6</f>
        <v>10535.847826132076</v>
      </c>
      <c r="E6" s="179">
        <f>(C6-D6)^2</f>
        <v>1223572.6317527338</v>
      </c>
      <c r="F6" s="180">
        <f>(B6-$B$25)^2</f>
        <v>25</v>
      </c>
    </row>
    <row r="7" spans="1:12" x14ac:dyDescent="0.25">
      <c r="A7" s="179" t="str">
        <f>'1.LALB23TrendLine'!A7</f>
        <v>2002</v>
      </c>
      <c r="B7" s="179">
        <f>'1.LALB23TrendLine'!B7</f>
        <v>6</v>
      </c>
      <c r="C7" s="179">
        <f>'1.LALB23TrendLine'!C7</f>
        <v>11705</v>
      </c>
      <c r="D7" s="179">
        <f>$K$1+$K$2*B7</f>
        <v>10932.608695764859</v>
      </c>
      <c r="E7" s="179">
        <f>(C7-D7)^2</f>
        <v>596588.32685806276</v>
      </c>
      <c r="F7" s="180">
        <f>(B7-$B$25)^2</f>
        <v>36</v>
      </c>
    </row>
    <row r="8" spans="1:12" x14ac:dyDescent="0.25">
      <c r="A8" s="179" t="str">
        <f>'1.LALB23TrendLine'!A8</f>
        <v>2003</v>
      </c>
      <c r="B8" s="179">
        <f>'1.LALB23TrendLine'!B8</f>
        <v>7</v>
      </c>
      <c r="C8" s="179">
        <f>'1.LALB23TrendLine'!C8</f>
        <v>11837</v>
      </c>
      <c r="D8" s="179">
        <f>$K$1+$K$2*B8</f>
        <v>11329.369565397639</v>
      </c>
      <c r="E8" s="179">
        <f>(C8-D8)^2</f>
        <v>257688.65813458167</v>
      </c>
      <c r="F8" s="180">
        <f>(B8-$B$25)^2</f>
        <v>49</v>
      </c>
    </row>
    <row r="9" spans="1:12" x14ac:dyDescent="0.25">
      <c r="A9" s="179" t="str">
        <f>'1.LALB23TrendLine'!A9</f>
        <v>2004</v>
      </c>
      <c r="B9" s="179">
        <f>'1.LALB23TrendLine'!B9</f>
        <v>8</v>
      </c>
      <c r="C9" s="179">
        <f>'1.LALB23TrendLine'!C9</f>
        <v>13101</v>
      </c>
      <c r="D9" s="179">
        <f>$K$1+$K$2*B9</f>
        <v>11726.13043503042</v>
      </c>
      <c r="E9" s="179">
        <f>(C9-D9)^2</f>
        <v>1890266.3206796425</v>
      </c>
      <c r="F9" s="180">
        <f>(B9-$B$25)^2</f>
        <v>64</v>
      </c>
    </row>
    <row r="10" spans="1:12" x14ac:dyDescent="0.25">
      <c r="A10" s="179" t="str">
        <f>'1.LALB23TrendLine'!A10</f>
        <v>2005</v>
      </c>
      <c r="B10" s="179">
        <f>'1.LALB23TrendLine'!B10</f>
        <v>9</v>
      </c>
      <c r="C10" s="179">
        <f>'1.LALB23TrendLine'!C10</f>
        <v>14194</v>
      </c>
      <c r="D10" s="179">
        <f>$K$1+$K$2*B10</f>
        <v>12122.891304663202</v>
      </c>
      <c r="E10" s="179">
        <f>(C10-D10)^2</f>
        <v>4289491.227899692</v>
      </c>
      <c r="F10" s="180">
        <f>(B10-$B$25)^2</f>
        <v>81</v>
      </c>
    </row>
    <row r="11" spans="1:12" x14ac:dyDescent="0.25">
      <c r="A11" s="179" t="str">
        <f>'1.LALB23TrendLine'!A11</f>
        <v>2006</v>
      </c>
      <c r="B11" s="179">
        <f>'1.LALB23TrendLine'!B11</f>
        <v>10</v>
      </c>
      <c r="C11" s="179">
        <f>'1.LALB23TrendLine'!C11</f>
        <v>15760</v>
      </c>
      <c r="D11" s="179">
        <f>$K$1+$K$2*B11</f>
        <v>12519.652174295985</v>
      </c>
      <c r="E11" s="179">
        <f>(C11-D11)^2</f>
        <v>10499854.031544738</v>
      </c>
      <c r="F11" s="180">
        <f>(B11-$B$25)^2</f>
        <v>100</v>
      </c>
    </row>
    <row r="12" spans="1:12" x14ac:dyDescent="0.25">
      <c r="A12" s="179" t="str">
        <f>'1.LALB23TrendLine'!A12</f>
        <v>2007</v>
      </c>
      <c r="B12" s="179">
        <f>'1.LALB23TrendLine'!B12</f>
        <v>11</v>
      </c>
      <c r="C12" s="179">
        <f>'1.LALB23TrendLine'!C12</f>
        <v>15667</v>
      </c>
      <c r="D12" s="179">
        <f>$K$1+$K$2*B12</f>
        <v>12916.413043928766</v>
      </c>
      <c r="E12" s="179">
        <f>(C12-D12)^2</f>
        <v>7565728.6029092195</v>
      </c>
      <c r="F12" s="180">
        <f>(B12-$B$25)^2</f>
        <v>121</v>
      </c>
    </row>
    <row r="13" spans="1:12" x14ac:dyDescent="0.25">
      <c r="A13" s="179" t="str">
        <f>'1.LALB23TrendLine'!A13</f>
        <v>2008</v>
      </c>
      <c r="B13" s="179">
        <f>'1.LALB23TrendLine'!B13</f>
        <v>12</v>
      </c>
      <c r="C13" s="179">
        <f>'1.LALB23TrendLine'!C13</f>
        <v>14338</v>
      </c>
      <c r="D13" s="179">
        <f>$K$1+$K$2*B13</f>
        <v>13313.173913561546</v>
      </c>
      <c r="E13" s="179">
        <f>(C13-D13)^2</f>
        <v>1050268.507444757</v>
      </c>
      <c r="F13" s="180">
        <f>(B13-$B$25)^2</f>
        <v>144</v>
      </c>
    </row>
    <row r="14" spans="1:12" x14ac:dyDescent="0.25">
      <c r="A14" s="179" t="str">
        <f>'1.LALB23TrendLine'!A14</f>
        <v>2009</v>
      </c>
      <c r="B14" s="179">
        <f>'1.LALB23TrendLine'!B14</f>
        <v>13</v>
      </c>
      <c r="C14" s="179">
        <f>'1.LALB23TrendLine'!C14</f>
        <v>11816</v>
      </c>
      <c r="D14" s="179">
        <f>$K$1+$K$2*B14</f>
        <v>13709.934783194327</v>
      </c>
      <c r="E14" s="179">
        <f>(C14-D14)^2</f>
        <v>3586988.962993342</v>
      </c>
      <c r="F14" s="180">
        <f>(B14-$B$25)^2</f>
        <v>169</v>
      </c>
    </row>
    <row r="15" spans="1:12" x14ac:dyDescent="0.25">
      <c r="A15" s="179" t="str">
        <f>'1.LALB23TrendLine'!A15</f>
        <v>2010</v>
      </c>
      <c r="B15" s="179">
        <f>'1.LALB23TrendLine'!B15</f>
        <v>14</v>
      </c>
      <c r="C15" s="179">
        <f>'1.LALB23TrendLine'!C15</f>
        <v>14095</v>
      </c>
      <c r="D15" s="179">
        <f>$K$1+$K$2*B15</f>
        <v>14106.695652827109</v>
      </c>
      <c r="E15" s="179">
        <f>(C15-D15)^2</f>
        <v>136.78829505227139</v>
      </c>
      <c r="F15" s="180">
        <f>(B15-$B$25)^2</f>
        <v>196</v>
      </c>
    </row>
    <row r="16" spans="1:12" x14ac:dyDescent="0.25">
      <c r="A16" s="179" t="str">
        <f>'1.LALB23TrendLine'!A16</f>
        <v>2011</v>
      </c>
      <c r="B16" s="179">
        <f>'1.LALB23TrendLine'!B16</f>
        <v>15</v>
      </c>
      <c r="C16" s="179">
        <f>'1.LALB23TrendLine'!C16</f>
        <v>14001</v>
      </c>
      <c r="D16" s="179">
        <f>$K$1+$K$2*B16</f>
        <v>14503.456522459892</v>
      </c>
      <c r="E16" s="179">
        <f>(C16-D16)^2</f>
        <v>252462.55696248781</v>
      </c>
      <c r="F16" s="180">
        <f>(B16-$B$25)^2</f>
        <v>225</v>
      </c>
    </row>
    <row r="17" spans="1:6" x14ac:dyDescent="0.25">
      <c r="A17" s="179" t="str">
        <f>'1.LALB23TrendLine'!A17</f>
        <v>2012</v>
      </c>
      <c r="B17" s="179">
        <f>'1.LALB23TrendLine'!B17</f>
        <v>16</v>
      </c>
      <c r="C17" s="179">
        <f>'1.LALB23TrendLine'!C17</f>
        <v>14123</v>
      </c>
      <c r="D17" s="179">
        <f>$K$1+$K$2*B17</f>
        <v>14900.217392092673</v>
      </c>
      <c r="E17" s="179">
        <f>(C17-D17)^2</f>
        <v>604066.87457133504</v>
      </c>
      <c r="F17" s="180">
        <f>(B17-$B$25)^2</f>
        <v>256</v>
      </c>
    </row>
    <row r="18" spans="1:6" x14ac:dyDescent="0.25">
      <c r="A18" s="179" t="str">
        <f>'1.LALB23TrendLine'!A18</f>
        <v>2013</v>
      </c>
      <c r="B18" s="179">
        <f>'1.LALB23TrendLine'!B18</f>
        <v>17</v>
      </c>
      <c r="C18" s="179">
        <f>'1.LALB23TrendLine'!C18</f>
        <v>14599</v>
      </c>
      <c r="D18" s="179">
        <f>$K$1+$K$2*B18</f>
        <v>15296.978261725453</v>
      </c>
      <c r="E18" s="179">
        <f>(C18-D18)^2</f>
        <v>487173.65384128527</v>
      </c>
      <c r="F18" s="180">
        <f>(B18-$B$25)^2</f>
        <v>289</v>
      </c>
    </row>
    <row r="19" spans="1:6" x14ac:dyDescent="0.25">
      <c r="A19" s="179" t="str">
        <f>'1.LALB23TrendLine'!A19</f>
        <v>2014</v>
      </c>
      <c r="B19" s="179">
        <f>'1.LALB23TrendLine'!B19</f>
        <v>18</v>
      </c>
      <c r="C19" s="179">
        <f>'1.LALB23TrendLine'!C19</f>
        <v>15160</v>
      </c>
      <c r="D19" s="179">
        <f>$K$1+$K$2*B19</f>
        <v>15693.739131358236</v>
      </c>
      <c r="E19" s="179">
        <f>(C19-D19)^2</f>
        <v>284877.46034304396</v>
      </c>
      <c r="F19" s="180">
        <f>(B19-$B$25)^2</f>
        <v>324</v>
      </c>
    </row>
    <row r="20" spans="1:6" x14ac:dyDescent="0.25">
      <c r="A20" s="179" t="str">
        <f>'1.LALB23TrendLine'!A20</f>
        <v>2015</v>
      </c>
      <c r="B20" s="179">
        <f>'1.LALB23TrendLine'!B20</f>
        <v>19</v>
      </c>
      <c r="C20" s="179">
        <f>'1.LALB23TrendLine'!C20</f>
        <v>15352</v>
      </c>
      <c r="D20" s="179">
        <f>$K$1+$K$2*B20</f>
        <v>16090.500000991018</v>
      </c>
      <c r="E20" s="179">
        <f>(C20-D20)^2</f>
        <v>545382.25146373385</v>
      </c>
      <c r="F20" s="180">
        <f>(B20-$B$25)^2</f>
        <v>361</v>
      </c>
    </row>
    <row r="21" spans="1:6" x14ac:dyDescent="0.25">
      <c r="A21" s="179" t="str">
        <f>'1.LALB23TrendLine'!A21</f>
        <v>2016</v>
      </c>
      <c r="B21" s="179">
        <f>'1.LALB23TrendLine'!B21</f>
        <v>20</v>
      </c>
      <c r="C21" s="179">
        <f>'1.LALB23TrendLine'!C21</f>
        <v>15631</v>
      </c>
      <c r="D21" s="179">
        <f>$K$1+$K$2*B21</f>
        <v>16487.260870623799</v>
      </c>
      <c r="E21" s="179">
        <f>(C21-D21)^2</f>
        <v>733182.678561426</v>
      </c>
      <c r="F21" s="180">
        <f>(B21-$B$25)^2</f>
        <v>400</v>
      </c>
    </row>
    <row r="22" spans="1:6" x14ac:dyDescent="0.25">
      <c r="A22" s="179" t="str">
        <f>'1.LALB23TrendLine'!A22</f>
        <v>2017</v>
      </c>
      <c r="B22" s="179">
        <f>'1.LALB23TrendLine'!B22</f>
        <v>21</v>
      </c>
      <c r="C22" s="179">
        <f>'1.LALB23TrendLine'!C22</f>
        <v>16887</v>
      </c>
      <c r="D22" s="179">
        <f>$K$1+$K$2*B22</f>
        <v>16884.02174025658</v>
      </c>
      <c r="E22" s="179">
        <f>(C22-D22)^2</f>
        <v>8.8700310992791103</v>
      </c>
      <c r="F22" s="180">
        <f>(B22-$B$25)^2</f>
        <v>441</v>
      </c>
    </row>
    <row r="23" spans="1:6" x14ac:dyDescent="0.25">
      <c r="A23" s="179" t="str">
        <f>'1.LALB23TrendLine'!A23</f>
        <v>2018</v>
      </c>
      <c r="B23" s="179">
        <f>'1.LALB23TrendLine'!B23</f>
        <v>22</v>
      </c>
      <c r="C23" s="179">
        <f>'1.LALB23TrendLine'!C23</f>
        <v>17549</v>
      </c>
      <c r="D23" s="179">
        <f>$K$1+$K$2*B23</f>
        <v>17280.782609889364</v>
      </c>
      <c r="E23" s="179">
        <f>(C23-D23)^2</f>
        <v>71940.568357761193</v>
      </c>
      <c r="F23" s="180">
        <f>(B23-$B$25)^2</f>
        <v>484</v>
      </c>
    </row>
    <row r="24" spans="1:6" x14ac:dyDescent="0.25">
      <c r="A24" s="179" t="str">
        <f>'1.LALB23TrendLine'!A24</f>
        <v>2019</v>
      </c>
      <c r="B24" s="179">
        <f>'1.LALB23TrendLine'!B24</f>
        <v>23</v>
      </c>
      <c r="C24" s="179">
        <f>'1.LALB23TrendLine'!C24</f>
        <v>17090</v>
      </c>
      <c r="D24" s="179">
        <f>$K$1+$K$2*B24</f>
        <v>17677.543479522144</v>
      </c>
      <c r="E24" s="179">
        <f>(C24-D24)^2</f>
        <v>345207.34032898862</v>
      </c>
      <c r="F24" s="180">
        <f>(B24-$B$25)^2</f>
        <v>529</v>
      </c>
    </row>
    <row r="25" spans="1:6" x14ac:dyDescent="0.25">
      <c r="A25" s="179"/>
      <c r="B25" s="179"/>
      <c r="C25" s="179">
        <f>AVERAGE(C2:C24)</f>
        <v>13313.173913043478</v>
      </c>
      <c r="E25" s="180">
        <f>SUM(E2:E24)</f>
        <v>46658555.434782587</v>
      </c>
      <c r="F25" s="180">
        <f>SUM(F2:F24)</f>
        <v>4324</v>
      </c>
    </row>
    <row r="26" spans="1:6" x14ac:dyDescent="0.25">
      <c r="A26" s="179"/>
      <c r="B26" s="179"/>
      <c r="C26" s="179"/>
    </row>
    <row r="27" spans="1:6" x14ac:dyDescent="0.25">
      <c r="A27" s="179"/>
      <c r="B27" s="179"/>
      <c r="C27" s="179"/>
    </row>
    <row r="28" spans="1:6" x14ac:dyDescent="0.25">
      <c r="A28" s="179"/>
      <c r="B28" s="179"/>
      <c r="C28" s="179"/>
    </row>
    <row r="29" spans="1:6" x14ac:dyDescent="0.25">
      <c r="A29" s="179"/>
      <c r="B29" s="179"/>
      <c r="C29" s="179"/>
    </row>
    <row r="30" spans="1:6" x14ac:dyDescent="0.25">
      <c r="A30" s="179"/>
      <c r="B30" s="179"/>
      <c r="C30" s="179"/>
    </row>
    <row r="31" spans="1:6" x14ac:dyDescent="0.25">
      <c r="A31" s="179"/>
      <c r="B31" s="179"/>
      <c r="C31" s="179"/>
    </row>
    <row r="32" spans="1:6" x14ac:dyDescent="0.25">
      <c r="A32" s="179"/>
      <c r="B32" s="179"/>
      <c r="C32" s="179"/>
    </row>
    <row r="33" spans="1:3" x14ac:dyDescent="0.25">
      <c r="A33" s="179"/>
      <c r="B33" s="179"/>
      <c r="C33" s="179"/>
    </row>
    <row r="34" spans="1:3" x14ac:dyDescent="0.25">
      <c r="A34" s="179"/>
      <c r="B34" s="179"/>
      <c r="C34" s="179"/>
    </row>
    <row r="35" spans="1:3" x14ac:dyDescent="0.25">
      <c r="A35" s="179"/>
      <c r="B35" s="179"/>
      <c r="C35" s="179"/>
    </row>
    <row r="36" spans="1:3" x14ac:dyDescent="0.25">
      <c r="A36" s="179"/>
      <c r="B36" s="179"/>
      <c r="C36" s="179"/>
    </row>
    <row r="37" spans="1:3" x14ac:dyDescent="0.25">
      <c r="A37" s="179"/>
      <c r="B37" s="179"/>
      <c r="C37" s="179"/>
    </row>
    <row r="38" spans="1:3" x14ac:dyDescent="0.25">
      <c r="A38" s="179"/>
      <c r="B38" s="179"/>
      <c r="C38" s="179"/>
    </row>
    <row r="39" spans="1:3" x14ac:dyDescent="0.25">
      <c r="A39" s="179"/>
      <c r="B39" s="179"/>
      <c r="C39" s="179"/>
    </row>
    <row r="40" spans="1:3" x14ac:dyDescent="0.25">
      <c r="A40" s="179"/>
      <c r="B40" s="179"/>
      <c r="C40" s="179"/>
    </row>
    <row r="41" spans="1:3" x14ac:dyDescent="0.25">
      <c r="A41" s="179"/>
      <c r="B41" s="179"/>
      <c r="C41" s="179"/>
    </row>
    <row r="42" spans="1:3" x14ac:dyDescent="0.25">
      <c r="A42" s="179"/>
      <c r="B42" s="179"/>
      <c r="C42" s="179"/>
    </row>
    <row r="43" spans="1:3" x14ac:dyDescent="0.25">
      <c r="A43" s="179"/>
      <c r="B43" s="179"/>
      <c r="C43" s="179"/>
    </row>
    <row r="44" spans="1:3" x14ac:dyDescent="0.25">
      <c r="A44" s="179"/>
      <c r="B44" s="179"/>
      <c r="C44" s="179"/>
    </row>
    <row r="45" spans="1:3" x14ac:dyDescent="0.25">
      <c r="A45" s="179"/>
      <c r="B45" s="179"/>
      <c r="C45" s="179"/>
    </row>
    <row r="46" spans="1:3" x14ac:dyDescent="0.25">
      <c r="A46" s="179"/>
      <c r="B46" s="179"/>
      <c r="C46" s="179"/>
    </row>
    <row r="47" spans="1:3" x14ac:dyDescent="0.25">
      <c r="A47" s="179"/>
      <c r="B47" s="179"/>
      <c r="C47" s="179"/>
    </row>
    <row r="48" spans="1:3" x14ac:dyDescent="0.25">
      <c r="A48" s="179"/>
      <c r="B48" s="179"/>
      <c r="C48" s="179"/>
    </row>
    <row r="49" spans="1:3" x14ac:dyDescent="0.25">
      <c r="A49" s="179"/>
      <c r="B49" s="179"/>
      <c r="C49" s="179"/>
    </row>
    <row r="50" spans="1:3" x14ac:dyDescent="0.25">
      <c r="A50" s="179"/>
      <c r="B50" s="179"/>
      <c r="C50" s="17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08C3-94B1-49D7-987F-FF0F0525D9C3}">
  <sheetPr>
    <tabColor rgb="FFFFFF00"/>
  </sheetPr>
  <dimension ref="A1:Q61"/>
  <sheetViews>
    <sheetView zoomScale="73" zoomScaleNormal="73" workbookViewId="0">
      <selection sqref="A1:XFD1048576"/>
    </sheetView>
  </sheetViews>
  <sheetFormatPr defaultColWidth="9.140625" defaultRowHeight="15.75" x14ac:dyDescent="0.25"/>
  <cols>
    <col min="1" max="1" width="9.140625" style="182"/>
    <col min="2" max="2" width="6.7109375" style="182" bestFit="1" customWidth="1"/>
    <col min="3" max="3" width="20" style="182" bestFit="1" customWidth="1"/>
    <col min="4" max="4" width="9.28515625" style="182" bestFit="1" customWidth="1"/>
    <col min="5" max="5" width="8" style="183" bestFit="1" customWidth="1"/>
    <col min="6" max="6" width="5.5703125" style="183" bestFit="1" customWidth="1"/>
    <col min="7" max="7" width="12.7109375" style="183" bestFit="1" customWidth="1"/>
    <col min="8" max="8" width="9" style="183" bestFit="1" customWidth="1"/>
    <col min="9" max="9" width="12.42578125" style="183" bestFit="1" customWidth="1"/>
    <col min="10" max="10" width="8" style="183" bestFit="1" customWidth="1"/>
    <col min="11" max="12" width="11.42578125" style="183" customWidth="1"/>
    <col min="13" max="13" width="15.42578125" style="182" bestFit="1" customWidth="1"/>
    <col min="14" max="16384" width="9.140625" style="182"/>
  </cols>
  <sheetData>
    <row r="1" spans="1:17" ht="16.5" thickBot="1" x14ac:dyDescent="0.3">
      <c r="A1" s="182" t="s">
        <v>160</v>
      </c>
      <c r="E1" s="182"/>
      <c r="F1" s="182"/>
      <c r="G1" s="182"/>
      <c r="H1" s="182"/>
      <c r="I1" s="182"/>
      <c r="J1" s="194">
        <v>1</v>
      </c>
      <c r="K1"/>
      <c r="L1" s="182" t="s">
        <v>159</v>
      </c>
      <c r="M1" s="193"/>
      <c r="N1" s="183"/>
      <c r="O1" s="182" t="s">
        <v>158</v>
      </c>
      <c r="P1" s="183" t="s">
        <v>157</v>
      </c>
      <c r="Q1" s="183" t="s">
        <v>156</v>
      </c>
    </row>
    <row r="2" spans="1:17" x14ac:dyDescent="0.25">
      <c r="A2" s="182" t="s">
        <v>155</v>
      </c>
      <c r="E2" s="182"/>
      <c r="F2" s="182"/>
      <c r="G2" s="182"/>
      <c r="H2" s="182"/>
      <c r="I2" s="182"/>
      <c r="J2" s="182"/>
      <c r="K2"/>
      <c r="L2" s="182"/>
      <c r="N2" s="183">
        <v>0</v>
      </c>
      <c r="O2" s="182">
        <v>0</v>
      </c>
      <c r="P2" s="183">
        <v>5</v>
      </c>
      <c r="Q2" s="183">
        <v>-5</v>
      </c>
    </row>
    <row r="3" spans="1:17" x14ac:dyDescent="0.25">
      <c r="A3" s="182" t="s">
        <v>154</v>
      </c>
      <c r="E3" s="182"/>
      <c r="F3" s="182"/>
      <c r="G3" s="182"/>
      <c r="H3" s="182"/>
      <c r="I3" s="182"/>
      <c r="J3" s="182"/>
      <c r="K3" s="182"/>
      <c r="L3" s="182"/>
      <c r="N3" s="183">
        <v>50</v>
      </c>
      <c r="O3" s="182">
        <v>0</v>
      </c>
      <c r="P3" s="183">
        <v>5</v>
      </c>
      <c r="Q3" s="183">
        <v>-5</v>
      </c>
    </row>
    <row r="4" spans="1:17" x14ac:dyDescent="0.25">
      <c r="A4" s="182" t="s">
        <v>153</v>
      </c>
      <c r="E4" s="182"/>
      <c r="F4" s="182"/>
      <c r="G4" s="182"/>
      <c r="H4" s="182"/>
      <c r="I4" s="182"/>
      <c r="J4" s="182"/>
      <c r="K4" s="182"/>
      <c r="L4"/>
      <c r="N4"/>
    </row>
    <row r="5" spans="1:17" x14ac:dyDescent="0.25">
      <c r="E5" s="182"/>
      <c r="F5" s="182"/>
      <c r="G5" s="182"/>
      <c r="H5" s="182"/>
      <c r="I5" s="182"/>
      <c r="J5" s="182"/>
      <c r="K5" s="182"/>
      <c r="L5" s="182"/>
    </row>
    <row r="6" spans="1:17" x14ac:dyDescent="0.25">
      <c r="K6" s="182"/>
      <c r="M6" s="183"/>
    </row>
    <row r="7" spans="1:17" ht="16.5" x14ac:dyDescent="0.3">
      <c r="A7" s="183" t="s">
        <v>152</v>
      </c>
      <c r="B7" s="192" t="s">
        <v>0</v>
      </c>
      <c r="C7" s="191" t="s">
        <v>151</v>
      </c>
      <c r="D7" s="191" t="s">
        <v>150</v>
      </c>
      <c r="E7" s="191" t="s">
        <v>2</v>
      </c>
      <c r="F7" s="191" t="s">
        <v>149</v>
      </c>
      <c r="G7" s="191" t="s">
        <v>148</v>
      </c>
      <c r="H7" s="191" t="s">
        <v>1</v>
      </c>
      <c r="I7" s="191" t="s">
        <v>147</v>
      </c>
      <c r="J7" s="191" t="s">
        <v>146</v>
      </c>
      <c r="K7" s="183" t="s">
        <v>32</v>
      </c>
      <c r="L7" s="191"/>
      <c r="M7" s="191"/>
    </row>
    <row r="8" spans="1:17" ht="16.5" x14ac:dyDescent="0.3">
      <c r="A8" s="190">
        <v>1</v>
      </c>
      <c r="B8" s="189">
        <v>6464</v>
      </c>
      <c r="C8" s="188">
        <f>B8+$M$1</f>
        <v>6464</v>
      </c>
      <c r="D8" s="188">
        <f>B8-C8</f>
        <v>0</v>
      </c>
      <c r="E8" s="185">
        <f>ABS(D8)</f>
        <v>0</v>
      </c>
      <c r="F8" s="185">
        <f>D8^2</f>
        <v>0</v>
      </c>
      <c r="G8" s="185">
        <f>IFERROR(E8/B8,"")</f>
        <v>0</v>
      </c>
      <c r="H8" s="185">
        <f>AVERAGE(E$8:E8)</f>
        <v>0</v>
      </c>
      <c r="I8" s="185">
        <f>AVERAGE(F$8:F8)</f>
        <v>0</v>
      </c>
      <c r="J8" s="187">
        <f>AVERAGE(G$8:G8)</f>
        <v>0</v>
      </c>
      <c r="K8" s="186">
        <f>SUM(D$8:D8)</f>
        <v>0</v>
      </c>
      <c r="L8" s="185"/>
      <c r="M8" s="185"/>
      <c r="O8"/>
      <c r="P8"/>
      <c r="Q8"/>
    </row>
    <row r="9" spans="1:17" ht="16.5" x14ac:dyDescent="0.3">
      <c r="A9" s="190">
        <v>2</v>
      </c>
      <c r="B9" s="189">
        <v>7475</v>
      </c>
      <c r="C9" s="188">
        <f>(1-$J$1)*C8+$J$1*B8+$M$1</f>
        <v>6464</v>
      </c>
      <c r="D9" s="188">
        <f>B9-C9</f>
        <v>1011</v>
      </c>
      <c r="E9" s="185">
        <f>ABS(D9)</f>
        <v>1011</v>
      </c>
      <c r="F9" s="185">
        <f>D9^2</f>
        <v>1022121</v>
      </c>
      <c r="G9" s="185">
        <f>IFERROR(E9/B9,"")</f>
        <v>0.13525083612040134</v>
      </c>
      <c r="H9" s="185">
        <f>AVERAGE(E$8:E9)</f>
        <v>505.5</v>
      </c>
      <c r="I9" s="185">
        <f>AVERAGE(F$8:F9)</f>
        <v>511060.5</v>
      </c>
      <c r="J9" s="187">
        <f>AVERAGE(G$8:G9)</f>
        <v>6.762541806020067E-2</v>
      </c>
      <c r="K9" s="186">
        <f>SUM(D$8:D9)</f>
        <v>1011</v>
      </c>
      <c r="L9" s="185"/>
      <c r="M9" s="185"/>
      <c r="O9"/>
      <c r="P9"/>
      <c r="Q9"/>
    </row>
    <row r="10" spans="1:17" ht="16.5" x14ac:dyDescent="0.3">
      <c r="A10" s="190">
        <v>3</v>
      </c>
      <c r="B10" s="189">
        <v>8237</v>
      </c>
      <c r="C10" s="188">
        <f>(1-$J$1)*C9+$J$1*B9+$M$1</f>
        <v>7475</v>
      </c>
      <c r="D10" s="188">
        <f>B10-C10</f>
        <v>762</v>
      </c>
      <c r="E10" s="185">
        <f>ABS(D10)</f>
        <v>762</v>
      </c>
      <c r="F10" s="185">
        <f>D10^2</f>
        <v>580644</v>
      </c>
      <c r="G10" s="185">
        <f>IFERROR(E10/B10,"")</f>
        <v>9.2509408765327178E-2</v>
      </c>
      <c r="H10" s="185">
        <f>AVERAGE(E$8:E10)</f>
        <v>591</v>
      </c>
      <c r="I10" s="185">
        <f>AVERAGE(F$8:F10)</f>
        <v>534255</v>
      </c>
      <c r="J10" s="187">
        <f>AVERAGE(G$8:G10)</f>
        <v>7.5920081628576178E-2</v>
      </c>
      <c r="K10" s="186">
        <f>SUM(D$8:D10)</f>
        <v>1773</v>
      </c>
      <c r="L10" s="185"/>
      <c r="M10" s="185"/>
      <c r="O10"/>
      <c r="P10"/>
      <c r="Q10"/>
    </row>
    <row r="11" spans="1:17" ht="16.5" x14ac:dyDescent="0.3">
      <c r="A11" s="190">
        <v>4</v>
      </c>
      <c r="B11" s="189">
        <v>9480</v>
      </c>
      <c r="C11" s="188">
        <f>(1-$J$1)*C10+$J$1*B10+$M$1</f>
        <v>8237</v>
      </c>
      <c r="D11" s="188">
        <f>B11-C11</f>
        <v>1243</v>
      </c>
      <c r="E11" s="185">
        <f>ABS(D11)</f>
        <v>1243</v>
      </c>
      <c r="F11" s="185">
        <f>D11^2</f>
        <v>1545049</v>
      </c>
      <c r="G11" s="185">
        <f>IFERROR(E11/B11,"")</f>
        <v>0.1311181434599156</v>
      </c>
      <c r="H11" s="185">
        <f>AVERAGE(E$8:E11)</f>
        <v>754</v>
      </c>
      <c r="I11" s="185">
        <f>AVERAGE(F$8:F11)</f>
        <v>786953.5</v>
      </c>
      <c r="J11" s="187">
        <f>AVERAGE(G$8:G11)</f>
        <v>8.9719597086411029E-2</v>
      </c>
      <c r="K11" s="186">
        <f>SUM(D$8:D11)</f>
        <v>3016</v>
      </c>
      <c r="L11" s="185"/>
      <c r="M11" s="185"/>
      <c r="O11"/>
      <c r="P11"/>
      <c r="Q11"/>
    </row>
    <row r="12" spans="1:17" ht="16.5" x14ac:dyDescent="0.3">
      <c r="A12" s="190">
        <v>5</v>
      </c>
      <c r="B12" s="189">
        <v>11642</v>
      </c>
      <c r="C12" s="188">
        <f>(1-$J$1)*C11+$J$1*B11+$M$1</f>
        <v>9480</v>
      </c>
      <c r="D12" s="188">
        <f>B12-C12</f>
        <v>2162</v>
      </c>
      <c r="E12" s="185">
        <f>ABS(D12)</f>
        <v>2162</v>
      </c>
      <c r="F12" s="185">
        <f>D12^2</f>
        <v>4674244</v>
      </c>
      <c r="G12" s="185">
        <f>IFERROR(E12/B12,"")</f>
        <v>0.18570692320907062</v>
      </c>
      <c r="H12" s="185">
        <f>AVERAGE(E$8:E12)</f>
        <v>1035.5999999999999</v>
      </c>
      <c r="I12" s="185">
        <f>AVERAGE(F$8:F12)</f>
        <v>1564411.6</v>
      </c>
      <c r="J12" s="187">
        <f>AVERAGE(G$8:G12)</f>
        <v>0.10891706231094296</v>
      </c>
      <c r="K12" s="186">
        <f>SUM(D$8:D12)</f>
        <v>5178</v>
      </c>
      <c r="L12" s="185"/>
      <c r="M12" s="185"/>
      <c r="O12"/>
      <c r="P12"/>
      <c r="Q12"/>
    </row>
    <row r="13" spans="1:17" ht="16.5" x14ac:dyDescent="0.3">
      <c r="A13" s="190">
        <v>6</v>
      </c>
      <c r="B13" s="189">
        <v>11705</v>
      </c>
      <c r="C13" s="188">
        <f>(1-$J$1)*C12+$J$1*B12+$M$1</f>
        <v>11642</v>
      </c>
      <c r="D13" s="188">
        <f>B13-C13</f>
        <v>63</v>
      </c>
      <c r="E13" s="185">
        <f>ABS(D13)</f>
        <v>63</v>
      </c>
      <c r="F13" s="185">
        <f>D13^2</f>
        <v>3969</v>
      </c>
      <c r="G13" s="185">
        <f>IFERROR(E13/B13,"")</f>
        <v>5.3823152498932081E-3</v>
      </c>
      <c r="H13" s="185">
        <f>AVERAGE(E$8:E13)</f>
        <v>873.5</v>
      </c>
      <c r="I13" s="185">
        <f>AVERAGE(F$8:F13)</f>
        <v>1304337.8333333333</v>
      </c>
      <c r="J13" s="187">
        <f>AVERAGE(G$8:G13)</f>
        <v>9.166127113410133E-2</v>
      </c>
      <c r="K13" s="186">
        <f>SUM(D$8:D13)</f>
        <v>5241</v>
      </c>
      <c r="L13" s="185"/>
      <c r="M13" s="185"/>
      <c r="O13"/>
      <c r="P13"/>
      <c r="Q13"/>
    </row>
    <row r="14" spans="1:17" ht="16.5" x14ac:dyDescent="0.3">
      <c r="A14" s="190">
        <v>7</v>
      </c>
      <c r="B14" s="189">
        <v>11837</v>
      </c>
      <c r="C14" s="188">
        <f>(1-$J$1)*C13+$J$1*B13+$M$1</f>
        <v>11705</v>
      </c>
      <c r="D14" s="188">
        <f>B14-C14</f>
        <v>132</v>
      </c>
      <c r="E14" s="185">
        <f>ABS(D14)</f>
        <v>132</v>
      </c>
      <c r="F14" s="185">
        <f>D14^2</f>
        <v>17424</v>
      </c>
      <c r="G14" s="185">
        <f>IFERROR(E14/B14,"")</f>
        <v>1.1151474191095717E-2</v>
      </c>
      <c r="H14" s="185">
        <f>AVERAGE(E$8:E14)</f>
        <v>767.57142857142856</v>
      </c>
      <c r="I14" s="185">
        <f>AVERAGE(F$8:F14)</f>
        <v>1120493</v>
      </c>
      <c r="J14" s="187">
        <f>AVERAGE(G$8:G14)</f>
        <v>8.015987157081482E-2</v>
      </c>
      <c r="K14" s="186">
        <f>SUM(D$8:D14)</f>
        <v>5373</v>
      </c>
      <c r="L14" s="185"/>
      <c r="M14" s="185"/>
      <c r="O14"/>
      <c r="P14"/>
      <c r="Q14"/>
    </row>
    <row r="15" spans="1:17" ht="16.5" x14ac:dyDescent="0.3">
      <c r="A15" s="190">
        <v>8</v>
      </c>
      <c r="B15" s="189">
        <v>13101</v>
      </c>
      <c r="C15" s="188">
        <f>(1-$J$1)*C14+$J$1*B14+$M$1</f>
        <v>11837</v>
      </c>
      <c r="D15" s="188">
        <f>B15-C15</f>
        <v>1264</v>
      </c>
      <c r="E15" s="185">
        <f>ABS(D15)</f>
        <v>1264</v>
      </c>
      <c r="F15" s="185">
        <f>D15^2</f>
        <v>1597696</v>
      </c>
      <c r="G15" s="185">
        <f>IFERROR(E15/B15,"")</f>
        <v>9.6481184642393705E-2</v>
      </c>
      <c r="H15" s="185">
        <f>AVERAGE(E$8:E15)</f>
        <v>829.625</v>
      </c>
      <c r="I15" s="185">
        <f>AVERAGE(F$8:F15)</f>
        <v>1180143.375</v>
      </c>
      <c r="J15" s="187">
        <f>AVERAGE(G$8:G15)</f>
        <v>8.2200035704762184E-2</v>
      </c>
      <c r="K15" s="186">
        <f>SUM(D$8:D15)</f>
        <v>6637</v>
      </c>
      <c r="L15" s="185"/>
      <c r="M15" s="185"/>
      <c r="O15"/>
      <c r="P15"/>
      <c r="Q15"/>
    </row>
    <row r="16" spans="1:17" ht="16.5" x14ac:dyDescent="0.3">
      <c r="A16" s="190">
        <v>9</v>
      </c>
      <c r="B16" s="189">
        <v>14194</v>
      </c>
      <c r="C16" s="188">
        <f>(1-$J$1)*C15+$J$1*B15+$M$1</f>
        <v>13101</v>
      </c>
      <c r="D16" s="188">
        <f>B16-C16</f>
        <v>1093</v>
      </c>
      <c r="E16" s="185">
        <f>ABS(D16)</f>
        <v>1093</v>
      </c>
      <c r="F16" s="185">
        <f>D16^2</f>
        <v>1194649</v>
      </c>
      <c r="G16" s="185">
        <f>IFERROR(E16/B16,"")</f>
        <v>7.7004368042835003E-2</v>
      </c>
      <c r="H16" s="185">
        <f>AVERAGE(E$8:E16)</f>
        <v>858.88888888888891</v>
      </c>
      <c r="I16" s="185">
        <f>AVERAGE(F$8:F16)</f>
        <v>1181755.111111111</v>
      </c>
      <c r="J16" s="187">
        <f>AVERAGE(G$8:G16)</f>
        <v>8.1622739297881386E-2</v>
      </c>
      <c r="K16" s="186">
        <f>SUM(D$8:D16)</f>
        <v>7730</v>
      </c>
      <c r="L16" s="185"/>
      <c r="M16" s="185"/>
      <c r="O16"/>
      <c r="P16"/>
      <c r="Q16"/>
    </row>
    <row r="17" spans="1:17" ht="16.5" x14ac:dyDescent="0.3">
      <c r="A17" s="190">
        <v>10</v>
      </c>
      <c r="B17" s="189">
        <v>15760</v>
      </c>
      <c r="C17" s="188">
        <f>(1-$J$1)*C16+$J$1*B16+$M$1</f>
        <v>14194</v>
      </c>
      <c r="D17" s="188">
        <f>B17-C17</f>
        <v>1566</v>
      </c>
      <c r="E17" s="185">
        <f>ABS(D17)</f>
        <v>1566</v>
      </c>
      <c r="F17" s="185">
        <f>D17^2</f>
        <v>2452356</v>
      </c>
      <c r="G17" s="185">
        <f>IFERROR(E17/B17,"")</f>
        <v>9.9365482233502542E-2</v>
      </c>
      <c r="H17" s="185">
        <f>AVERAGE(E$8:E17)</f>
        <v>929.6</v>
      </c>
      <c r="I17" s="185">
        <f>AVERAGE(F$8:F17)</f>
        <v>1308815.2</v>
      </c>
      <c r="J17" s="187">
        <f>AVERAGE(G$8:G17)</f>
        <v>8.3397013591443497E-2</v>
      </c>
      <c r="K17" s="186">
        <f>SUM(D$8:D17)</f>
        <v>9296</v>
      </c>
      <c r="L17" s="185"/>
      <c r="M17" s="185"/>
      <c r="O17"/>
      <c r="P17"/>
      <c r="Q17"/>
    </row>
    <row r="18" spans="1:17" ht="16.5" x14ac:dyDescent="0.3">
      <c r="A18" s="190">
        <v>11</v>
      </c>
      <c r="B18" s="189">
        <v>15667</v>
      </c>
      <c r="C18" s="188">
        <f>(1-$J$1)*C17+$J$1*B17+$M$1</f>
        <v>15760</v>
      </c>
      <c r="D18" s="188">
        <f>B18-C18</f>
        <v>-93</v>
      </c>
      <c r="E18" s="185">
        <f>ABS(D18)</f>
        <v>93</v>
      </c>
      <c r="F18" s="185">
        <f>D18^2</f>
        <v>8649</v>
      </c>
      <c r="G18" s="185">
        <f>IFERROR(E18/B18,"")</f>
        <v>5.9360439139592774E-3</v>
      </c>
      <c r="H18" s="185">
        <f>AVERAGE(E$8:E18)</f>
        <v>853.5454545454545</v>
      </c>
      <c r="I18" s="185">
        <f>AVERAGE(F$8:F18)</f>
        <v>1190618.2727272727</v>
      </c>
      <c r="J18" s="187">
        <f>AVERAGE(G$8:G18)</f>
        <v>7.6355107257126756E-2</v>
      </c>
      <c r="K18" s="186">
        <f>SUM(D$8:D18)</f>
        <v>9203</v>
      </c>
      <c r="L18" s="185"/>
      <c r="M18" s="185"/>
      <c r="O18"/>
      <c r="P18"/>
      <c r="Q18"/>
    </row>
    <row r="19" spans="1:17" ht="16.5" x14ac:dyDescent="0.3">
      <c r="A19" s="190">
        <v>12</v>
      </c>
      <c r="B19" s="189">
        <v>14338</v>
      </c>
      <c r="C19" s="188">
        <f>(1-$J$1)*C18+$J$1*B18+$M$1</f>
        <v>15667</v>
      </c>
      <c r="D19" s="188">
        <f>B19-C19</f>
        <v>-1329</v>
      </c>
      <c r="E19" s="185">
        <f>ABS(D19)</f>
        <v>1329</v>
      </c>
      <c r="F19" s="185">
        <f>D19^2</f>
        <v>1766241</v>
      </c>
      <c r="G19" s="185">
        <f>IFERROR(E19/B19,"")</f>
        <v>9.2690751848235456E-2</v>
      </c>
      <c r="H19" s="185">
        <f>AVERAGE(E$8:E19)</f>
        <v>893.16666666666663</v>
      </c>
      <c r="I19" s="185">
        <f>AVERAGE(F$8:F19)</f>
        <v>1238586.8333333333</v>
      </c>
      <c r="J19" s="187">
        <f>AVERAGE(G$8:G19)</f>
        <v>7.7716410973052485E-2</v>
      </c>
      <c r="K19" s="186">
        <f>SUM(D$8:D19)</f>
        <v>7874</v>
      </c>
      <c r="L19" s="185"/>
      <c r="M19" s="185"/>
      <c r="O19"/>
      <c r="P19"/>
      <c r="Q19"/>
    </row>
    <row r="20" spans="1:17" ht="16.5" x14ac:dyDescent="0.3">
      <c r="A20" s="190">
        <v>13</v>
      </c>
      <c r="B20" s="189">
        <v>11816</v>
      </c>
      <c r="C20" s="188">
        <f>(1-$J$1)*C19+$J$1*B19+$M$1</f>
        <v>14338</v>
      </c>
      <c r="D20" s="188">
        <f>B20-C20</f>
        <v>-2522</v>
      </c>
      <c r="E20" s="185">
        <f>ABS(D20)</f>
        <v>2522</v>
      </c>
      <c r="F20" s="185">
        <f>D20^2</f>
        <v>6360484</v>
      </c>
      <c r="G20" s="185">
        <f>IFERROR(E20/B20,"")</f>
        <v>0.21343940419769802</v>
      </c>
      <c r="H20" s="185">
        <f>AVERAGE(E$8:E20)</f>
        <v>1018.4615384615385</v>
      </c>
      <c r="I20" s="185">
        <f>AVERAGE(F$8:F20)</f>
        <v>1632578.923076923</v>
      </c>
      <c r="J20" s="187">
        <f>AVERAGE(G$8:G20)</f>
        <v>8.8156641221102144E-2</v>
      </c>
      <c r="K20" s="186">
        <f>SUM(D$8:D20)</f>
        <v>5352</v>
      </c>
      <c r="L20" s="185"/>
      <c r="M20" s="185"/>
      <c r="O20"/>
      <c r="P20"/>
      <c r="Q20"/>
    </row>
    <row r="21" spans="1:17" ht="16.5" x14ac:dyDescent="0.3">
      <c r="A21" s="190">
        <v>14</v>
      </c>
      <c r="B21" s="189">
        <v>14095</v>
      </c>
      <c r="C21" s="188">
        <f>(1-$J$1)*C20+$J$1*B20+$M$1</f>
        <v>11816</v>
      </c>
      <c r="D21" s="188">
        <f>B21-C21</f>
        <v>2279</v>
      </c>
      <c r="E21" s="185">
        <f>ABS(D21)</f>
        <v>2279</v>
      </c>
      <c r="F21" s="185">
        <f>D21^2</f>
        <v>5193841</v>
      </c>
      <c r="G21" s="185">
        <f>IFERROR(E21/B21,"")</f>
        <v>0.16168854203618305</v>
      </c>
      <c r="H21" s="185">
        <f>AVERAGE(E$8:E21)</f>
        <v>1108.5</v>
      </c>
      <c r="I21" s="185">
        <f>AVERAGE(F$8:F21)</f>
        <v>1886954.7857142857</v>
      </c>
      <c r="J21" s="187">
        <f>AVERAGE(G$8:G21)</f>
        <v>9.3408919850750796E-2</v>
      </c>
      <c r="K21" s="186">
        <f>SUM(D$8:D21)</f>
        <v>7631</v>
      </c>
      <c r="L21" s="185"/>
      <c r="M21" s="185"/>
      <c r="O21"/>
      <c r="P21"/>
      <c r="Q21"/>
    </row>
    <row r="22" spans="1:17" ht="16.5" x14ac:dyDescent="0.3">
      <c r="A22" s="190">
        <v>15</v>
      </c>
      <c r="B22" s="189">
        <v>14001</v>
      </c>
      <c r="C22" s="188">
        <f>(1-$J$1)*C21+$J$1*B21+$M$1</f>
        <v>14095</v>
      </c>
      <c r="D22" s="188">
        <f>B22-C22</f>
        <v>-94</v>
      </c>
      <c r="E22" s="185">
        <f>ABS(D22)</f>
        <v>94</v>
      </c>
      <c r="F22" s="185">
        <f>D22^2</f>
        <v>8836</v>
      </c>
      <c r="G22" s="185">
        <f>IFERROR(E22/B22,"")</f>
        <v>6.7138061567030925E-3</v>
      </c>
      <c r="H22" s="185">
        <f>AVERAGE(E$8:E22)</f>
        <v>1040.8666666666666</v>
      </c>
      <c r="I22" s="185">
        <f>AVERAGE(F$8:F22)</f>
        <v>1761746.8666666667</v>
      </c>
      <c r="J22" s="187">
        <f>AVERAGE(G$8:G22)</f>
        <v>8.7629245604480946E-2</v>
      </c>
      <c r="K22" s="186">
        <f>SUM(D$8:D22)</f>
        <v>7537</v>
      </c>
      <c r="L22" s="185"/>
      <c r="M22" s="185"/>
      <c r="O22"/>
      <c r="P22"/>
      <c r="Q22"/>
    </row>
    <row r="23" spans="1:17" ht="16.5" x14ac:dyDescent="0.3">
      <c r="A23" s="190">
        <v>16</v>
      </c>
      <c r="B23" s="189">
        <v>14123</v>
      </c>
      <c r="C23" s="188">
        <f>(1-$J$1)*C22+$J$1*B22+$M$1</f>
        <v>14001</v>
      </c>
      <c r="D23" s="188">
        <f>B23-C23</f>
        <v>122</v>
      </c>
      <c r="E23" s="185">
        <f>ABS(D23)</f>
        <v>122</v>
      </c>
      <c r="F23" s="185">
        <f>D23^2</f>
        <v>14884</v>
      </c>
      <c r="G23" s="185">
        <f>IFERROR(E23/B23,"")</f>
        <v>8.6383912766409398E-3</v>
      </c>
      <c r="H23" s="185">
        <f>AVERAGE(E$8:E23)</f>
        <v>983.4375</v>
      </c>
      <c r="I23" s="185">
        <f>AVERAGE(F$8:F23)</f>
        <v>1652567.9375</v>
      </c>
      <c r="J23" s="187">
        <f>AVERAGE(G$8:G23)</f>
        <v>8.2692317208990951E-2</v>
      </c>
      <c r="K23" s="186">
        <f>SUM(D$8:D23)</f>
        <v>7659</v>
      </c>
      <c r="L23" s="185"/>
      <c r="M23" s="185"/>
      <c r="O23"/>
      <c r="P23"/>
      <c r="Q23"/>
    </row>
    <row r="24" spans="1:17" ht="16.5" x14ac:dyDescent="0.3">
      <c r="A24" s="190">
        <v>17</v>
      </c>
      <c r="B24" s="189">
        <v>14599</v>
      </c>
      <c r="C24" s="188">
        <f>(1-$J$1)*C23+$J$1*B23+$M$1</f>
        <v>14123</v>
      </c>
      <c r="D24" s="188">
        <f>B24-C24</f>
        <v>476</v>
      </c>
      <c r="E24" s="185">
        <f>ABS(D24)</f>
        <v>476</v>
      </c>
      <c r="F24" s="185">
        <f>D24^2</f>
        <v>226576</v>
      </c>
      <c r="G24" s="185">
        <f>IFERROR(E24/B24,"")</f>
        <v>3.2604972943352281E-2</v>
      </c>
      <c r="H24" s="185">
        <f>AVERAGE(E$8:E24)</f>
        <v>953.58823529411768</v>
      </c>
      <c r="I24" s="185">
        <f>AVERAGE(F$8:F24)</f>
        <v>1568686.0588235294</v>
      </c>
      <c r="J24" s="187">
        <f>AVERAGE(G$8:G24)</f>
        <v>7.9746002840423963E-2</v>
      </c>
      <c r="K24" s="186">
        <f>SUM(D$8:D24)</f>
        <v>8135</v>
      </c>
      <c r="L24" s="185"/>
      <c r="M24" s="185"/>
      <c r="O24"/>
      <c r="P24"/>
      <c r="Q24"/>
    </row>
    <row r="25" spans="1:17" ht="16.5" x14ac:dyDescent="0.3">
      <c r="A25" s="190">
        <v>18</v>
      </c>
      <c r="B25" s="189">
        <v>15160</v>
      </c>
      <c r="C25" s="188">
        <f>(1-$J$1)*C24+$J$1*B24+$M$1</f>
        <v>14599</v>
      </c>
      <c r="D25" s="188">
        <f>B25-C25</f>
        <v>561</v>
      </c>
      <c r="E25" s="185">
        <f>ABS(D25)</f>
        <v>561</v>
      </c>
      <c r="F25" s="185">
        <f>D25^2</f>
        <v>314721</v>
      </c>
      <c r="G25" s="185">
        <f>IFERROR(E25/B25,"")</f>
        <v>3.700527704485488E-2</v>
      </c>
      <c r="H25" s="185">
        <f>AVERAGE(E$8:E25)</f>
        <v>931.77777777777783</v>
      </c>
      <c r="I25" s="185">
        <f>AVERAGE(F$8:F25)</f>
        <v>1499021.3333333333</v>
      </c>
      <c r="J25" s="187">
        <f>AVERAGE(G$8:G25)</f>
        <v>7.7371518074003456E-2</v>
      </c>
      <c r="K25" s="186">
        <f>SUM(D$8:D25)</f>
        <v>8696</v>
      </c>
      <c r="L25" s="185"/>
      <c r="M25" s="185"/>
    </row>
    <row r="26" spans="1:17" ht="16.5" x14ac:dyDescent="0.3">
      <c r="A26" s="190">
        <v>19</v>
      </c>
      <c r="B26" s="189">
        <v>15352</v>
      </c>
      <c r="C26" s="188">
        <f>(1-$J$1)*C25+$J$1*B25+$M$1</f>
        <v>15160</v>
      </c>
      <c r="D26" s="188">
        <f>B26-C26</f>
        <v>192</v>
      </c>
      <c r="E26" s="185">
        <f>ABS(D26)</f>
        <v>192</v>
      </c>
      <c r="F26" s="185">
        <f>D26^2</f>
        <v>36864</v>
      </c>
      <c r="G26" s="185">
        <f>IFERROR(E26/B26,"")</f>
        <v>1.2506513809275664E-2</v>
      </c>
      <c r="H26" s="185">
        <f>AVERAGE(E$8:E26)</f>
        <v>892.84210526315792</v>
      </c>
      <c r="I26" s="185">
        <f>AVERAGE(F$8:F26)</f>
        <v>1422065.6842105263</v>
      </c>
      <c r="J26" s="187">
        <f>AVERAGE(G$8:G26)</f>
        <v>7.3957570481123044E-2</v>
      </c>
      <c r="K26" s="186">
        <f>SUM(D$8:D26)</f>
        <v>8888</v>
      </c>
      <c r="L26" s="185"/>
      <c r="M26" s="185"/>
    </row>
    <row r="27" spans="1:17" ht="16.5" x14ac:dyDescent="0.3">
      <c r="A27" s="190">
        <v>20</v>
      </c>
      <c r="B27" s="189">
        <v>15631</v>
      </c>
      <c r="C27" s="188">
        <f>(1-$J$1)*C26+$J$1*B26+$M$1</f>
        <v>15352</v>
      </c>
      <c r="D27" s="188">
        <f>B27-C27</f>
        <v>279</v>
      </c>
      <c r="E27" s="185">
        <f>ABS(D27)</f>
        <v>279</v>
      </c>
      <c r="F27" s="185">
        <f>D27^2</f>
        <v>77841</v>
      </c>
      <c r="G27" s="185">
        <f>IFERROR(E27/B27,"")</f>
        <v>1.7849145927963661E-2</v>
      </c>
      <c r="H27" s="185">
        <f>AVERAGE(E$8:E27)</f>
        <v>862.15</v>
      </c>
      <c r="I27" s="185">
        <f>AVERAGE(F$8:F27)</f>
        <v>1354854.45</v>
      </c>
      <c r="J27" s="187">
        <f>AVERAGE(G$8:G27)</f>
        <v>7.115214925346508E-2</v>
      </c>
      <c r="K27" s="186">
        <f>SUM(D$8:D27)</f>
        <v>9167</v>
      </c>
      <c r="L27" s="185"/>
      <c r="M27" s="185"/>
    </row>
    <row r="28" spans="1:17" ht="16.5" x14ac:dyDescent="0.3">
      <c r="A28" s="190">
        <v>21</v>
      </c>
      <c r="B28" s="189">
        <v>16887</v>
      </c>
      <c r="C28" s="188">
        <f>(1-$J$1)*C27+$J$1*B27+$M$1</f>
        <v>15631</v>
      </c>
      <c r="D28" s="188">
        <f>B28-C28</f>
        <v>1256</v>
      </c>
      <c r="E28" s="185">
        <f>ABS(D28)</f>
        <v>1256</v>
      </c>
      <c r="F28" s="185">
        <f>D28^2</f>
        <v>1577536</v>
      </c>
      <c r="G28" s="185">
        <f>IFERROR(E28/B28,"")</f>
        <v>7.4376739503760295E-2</v>
      </c>
      <c r="H28" s="185">
        <f>AVERAGE(E$8:E28)</f>
        <v>880.90476190476193</v>
      </c>
      <c r="I28" s="185">
        <f>AVERAGE(F$8:F28)</f>
        <v>1365458.3333333333</v>
      </c>
      <c r="J28" s="187">
        <f>AVERAGE(G$8:G28)</f>
        <v>7.1305701170145799E-2</v>
      </c>
      <c r="K28" s="186">
        <f>SUM(D$8:D28)</f>
        <v>10423</v>
      </c>
      <c r="L28" s="185"/>
      <c r="M28" s="185"/>
    </row>
    <row r="29" spans="1:17" ht="16.5" x14ac:dyDescent="0.3">
      <c r="A29" s="190">
        <v>22</v>
      </c>
      <c r="B29" s="189">
        <v>17549</v>
      </c>
      <c r="C29" s="188">
        <f>(1-$J$1)*C28+$J$1*B28+$M$1</f>
        <v>16887</v>
      </c>
      <c r="D29" s="188">
        <f>B29-C29</f>
        <v>662</v>
      </c>
      <c r="E29" s="185">
        <f>ABS(D29)</f>
        <v>662</v>
      </c>
      <c r="F29" s="185">
        <f>D29^2</f>
        <v>438244</v>
      </c>
      <c r="G29" s="185">
        <f>IFERROR(E29/B29,"")</f>
        <v>3.7722947176477291E-2</v>
      </c>
      <c r="H29" s="185">
        <f>AVERAGE(E$8:E29)</f>
        <v>870.9545454545455</v>
      </c>
      <c r="I29" s="185">
        <f>AVERAGE(F$8:F29)</f>
        <v>1323312.2272727273</v>
      </c>
      <c r="J29" s="187">
        <f>AVERAGE(G$8:G29)</f>
        <v>6.9779212352251777E-2</v>
      </c>
      <c r="K29" s="186">
        <f>SUM(D$8:D29)</f>
        <v>11085</v>
      </c>
      <c r="L29" s="185"/>
      <c r="M29" s="185"/>
    </row>
    <row r="30" spans="1:17" ht="16.5" x14ac:dyDescent="0.3">
      <c r="A30" s="190">
        <v>23</v>
      </c>
      <c r="B30" s="189">
        <v>17090</v>
      </c>
      <c r="C30" s="188">
        <f>(1-$J$1)*C29+$J$1*B29+$M$1</f>
        <v>17549</v>
      </c>
      <c r="D30" s="188">
        <f>B30-C30</f>
        <v>-459</v>
      </c>
      <c r="E30" s="185">
        <f>ABS(D30)</f>
        <v>459</v>
      </c>
      <c r="F30" s="185">
        <f>D30^2</f>
        <v>210681</v>
      </c>
      <c r="G30" s="185">
        <f>IFERROR(E30/B30,"")</f>
        <v>2.6857811585722646E-2</v>
      </c>
      <c r="H30" s="185">
        <f>AVERAGE(E$8:E30)</f>
        <v>853.04347826086962</v>
      </c>
      <c r="I30" s="185">
        <f>AVERAGE(F$8:F30)</f>
        <v>1274936.956521739</v>
      </c>
      <c r="J30" s="187">
        <f>AVERAGE(G$8:G30)</f>
        <v>6.7913064492837474E-2</v>
      </c>
      <c r="K30" s="186">
        <f>SUM(D$8:D30)</f>
        <v>10626</v>
      </c>
      <c r="L30" s="185"/>
      <c r="M30" s="185"/>
    </row>
    <row r="31" spans="1:17" customFormat="1" ht="15" x14ac:dyDescent="0.25">
      <c r="H31" s="184"/>
      <c r="I31" s="184"/>
      <c r="J31" s="184"/>
    </row>
    <row r="32" spans="1:17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2DB2-F376-4B27-BE4C-546D734C8B29}">
  <sheetPr>
    <tabColor rgb="FFFFFF00"/>
  </sheetPr>
  <dimension ref="A1:Z61"/>
  <sheetViews>
    <sheetView zoomScale="60" zoomScaleNormal="60" workbookViewId="0">
      <selection sqref="A1:XFD1048576"/>
    </sheetView>
  </sheetViews>
  <sheetFormatPr defaultColWidth="9.140625" defaultRowHeight="15.75" x14ac:dyDescent="0.25"/>
  <cols>
    <col min="1" max="1" width="9.140625" style="182"/>
    <col min="2" max="2" width="9.85546875" style="182" bestFit="1" customWidth="1"/>
    <col min="3" max="3" width="20" style="182" bestFit="1" customWidth="1"/>
    <col min="4" max="4" width="9.42578125" style="182" bestFit="1" customWidth="1"/>
    <col min="5" max="5" width="17.5703125" style="183" bestFit="1" customWidth="1"/>
    <col min="6" max="6" width="12.42578125" style="183" bestFit="1" customWidth="1"/>
    <col min="7" max="7" width="12.7109375" style="183" bestFit="1" customWidth="1"/>
    <col min="8" max="8" width="13.7109375" style="183" bestFit="1" customWidth="1"/>
    <col min="9" max="9" width="12.42578125" style="183" bestFit="1" customWidth="1"/>
    <col min="10" max="10" width="8" style="183" bestFit="1" customWidth="1"/>
    <col min="11" max="11" width="13.28515625" style="183" bestFit="1" customWidth="1"/>
    <col min="12" max="12" width="11.42578125" style="183" customWidth="1"/>
    <col min="13" max="13" width="15.42578125" style="182" bestFit="1" customWidth="1"/>
    <col min="14" max="14" width="9.140625" style="182"/>
    <col min="15" max="15" width="13.42578125" style="182" bestFit="1" customWidth="1"/>
    <col min="16" max="16384" width="9.140625" style="182"/>
  </cols>
  <sheetData>
    <row r="1" spans="1:26" ht="16.5" thickBot="1" x14ac:dyDescent="0.3">
      <c r="A1" s="182" t="s">
        <v>160</v>
      </c>
      <c r="E1" s="182"/>
      <c r="F1" s="182"/>
      <c r="G1" s="182"/>
      <c r="H1" s="182"/>
      <c r="I1" s="182"/>
      <c r="J1" s="196">
        <v>1</v>
      </c>
      <c r="K1"/>
      <c r="L1" s="182" t="s">
        <v>159</v>
      </c>
      <c r="M1" s="193">
        <v>0</v>
      </c>
      <c r="N1" s="183"/>
      <c r="O1" s="182" t="s">
        <v>158</v>
      </c>
      <c r="P1" s="183" t="s">
        <v>157</v>
      </c>
      <c r="Q1" s="183" t="s">
        <v>156</v>
      </c>
    </row>
    <row r="2" spans="1:26" x14ac:dyDescent="0.25">
      <c r="A2" s="182" t="s">
        <v>155</v>
      </c>
      <c r="E2" s="182"/>
      <c r="F2" s="182"/>
      <c r="G2" s="182"/>
      <c r="H2" s="182"/>
      <c r="I2" s="182"/>
      <c r="J2" s="195">
        <v>0</v>
      </c>
      <c r="K2"/>
      <c r="L2" s="182"/>
      <c r="N2" s="183">
        <v>0</v>
      </c>
      <c r="O2" s="182">
        <v>0</v>
      </c>
      <c r="P2" s="183">
        <v>5</v>
      </c>
      <c r="Q2" s="183">
        <v>-5</v>
      </c>
    </row>
    <row r="3" spans="1:26" x14ac:dyDescent="0.25">
      <c r="A3" s="182" t="s">
        <v>154</v>
      </c>
      <c r="E3" s="182"/>
      <c r="F3" s="182"/>
      <c r="G3" s="182"/>
      <c r="H3" s="182"/>
      <c r="I3" s="182"/>
      <c r="J3" s="182"/>
      <c r="K3" s="182"/>
      <c r="L3" s="182"/>
      <c r="N3" s="183">
        <v>50</v>
      </c>
      <c r="O3" s="182">
        <v>0</v>
      </c>
      <c r="P3" s="183">
        <v>5</v>
      </c>
      <c r="Q3" s="183">
        <v>-5</v>
      </c>
    </row>
    <row r="4" spans="1:26" x14ac:dyDescent="0.25">
      <c r="A4" s="182" t="s">
        <v>153</v>
      </c>
      <c r="E4" s="182"/>
      <c r="F4" s="182"/>
      <c r="G4" s="182"/>
      <c r="H4" s="182"/>
      <c r="I4" s="182"/>
      <c r="J4" s="182"/>
      <c r="K4" s="182"/>
      <c r="L4"/>
      <c r="N4"/>
    </row>
    <row r="5" spans="1:26" x14ac:dyDescent="0.25">
      <c r="E5" s="182"/>
      <c r="F5" s="182"/>
      <c r="G5" s="182"/>
      <c r="H5" s="182"/>
      <c r="I5" s="182"/>
      <c r="J5" s="182"/>
      <c r="K5" s="182"/>
      <c r="L5" s="182"/>
      <c r="N5" s="182">
        <v>0.9</v>
      </c>
      <c r="O5" s="182">
        <v>0</v>
      </c>
      <c r="P5" s="182">
        <v>0.01</v>
      </c>
    </row>
    <row r="6" spans="1:26" x14ac:dyDescent="0.25">
      <c r="K6" s="182"/>
      <c r="M6" s="183"/>
      <c r="N6" s="182">
        <v>0.01</v>
      </c>
    </row>
    <row r="7" spans="1:26" ht="16.5" x14ac:dyDescent="0.3">
      <c r="A7" s="183" t="s">
        <v>152</v>
      </c>
      <c r="B7" s="192" t="s">
        <v>0</v>
      </c>
      <c r="C7" s="182" t="s">
        <v>47</v>
      </c>
      <c r="D7" s="182" t="s">
        <v>161</v>
      </c>
      <c r="E7" s="191" t="s">
        <v>151</v>
      </c>
      <c r="F7" s="191" t="s">
        <v>150</v>
      </c>
      <c r="G7" s="191" t="s">
        <v>2</v>
      </c>
      <c r="H7" s="191" t="s">
        <v>149</v>
      </c>
      <c r="I7" s="191" t="s">
        <v>148</v>
      </c>
      <c r="J7" s="191" t="s">
        <v>1</v>
      </c>
      <c r="K7" s="191" t="s">
        <v>147</v>
      </c>
      <c r="L7" s="191" t="s">
        <v>146</v>
      </c>
      <c r="M7" s="183" t="s">
        <v>32</v>
      </c>
    </row>
    <row r="8" spans="1:26" x14ac:dyDescent="0.25">
      <c r="A8" s="182">
        <v>0</v>
      </c>
      <c r="C8" s="182">
        <f>B9</f>
        <v>6464</v>
      </c>
      <c r="D8" s="182">
        <f>(B31-B9)/(A31-1)</f>
        <v>483</v>
      </c>
      <c r="E8" s="182"/>
      <c r="F8" s="182"/>
      <c r="M8" s="183"/>
      <c r="O8" s="184">
        <f>K31</f>
        <v>1061933.956521739</v>
      </c>
      <c r="P8">
        <f>O5</f>
        <v>0</v>
      </c>
      <c r="Q8">
        <f>P8+$P$5</f>
        <v>0.01</v>
      </c>
      <c r="R8">
        <f>Q8+$P$5</f>
        <v>0.02</v>
      </c>
      <c r="S8">
        <f>R8+$P$5</f>
        <v>0.03</v>
      </c>
      <c r="T8">
        <f>S8+$P$5</f>
        <v>0.04</v>
      </c>
      <c r="U8">
        <f>T8+$P$5</f>
        <v>0.05</v>
      </c>
      <c r="V8">
        <f>U8+$P$5</f>
        <v>6.0000000000000005E-2</v>
      </c>
      <c r="W8">
        <f>V8+$P$5</f>
        <v>7.0000000000000007E-2</v>
      </c>
      <c r="X8">
        <f>W8+$P$5</f>
        <v>0.08</v>
      </c>
      <c r="Y8">
        <f>X8+$P$5</f>
        <v>0.09</v>
      </c>
      <c r="Z8">
        <f>Y8+$P$5</f>
        <v>9.9999999999999992E-2</v>
      </c>
    </row>
    <row r="9" spans="1:26" ht="16.5" x14ac:dyDescent="0.3">
      <c r="A9" s="190">
        <v>1</v>
      </c>
      <c r="B9" s="189">
        <v>6464</v>
      </c>
      <c r="C9" s="182">
        <f>(1-$J$1)*E9+$J$1*B9</f>
        <v>6464</v>
      </c>
      <c r="D9" s="182">
        <f>(1-$J$2)*D8+$J$2*(C9-C8)</f>
        <v>483</v>
      </c>
      <c r="E9" s="188">
        <f>C8+D8</f>
        <v>6947</v>
      </c>
      <c r="F9" s="188">
        <f>B9-E9</f>
        <v>-483</v>
      </c>
      <c r="G9" s="185">
        <f>ABS(F9)</f>
        <v>483</v>
      </c>
      <c r="H9" s="185">
        <f>F9^2</f>
        <v>233289</v>
      </c>
      <c r="I9" s="185">
        <f>IFERROR(G9/B9,"")</f>
        <v>7.4721534653465344E-2</v>
      </c>
      <c r="J9" s="185">
        <f>AVERAGE(G$9:G9)</f>
        <v>483</v>
      </c>
      <c r="K9" s="185">
        <f>AVERAGE(H$9:H9)</f>
        <v>233289</v>
      </c>
      <c r="L9" s="185">
        <f>AVERAGE(I$9:I9)</f>
        <v>7.4721534653465344E-2</v>
      </c>
      <c r="M9" s="186">
        <f>SUM(F$9:F9)</f>
        <v>-483</v>
      </c>
      <c r="O9">
        <f>N5</f>
        <v>0.9</v>
      </c>
      <c r="P9">
        <f t="dataTable" ref="P9:Z19" dt2D="1" dtr="1" r1="J2" r2="J1" ca="1"/>
        <v>1079190.6333683901</v>
      </c>
      <c r="Q9">
        <v>1089758.5367775203</v>
      </c>
      <c r="R9" s="182">
        <v>1099600.717024825</v>
      </c>
      <c r="S9" s="182">
        <v>1108806.3147875364</v>
      </c>
      <c r="T9" s="182">
        <v>1117474.3957111337</v>
      </c>
      <c r="U9" s="182">
        <v>1125699.1753749975</v>
      </c>
      <c r="V9" s="182">
        <v>1133563.135517528</v>
      </c>
      <c r="W9" s="182">
        <v>1141134.8220672982</v>
      </c>
      <c r="X9" s="182">
        <v>1148469.2357188689</v>
      </c>
      <c r="Y9" s="182">
        <v>1155609.4949073747</v>
      </c>
      <c r="Z9" s="182">
        <v>1162588.9701109054</v>
      </c>
    </row>
    <row r="10" spans="1:26" ht="16.5" x14ac:dyDescent="0.3">
      <c r="A10" s="190">
        <v>2</v>
      </c>
      <c r="B10" s="189">
        <v>7475</v>
      </c>
      <c r="C10" s="182">
        <f>(1-$J$1)*E10+$J$1*B10</f>
        <v>7475</v>
      </c>
      <c r="D10" s="182">
        <f>(1-$J$2)*D9+$J$2*(C10-C9)</f>
        <v>483</v>
      </c>
      <c r="E10" s="188">
        <f>C9+D9</f>
        <v>6947</v>
      </c>
      <c r="F10" s="188">
        <f>B10-E10</f>
        <v>528</v>
      </c>
      <c r="G10" s="185">
        <f>ABS(F10)</f>
        <v>528</v>
      </c>
      <c r="H10" s="185">
        <f>F10^2</f>
        <v>278784</v>
      </c>
      <c r="I10" s="185">
        <f>IFERROR(G10/B10,"")</f>
        <v>7.0635451505016725E-2</v>
      </c>
      <c r="J10" s="185">
        <f>AVERAGE(G$9:G10)</f>
        <v>505.5</v>
      </c>
      <c r="K10" s="185">
        <f>AVERAGE(H$9:H10)</f>
        <v>256036.5</v>
      </c>
      <c r="L10" s="185">
        <f>AVERAGE(I$9:I10)</f>
        <v>7.2678493079241041E-2</v>
      </c>
      <c r="M10" s="186">
        <f>SUM(F$9:F10)</f>
        <v>45</v>
      </c>
      <c r="O10">
        <f>O9+$N$6</f>
        <v>0.91</v>
      </c>
      <c r="P10">
        <v>1076828.8579814807</v>
      </c>
      <c r="Q10">
        <v>1087339.3702506335</v>
      </c>
      <c r="R10" s="182">
        <v>1097135.5152499231</v>
      </c>
      <c r="S10" s="182">
        <v>1106306.4678966615</v>
      </c>
      <c r="T10" s="182">
        <v>1114950.6536046611</v>
      </c>
      <c r="U10" s="182">
        <v>1123161.3475726584</v>
      </c>
      <c r="V10" s="182">
        <v>1131020.0236424648</v>
      </c>
      <c r="W10" s="182">
        <v>1138594.2835704351</v>
      </c>
      <c r="X10" s="182">
        <v>1145938.3097282115</v>
      </c>
      <c r="Y10" s="182">
        <v>1153094.5458144685</v>
      </c>
      <c r="Z10" s="182">
        <v>1160095.8226653538</v>
      </c>
    </row>
    <row r="11" spans="1:26" ht="16.5" x14ac:dyDescent="0.3">
      <c r="A11" s="190">
        <v>3</v>
      </c>
      <c r="B11" s="189">
        <v>8237</v>
      </c>
      <c r="C11" s="182">
        <f>(1-$J$1)*E11+$J$1*B11</f>
        <v>8237</v>
      </c>
      <c r="D11" s="182">
        <f>(1-$J$2)*D10+$J$2*(C11-C10)</f>
        <v>483</v>
      </c>
      <c r="E11" s="188">
        <f>C10+D10</f>
        <v>7958</v>
      </c>
      <c r="F11" s="188">
        <f>B11-E11</f>
        <v>279</v>
      </c>
      <c r="G11" s="185">
        <f>ABS(F11)</f>
        <v>279</v>
      </c>
      <c r="H11" s="185">
        <f>F11^2</f>
        <v>77841</v>
      </c>
      <c r="I11" s="185">
        <f>IFERROR(G11/B11,"")</f>
        <v>3.3871555177856012E-2</v>
      </c>
      <c r="J11" s="185">
        <f>AVERAGE(G$9:G11)</f>
        <v>430</v>
      </c>
      <c r="K11" s="185">
        <f>AVERAGE(H$9:H11)</f>
        <v>196638</v>
      </c>
      <c r="L11" s="185">
        <f>AVERAGE(I$9:I11)</f>
        <v>5.9742847112112696E-2</v>
      </c>
      <c r="M11" s="186">
        <f>SUM(F$9:F11)</f>
        <v>324</v>
      </c>
      <c r="O11">
        <f>O10+$N$6</f>
        <v>0.92</v>
      </c>
      <c r="P11">
        <v>1074610.2218852493</v>
      </c>
      <c r="Q11">
        <v>1085067.6332160088</v>
      </c>
      <c r="R11" s="182">
        <v>1094821.8098919622</v>
      </c>
      <c r="S11" s="182">
        <v>1103961.9393496921</v>
      </c>
      <c r="T11" s="182">
        <v>1112585.809193413</v>
      </c>
      <c r="U11" s="182">
        <v>1120785.7702302877</v>
      </c>
      <c r="V11" s="182">
        <v>1128642.3102830539</v>
      </c>
      <c r="W11" s="182">
        <v>1136222.1095829592</v>
      </c>
      <c r="X11" s="182">
        <v>1143578.5525614261</v>
      </c>
      <c r="Y11" s="182">
        <v>1150753.4248467607</v>
      </c>
      <c r="Z11" s="182">
        <v>1157779.0302456734</v>
      </c>
    </row>
    <row r="12" spans="1:26" ht="16.5" x14ac:dyDescent="0.3">
      <c r="A12" s="190">
        <v>4</v>
      </c>
      <c r="B12" s="189">
        <v>9480</v>
      </c>
      <c r="C12" s="182">
        <f>(1-$J$1)*E12+$J$1*B12</f>
        <v>9480</v>
      </c>
      <c r="D12" s="182">
        <f>(1-$J$2)*D11+$J$2*(C12-C11)</f>
        <v>483</v>
      </c>
      <c r="E12" s="188">
        <f>C11+D11</f>
        <v>8720</v>
      </c>
      <c r="F12" s="188">
        <f>B12-E12</f>
        <v>760</v>
      </c>
      <c r="G12" s="185">
        <f>ABS(F12)</f>
        <v>760</v>
      </c>
      <c r="H12" s="185">
        <f>F12^2</f>
        <v>577600</v>
      </c>
      <c r="I12" s="185">
        <f>IFERROR(G12/B12,"")</f>
        <v>8.0168776371308023E-2</v>
      </c>
      <c r="J12" s="185">
        <f>AVERAGE(G$9:G12)</f>
        <v>512.5</v>
      </c>
      <c r="K12" s="185">
        <f>AVERAGE(H$9:H12)</f>
        <v>291878.5</v>
      </c>
      <c r="L12" s="185">
        <f>AVERAGE(I$9:I12)</f>
        <v>6.4849329426911531E-2</v>
      </c>
      <c r="M12" s="186">
        <f>SUM(F$9:F12)</f>
        <v>1084</v>
      </c>
      <c r="O12">
        <f>O11+$N$6</f>
        <v>0.93</v>
      </c>
      <c r="P12">
        <v>1072533.6922719083</v>
      </c>
      <c r="Q12">
        <v>1082942.2399968805</v>
      </c>
      <c r="R12" s="182">
        <v>1092658.4740260988</v>
      </c>
      <c r="S12" s="182">
        <v>1101771.5739327455</v>
      </c>
      <c r="T12" s="182">
        <v>1110378.6923068699</v>
      </c>
      <c r="U12" s="182">
        <v>1118571.2713161011</v>
      </c>
      <c r="V12" s="182">
        <v>1126428.8340995153</v>
      </c>
      <c r="W12" s="182">
        <v>1134017.1614002844</v>
      </c>
      <c r="X12" s="182">
        <v>1141388.859579243</v>
      </c>
      <c r="Y12" s="182">
        <v>1148585.0725433</v>
      </c>
      <c r="Z12" s="182">
        <v>1155637.589604798</v>
      </c>
    </row>
    <row r="13" spans="1:26" ht="16.5" x14ac:dyDescent="0.3">
      <c r="A13" s="190">
        <v>5</v>
      </c>
      <c r="B13" s="189">
        <v>11642</v>
      </c>
      <c r="C13" s="182">
        <f>(1-$J$1)*E13+$J$1*B13</f>
        <v>11642</v>
      </c>
      <c r="D13" s="182">
        <f>(1-$J$2)*D12+$J$2*(C13-C12)</f>
        <v>483</v>
      </c>
      <c r="E13" s="188">
        <f>C12+D12</f>
        <v>9963</v>
      </c>
      <c r="F13" s="188">
        <f>B13-E13</f>
        <v>1679</v>
      </c>
      <c r="G13" s="185">
        <f>ABS(F13)</f>
        <v>1679</v>
      </c>
      <c r="H13" s="185">
        <f>F13^2</f>
        <v>2819041</v>
      </c>
      <c r="I13" s="185">
        <f>IFERROR(G13/B13,"")</f>
        <v>0.1442192063219378</v>
      </c>
      <c r="J13" s="185">
        <f>AVERAGE(G$9:G13)</f>
        <v>745.8</v>
      </c>
      <c r="K13" s="185">
        <f>AVERAGE(H$9:H13)</f>
        <v>797311</v>
      </c>
      <c r="L13" s="185">
        <f>AVERAGE(I$9:I13)</f>
        <v>8.0723304805916787E-2</v>
      </c>
      <c r="M13" s="186">
        <f>SUM(F$9:F13)</f>
        <v>2763</v>
      </c>
      <c r="O13">
        <f>O12+$N$6</f>
        <v>0.94000000000000006</v>
      </c>
      <c r="P13">
        <v>1070598.4493959399</v>
      </c>
      <c r="Q13">
        <v>1080962.3290684514</v>
      </c>
      <c r="R13" s="182">
        <v>1090644.6159072027</v>
      </c>
      <c r="S13" s="182">
        <v>1099734.4625029264</v>
      </c>
      <c r="T13" s="182">
        <v>1108328.3895775785</v>
      </c>
      <c r="U13" s="182">
        <v>1116516.9461895816</v>
      </c>
      <c r="V13" s="182">
        <v>1124378.7116262896</v>
      </c>
      <c r="W13" s="182">
        <v>1131978.5886179828</v>
      </c>
      <c r="X13" s="182">
        <v>1139368.42485825</v>
      </c>
      <c r="Y13" s="182">
        <v>1146588.7386015598</v>
      </c>
      <c r="Z13" s="182">
        <v>1153670.8171459681</v>
      </c>
    </row>
    <row r="14" spans="1:26" ht="16.5" x14ac:dyDescent="0.3">
      <c r="A14" s="190">
        <v>6</v>
      </c>
      <c r="B14" s="189">
        <v>11705</v>
      </c>
      <c r="C14" s="182">
        <f>(1-$J$1)*E14+$J$1*B14</f>
        <v>11705</v>
      </c>
      <c r="D14" s="182">
        <f>(1-$J$2)*D13+$J$2*(C14-C13)</f>
        <v>483</v>
      </c>
      <c r="E14" s="188">
        <f>C13+D13</f>
        <v>12125</v>
      </c>
      <c r="F14" s="188">
        <f>B14-E14</f>
        <v>-420</v>
      </c>
      <c r="G14" s="185">
        <f>ABS(F14)</f>
        <v>420</v>
      </c>
      <c r="H14" s="185">
        <f>F14^2</f>
        <v>176400</v>
      </c>
      <c r="I14" s="185">
        <f>IFERROR(G14/B14,"")</f>
        <v>3.5882101665954722E-2</v>
      </c>
      <c r="J14" s="185">
        <f>AVERAGE(G$9:G14)</f>
        <v>691.5</v>
      </c>
      <c r="K14" s="185">
        <f>AVERAGE(H$9:H14)</f>
        <v>693825.83333333337</v>
      </c>
      <c r="L14" s="185">
        <f>AVERAGE(I$9:I14)</f>
        <v>7.3249770949256443E-2</v>
      </c>
      <c r="M14" s="186">
        <f>SUM(F$9:F14)</f>
        <v>2343</v>
      </c>
      <c r="O14">
        <f>O13+$N$6</f>
        <v>0.95000000000000007</v>
      </c>
      <c r="P14">
        <v>1068803.8820073043</v>
      </c>
      <c r="Q14">
        <v>1079127.2581601264</v>
      </c>
      <c r="R14" s="182">
        <v>1088779.5737474686</v>
      </c>
      <c r="S14" s="182">
        <v>1097849.9364537559</v>
      </c>
      <c r="T14" s="182">
        <v>1106434.2386096467</v>
      </c>
      <c r="U14" s="182">
        <v>1114622.1514884026</v>
      </c>
      <c r="V14" s="182">
        <v>1122491.3308907803</v>
      </c>
      <c r="W14" s="182">
        <v>1130105.8224927268</v>
      </c>
      <c r="X14" s="182">
        <v>1137516.734301016</v>
      </c>
      <c r="Y14" s="182">
        <v>1144763.974740769</v>
      </c>
      <c r="Z14" s="182">
        <v>1151878.3415412991</v>
      </c>
    </row>
    <row r="15" spans="1:26" ht="16.5" x14ac:dyDescent="0.3">
      <c r="A15" s="190">
        <v>7</v>
      </c>
      <c r="B15" s="189">
        <v>11837</v>
      </c>
      <c r="C15" s="182">
        <f>(1-$J$1)*E15+$J$1*B15</f>
        <v>11837</v>
      </c>
      <c r="D15" s="182">
        <f>(1-$J$2)*D14+$J$2*(C15-C14)</f>
        <v>483</v>
      </c>
      <c r="E15" s="188">
        <f>C14+D14</f>
        <v>12188</v>
      </c>
      <c r="F15" s="188">
        <f>B15-E15</f>
        <v>-351</v>
      </c>
      <c r="G15" s="185">
        <f>ABS(F15)</f>
        <v>351</v>
      </c>
      <c r="H15" s="185">
        <f>F15^2</f>
        <v>123201</v>
      </c>
      <c r="I15" s="185">
        <f>IFERROR(G15/B15,"")</f>
        <v>2.9652783644504521E-2</v>
      </c>
      <c r="J15" s="185">
        <f>AVERAGE(G$9:G15)</f>
        <v>642.85714285714289</v>
      </c>
      <c r="K15" s="185">
        <f>AVERAGE(H$9:H15)</f>
        <v>612308</v>
      </c>
      <c r="L15" s="185">
        <f>AVERAGE(I$9:I15)</f>
        <v>6.7021629905720456E-2</v>
      </c>
      <c r="M15" s="186">
        <f>SUM(F$9:F15)</f>
        <v>1992</v>
      </c>
      <c r="O15">
        <f>O14+$N$6</f>
        <v>0.96000000000000008</v>
      </c>
      <c r="P15">
        <v>1067149.583516611</v>
      </c>
      <c r="Q15">
        <v>1077436.6001423069</v>
      </c>
      <c r="R15" s="182">
        <v>1087062.9113335542</v>
      </c>
      <c r="S15" s="182">
        <v>1096117.5630771867</v>
      </c>
      <c r="T15" s="182">
        <v>1104695.8231029736</v>
      </c>
      <c r="U15" s="182">
        <v>1112886.5000324368</v>
      </c>
      <c r="V15" s="182">
        <v>1120766.3461132268</v>
      </c>
      <c r="W15" s="182">
        <v>1128398.5704515693</v>
      </c>
      <c r="X15" s="182">
        <v>1135833.5599656105</v>
      </c>
      <c r="Y15" s="182">
        <v>1143110.6288602795</v>
      </c>
      <c r="Z15" s="182">
        <v>1150260.0977262794</v>
      </c>
    </row>
    <row r="16" spans="1:26" ht="16.5" x14ac:dyDescent="0.3">
      <c r="A16" s="190">
        <v>8</v>
      </c>
      <c r="B16" s="189">
        <v>13101</v>
      </c>
      <c r="C16" s="182">
        <f>(1-$J$1)*E16+$J$1*B16</f>
        <v>13101</v>
      </c>
      <c r="D16" s="182">
        <f>(1-$J$2)*D15+$J$2*(C16-C15)</f>
        <v>483</v>
      </c>
      <c r="E16" s="188">
        <f>C15+D15</f>
        <v>12320</v>
      </c>
      <c r="F16" s="188">
        <f>B16-E16</f>
        <v>781</v>
      </c>
      <c r="G16" s="185">
        <f>ABS(F16)</f>
        <v>781</v>
      </c>
      <c r="H16" s="185">
        <f>F16^2</f>
        <v>609961</v>
      </c>
      <c r="I16" s="185">
        <f>IFERROR(G16/B16,"")</f>
        <v>5.9613769941225858E-2</v>
      </c>
      <c r="J16" s="185">
        <f>AVERAGE(G$9:G16)</f>
        <v>660.125</v>
      </c>
      <c r="K16" s="185">
        <f>AVERAGE(H$9:H16)</f>
        <v>612014.625</v>
      </c>
      <c r="L16" s="185">
        <f>AVERAGE(I$9:I16)</f>
        <v>6.6095647410158637E-2</v>
      </c>
      <c r="M16" s="186">
        <f>SUM(F$9:F16)</f>
        <v>2773</v>
      </c>
      <c r="O16">
        <f>O15+$N$6</f>
        <v>0.97000000000000008</v>
      </c>
      <c r="P16">
        <v>1065635.3488913446</v>
      </c>
      <c r="Q16">
        <v>1075890.1396967138</v>
      </c>
      <c r="R16" s="182">
        <v>1085494.414482225</v>
      </c>
      <c r="S16" s="182">
        <v>1094537.1418212831</v>
      </c>
      <c r="T16" s="182">
        <v>1103112.9689324577</v>
      </c>
      <c r="U16" s="182">
        <v>1111309.8567444715</v>
      </c>
      <c r="V16" s="182">
        <v>1119203.6734877371</v>
      </c>
      <c r="W16" s="182">
        <v>1126856.8117501582</v>
      </c>
      <c r="X16" s="182">
        <v>1134318.955615791</v>
      </c>
      <c r="Y16" s="182">
        <v>1141628.8404948835</v>
      </c>
      <c r="Z16" s="182">
        <v>1148816.3222726614</v>
      </c>
    </row>
    <row r="17" spans="1:26" ht="16.5" x14ac:dyDescent="0.3">
      <c r="A17" s="190">
        <v>9</v>
      </c>
      <c r="B17" s="189">
        <v>14194</v>
      </c>
      <c r="C17" s="182">
        <f>(1-$J$1)*E17+$J$1*B17</f>
        <v>14194</v>
      </c>
      <c r="D17" s="182">
        <f>(1-$J$2)*D16+$J$2*(C17-C16)</f>
        <v>483</v>
      </c>
      <c r="E17" s="188">
        <f>C16+D16</f>
        <v>13584</v>
      </c>
      <c r="F17" s="188">
        <f>B17-E17</f>
        <v>610</v>
      </c>
      <c r="G17" s="185">
        <f>ABS(F17)</f>
        <v>610</v>
      </c>
      <c r="H17" s="185">
        <f>F17^2</f>
        <v>372100</v>
      </c>
      <c r="I17" s="185">
        <f>IFERROR(G17/B17,"")</f>
        <v>4.2975905312103706E-2</v>
      </c>
      <c r="J17" s="185">
        <f>AVERAGE(G$9:G17)</f>
        <v>654.55555555555554</v>
      </c>
      <c r="K17" s="185">
        <f>AVERAGE(H$9:H17)</f>
        <v>585357.4444444445</v>
      </c>
      <c r="L17" s="185">
        <f>AVERAGE(I$9:I17)</f>
        <v>6.3526787177041424E-2</v>
      </c>
      <c r="M17" s="186">
        <f>SUM(F$9:F17)</f>
        <v>3383</v>
      </c>
      <c r="O17">
        <f>O16+$N$6</f>
        <v>0.98000000000000009</v>
      </c>
      <c r="P17">
        <v>1064261.1722828404</v>
      </c>
      <c r="Q17">
        <v>1074487.8707699426</v>
      </c>
      <c r="R17" s="182">
        <v>1084074.0883341499</v>
      </c>
      <c r="S17" s="182">
        <v>1093108.7014433073</v>
      </c>
      <c r="T17" s="182">
        <v>1101685.7411821685</v>
      </c>
      <c r="U17" s="182">
        <v>1109892.3355879292</v>
      </c>
      <c r="V17" s="182">
        <v>1117803.4880452908</v>
      </c>
      <c r="W17" s="182">
        <v>1125480.7942812918</v>
      </c>
      <c r="X17" s="182">
        <v>1132973.2534938601</v>
      </c>
      <c r="Y17" s="182">
        <v>1140319.0375696865</v>
      </c>
      <c r="Z17" s="182">
        <v>1147547.550142973</v>
      </c>
    </row>
    <row r="18" spans="1:26" ht="16.5" x14ac:dyDescent="0.3">
      <c r="A18" s="190">
        <v>10</v>
      </c>
      <c r="B18" s="189">
        <v>15760</v>
      </c>
      <c r="C18" s="182">
        <f>(1-$J$1)*E18+$J$1*B18</f>
        <v>15760</v>
      </c>
      <c r="D18" s="182">
        <f>(1-$J$2)*D17+$J$2*(C18-C17)</f>
        <v>483</v>
      </c>
      <c r="E18" s="188">
        <f>C17+D17</f>
        <v>14677</v>
      </c>
      <c r="F18" s="188">
        <f>B18-E18</f>
        <v>1083</v>
      </c>
      <c r="G18" s="185">
        <f>ABS(F18)</f>
        <v>1083</v>
      </c>
      <c r="H18" s="185">
        <f>F18^2</f>
        <v>1172889</v>
      </c>
      <c r="I18" s="185">
        <f>IFERROR(G18/B18,"")</f>
        <v>6.8718274111675123E-2</v>
      </c>
      <c r="J18" s="185">
        <f>AVERAGE(G$9:G18)</f>
        <v>697.4</v>
      </c>
      <c r="K18" s="185">
        <f>AVERAGE(H$9:H18)</f>
        <v>644110.6</v>
      </c>
      <c r="L18" s="185">
        <f>AVERAGE(I$9:I18)</f>
        <v>6.4045935870504792E-2</v>
      </c>
      <c r="M18" s="186">
        <f>SUM(F$9:F18)</f>
        <v>4466</v>
      </c>
      <c r="O18">
        <f>O17+$N$6</f>
        <v>0.9900000000000001</v>
      </c>
      <c r="P18">
        <v>1063027.2453844028</v>
      </c>
      <c r="Q18">
        <v>1073229.9948106022</v>
      </c>
      <c r="R18" s="182">
        <v>1082802.155486325</v>
      </c>
      <c r="S18" s="182">
        <v>1091832.4980588432</v>
      </c>
      <c r="T18" s="182">
        <v>1100414.442135385</v>
      </c>
      <c r="U18" s="182">
        <v>1108634.29752293</v>
      </c>
      <c r="V18" s="182">
        <v>1116566.221600556</v>
      </c>
      <c r="W18" s="182">
        <v>1124271.0325362191</v>
      </c>
      <c r="X18" s="182">
        <v>1131797.0623192245</v>
      </c>
      <c r="Y18" s="182">
        <v>1139181.9344582672</v>
      </c>
      <c r="Z18" s="182">
        <v>1146454.612831</v>
      </c>
    </row>
    <row r="19" spans="1:26" ht="16.5" x14ac:dyDescent="0.3">
      <c r="A19" s="190">
        <v>11</v>
      </c>
      <c r="B19" s="189">
        <v>15667</v>
      </c>
      <c r="C19" s="182">
        <f>(1-$J$1)*E19+$J$1*B19</f>
        <v>15667</v>
      </c>
      <c r="D19" s="182">
        <f>(1-$J$2)*D18+$J$2*(C19-C18)</f>
        <v>483</v>
      </c>
      <c r="E19" s="188">
        <f>C18+D18</f>
        <v>16243</v>
      </c>
      <c r="F19" s="188">
        <f>B19-E19</f>
        <v>-576</v>
      </c>
      <c r="G19" s="185">
        <f>ABS(F19)</f>
        <v>576</v>
      </c>
      <c r="H19" s="185">
        <f>F19^2</f>
        <v>331776</v>
      </c>
      <c r="I19" s="185">
        <f>IFERROR(G19/B19,"")</f>
        <v>3.6765175209038103E-2</v>
      </c>
      <c r="J19" s="185">
        <f>AVERAGE(G$9:G19)</f>
        <v>686.36363636363637</v>
      </c>
      <c r="K19" s="185">
        <f>AVERAGE(H$9:H19)</f>
        <v>615716.54545454541</v>
      </c>
      <c r="L19" s="185">
        <f>AVERAGE(I$9:I19)</f>
        <v>6.1565866719462362E-2</v>
      </c>
      <c r="M19" s="186">
        <f>SUM(F$9:F19)</f>
        <v>3890</v>
      </c>
      <c r="O19">
        <f>O18+$N$6</f>
        <v>1</v>
      </c>
      <c r="P19">
        <v>1061933.956521739</v>
      </c>
      <c r="Q19">
        <v>1072116.9197913238</v>
      </c>
      <c r="R19" s="182">
        <v>1081679.054964537</v>
      </c>
      <c r="S19" s="182">
        <v>1090709.0140886013</v>
      </c>
      <c r="T19" s="182">
        <v>1099299.6102224889</v>
      </c>
      <c r="U19" s="182">
        <v>1107536.3494831335</v>
      </c>
      <c r="V19" s="182">
        <v>1115492.5617855033</v>
      </c>
      <c r="W19" s="182">
        <v>1123228.3067223704</v>
      </c>
      <c r="X19" s="182">
        <v>1130791.2665171025</v>
      </c>
      <c r="Y19" s="182">
        <v>1138218.5313492862</v>
      </c>
      <c r="Z19" s="182">
        <v>1145538.6378941513</v>
      </c>
    </row>
    <row r="20" spans="1:26" ht="16.5" x14ac:dyDescent="0.3">
      <c r="A20" s="190">
        <v>12</v>
      </c>
      <c r="B20" s="189">
        <v>14338</v>
      </c>
      <c r="C20" s="182">
        <f>(1-$J$1)*E20+$J$1*B20</f>
        <v>14338</v>
      </c>
      <c r="D20" s="182">
        <f>(1-$J$2)*D19+$J$2*(C20-C19)</f>
        <v>483</v>
      </c>
      <c r="E20" s="188">
        <f>C19+D19</f>
        <v>16150</v>
      </c>
      <c r="F20" s="188">
        <f>B20-E20</f>
        <v>-1812</v>
      </c>
      <c r="G20" s="185">
        <f>ABS(F20)</f>
        <v>1812</v>
      </c>
      <c r="H20" s="185">
        <f>F20^2</f>
        <v>3283344</v>
      </c>
      <c r="I20" s="185">
        <f>IFERROR(G20/B20,"")</f>
        <v>0.12637745850188312</v>
      </c>
      <c r="J20" s="185">
        <f>AVERAGE(G$9:G20)</f>
        <v>780.16666666666663</v>
      </c>
      <c r="K20" s="185">
        <f>AVERAGE(H$9:H20)</f>
        <v>838018.83333333337</v>
      </c>
      <c r="L20" s="185">
        <f>AVERAGE(I$9:I20)</f>
        <v>6.6966832701330761E-2</v>
      </c>
      <c r="M20" s="186">
        <f>SUM(F$9:F20)</f>
        <v>2078</v>
      </c>
      <c r="O20"/>
      <c r="P20"/>
      <c r="Q20"/>
    </row>
    <row r="21" spans="1:26" ht="16.5" x14ac:dyDescent="0.3">
      <c r="A21" s="190">
        <v>13</v>
      </c>
      <c r="B21" s="189">
        <v>11816</v>
      </c>
      <c r="C21" s="182">
        <f>(1-$J$1)*E21+$J$1*B21</f>
        <v>11816</v>
      </c>
      <c r="D21" s="182">
        <f>(1-$J$2)*D20+$J$2*(C21-C20)</f>
        <v>483</v>
      </c>
      <c r="E21" s="188">
        <f>C20+D20</f>
        <v>14821</v>
      </c>
      <c r="F21" s="188">
        <f>B21-E21</f>
        <v>-3005</v>
      </c>
      <c r="G21" s="185">
        <f>ABS(F21)</f>
        <v>3005</v>
      </c>
      <c r="H21" s="185">
        <f>F21^2</f>
        <v>9030025</v>
      </c>
      <c r="I21" s="185">
        <f>IFERROR(G21/B21,"")</f>
        <v>0.25431618144888285</v>
      </c>
      <c r="J21" s="185">
        <f>AVERAGE(G$9:G21)</f>
        <v>951.30769230769226</v>
      </c>
      <c r="K21" s="185">
        <f>AVERAGE(H$9:H21)</f>
        <v>1468173.1538461538</v>
      </c>
      <c r="L21" s="185">
        <f>AVERAGE(I$9:I21)</f>
        <v>8.1378321066527079E-2</v>
      </c>
      <c r="M21" s="186">
        <f>SUM(F$9:F21)</f>
        <v>-927</v>
      </c>
      <c r="O21">
        <f>MIN(P9:Z19)</f>
        <v>1061933.956521739</v>
      </c>
      <c r="P21"/>
      <c r="Q21"/>
    </row>
    <row r="22" spans="1:26" ht="16.5" x14ac:dyDescent="0.3">
      <c r="A22" s="190">
        <v>14</v>
      </c>
      <c r="B22" s="189">
        <v>14095</v>
      </c>
      <c r="C22" s="182">
        <f>(1-$J$1)*E22+$J$1*B22</f>
        <v>14095</v>
      </c>
      <c r="D22" s="182">
        <f>(1-$J$2)*D21+$J$2*(C22-C21)</f>
        <v>483</v>
      </c>
      <c r="E22" s="188">
        <f>C21+D21</f>
        <v>12299</v>
      </c>
      <c r="F22" s="188">
        <f>B22-E22</f>
        <v>1796</v>
      </c>
      <c r="G22" s="185">
        <f>ABS(F22)</f>
        <v>1796</v>
      </c>
      <c r="H22" s="185">
        <f>F22^2</f>
        <v>3225616</v>
      </c>
      <c r="I22" s="185">
        <f>IFERROR(G22/B22,"")</f>
        <v>0.1274210713018801</v>
      </c>
      <c r="J22" s="185">
        <f>AVERAGE(G$9:G22)</f>
        <v>1011.6428571428571</v>
      </c>
      <c r="K22" s="185">
        <f>AVERAGE(H$9:H22)</f>
        <v>1593704.7857142857</v>
      </c>
      <c r="L22" s="185">
        <f>AVERAGE(I$9:I22)</f>
        <v>8.4667088940480875E-2</v>
      </c>
      <c r="M22" s="186">
        <f>SUM(F$9:F22)</f>
        <v>869</v>
      </c>
      <c r="O22"/>
      <c r="P22"/>
      <c r="Q22"/>
    </row>
    <row r="23" spans="1:26" ht="16.5" x14ac:dyDescent="0.3">
      <c r="A23" s="190">
        <v>15</v>
      </c>
      <c r="B23" s="189">
        <v>14001</v>
      </c>
      <c r="C23" s="182">
        <f>(1-$J$1)*E23+$J$1*B23</f>
        <v>14001</v>
      </c>
      <c r="D23" s="182">
        <f>(1-$J$2)*D22+$J$2*(C23-C22)</f>
        <v>483</v>
      </c>
      <c r="E23" s="188">
        <f>C22+D22</f>
        <v>14578</v>
      </c>
      <c r="F23" s="188">
        <f>B23-E23</f>
        <v>-577</v>
      </c>
      <c r="G23" s="185">
        <f>ABS(F23)</f>
        <v>577</v>
      </c>
      <c r="H23" s="185">
        <f>F23^2</f>
        <v>332929</v>
      </c>
      <c r="I23" s="185">
        <f>IFERROR(G23/B23,"")</f>
        <v>4.1211342046996641E-2</v>
      </c>
      <c r="J23" s="185">
        <f>AVERAGE(G$9:G23)</f>
        <v>982.66666666666663</v>
      </c>
      <c r="K23" s="185">
        <f>AVERAGE(H$9:H23)</f>
        <v>1509653.0666666667</v>
      </c>
      <c r="L23" s="185">
        <f>AVERAGE(I$9:I23)</f>
        <v>8.1770039147581922E-2</v>
      </c>
      <c r="M23" s="186">
        <f>SUM(F$9:F23)</f>
        <v>292</v>
      </c>
      <c r="O23"/>
      <c r="P23"/>
      <c r="Q23"/>
    </row>
    <row r="24" spans="1:26" ht="16.5" x14ac:dyDescent="0.3">
      <c r="A24" s="190">
        <v>16</v>
      </c>
      <c r="B24" s="189">
        <v>14123</v>
      </c>
      <c r="C24" s="182">
        <f>(1-$J$1)*E24+$J$1*B24</f>
        <v>14123</v>
      </c>
      <c r="D24" s="182">
        <f>(1-$J$2)*D23+$J$2*(C24-C23)</f>
        <v>483</v>
      </c>
      <c r="E24" s="188">
        <f>C23+D23</f>
        <v>14484</v>
      </c>
      <c r="F24" s="188">
        <f>B24-E24</f>
        <v>-361</v>
      </c>
      <c r="G24" s="185">
        <f>ABS(F24)</f>
        <v>361</v>
      </c>
      <c r="H24" s="185">
        <f>F24^2</f>
        <v>130321</v>
      </c>
      <c r="I24" s="185">
        <f>IFERROR(G24/B24,"")</f>
        <v>2.5561141400552292E-2</v>
      </c>
      <c r="J24" s="185">
        <f>AVERAGE(G$9:G24)</f>
        <v>943.8125</v>
      </c>
      <c r="K24" s="185">
        <f>AVERAGE(H$9:H24)</f>
        <v>1423444.8125</v>
      </c>
      <c r="L24" s="185">
        <f>AVERAGE(I$9:I24)</f>
        <v>7.8256983038392569E-2</v>
      </c>
      <c r="M24" s="186">
        <f>SUM(F$9:F24)</f>
        <v>-69</v>
      </c>
      <c r="O24"/>
      <c r="P24"/>
      <c r="Q24"/>
    </row>
    <row r="25" spans="1:26" ht="16.5" x14ac:dyDescent="0.3">
      <c r="A25" s="190">
        <v>17</v>
      </c>
      <c r="B25" s="189">
        <v>14599</v>
      </c>
      <c r="C25" s="182">
        <f>(1-$J$1)*E25+$J$1*B25</f>
        <v>14599</v>
      </c>
      <c r="D25" s="182">
        <f>(1-$J$2)*D24+$J$2*(C25-C24)</f>
        <v>483</v>
      </c>
      <c r="E25" s="188">
        <f>C24+D24</f>
        <v>14606</v>
      </c>
      <c r="F25" s="188">
        <f>B25-E25</f>
        <v>-7</v>
      </c>
      <c r="G25" s="185">
        <f>ABS(F25)</f>
        <v>7</v>
      </c>
      <c r="H25" s="185">
        <f>F25^2</f>
        <v>49</v>
      </c>
      <c r="I25" s="185">
        <f>IFERROR(G25/B25,"")</f>
        <v>4.7948489622576891E-4</v>
      </c>
      <c r="J25" s="185">
        <f>AVERAGE(G$9:G25)</f>
        <v>888.70588235294122</v>
      </c>
      <c r="K25" s="185">
        <f>AVERAGE(H$9:H25)</f>
        <v>1339715.6470588236</v>
      </c>
      <c r="L25" s="185">
        <f>AVERAGE(I$9:I25)</f>
        <v>7.3681836088853342E-2</v>
      </c>
      <c r="M25" s="186">
        <f>SUM(F$9:F25)</f>
        <v>-76</v>
      </c>
    </row>
    <row r="26" spans="1:26" ht="16.5" x14ac:dyDescent="0.3">
      <c r="A26" s="190">
        <v>18</v>
      </c>
      <c r="B26" s="189">
        <v>15160</v>
      </c>
      <c r="C26" s="182">
        <f>(1-$J$1)*E26+$J$1*B26</f>
        <v>15160</v>
      </c>
      <c r="D26" s="182">
        <f>(1-$J$2)*D25+$J$2*(C26-C25)</f>
        <v>483</v>
      </c>
      <c r="E26" s="188">
        <f>C25+D25</f>
        <v>15082</v>
      </c>
      <c r="F26" s="188">
        <f>B26-E26</f>
        <v>78</v>
      </c>
      <c r="G26" s="185">
        <f>ABS(F26)</f>
        <v>78</v>
      </c>
      <c r="H26" s="185">
        <f>F26^2</f>
        <v>6084</v>
      </c>
      <c r="I26" s="185">
        <f>IFERROR(G26/B26,"")</f>
        <v>5.1451187335092349E-3</v>
      </c>
      <c r="J26" s="185">
        <f>AVERAGE(G$9:G26)</f>
        <v>843.66666666666663</v>
      </c>
      <c r="K26" s="185">
        <f>AVERAGE(H$9:H26)</f>
        <v>1265625</v>
      </c>
      <c r="L26" s="185">
        <f>AVERAGE(I$9:I26)</f>
        <v>6.9874240680223118E-2</v>
      </c>
      <c r="M26" s="186">
        <f>SUM(F$9:F26)</f>
        <v>2</v>
      </c>
    </row>
    <row r="27" spans="1:26" ht="16.5" x14ac:dyDescent="0.3">
      <c r="A27" s="190">
        <v>19</v>
      </c>
      <c r="B27" s="189">
        <v>15352</v>
      </c>
      <c r="C27" s="182">
        <f>(1-$J$1)*E27+$J$1*B27</f>
        <v>15352</v>
      </c>
      <c r="D27" s="182">
        <f>(1-$J$2)*D26+$J$2*(C27-C26)</f>
        <v>483</v>
      </c>
      <c r="E27" s="188">
        <f>C26+D26</f>
        <v>15643</v>
      </c>
      <c r="F27" s="188">
        <f>B27-E27</f>
        <v>-291</v>
      </c>
      <c r="G27" s="185">
        <f>ABS(F27)</f>
        <v>291</v>
      </c>
      <c r="H27" s="185">
        <f>F27^2</f>
        <v>84681</v>
      </c>
      <c r="I27" s="185">
        <f>IFERROR(G27/B27,"")</f>
        <v>1.8955184992183429E-2</v>
      </c>
      <c r="J27" s="185">
        <f>AVERAGE(G$9:G27)</f>
        <v>814.57894736842104</v>
      </c>
      <c r="K27" s="185">
        <f>AVERAGE(H$9:H27)</f>
        <v>1203470.0526315789</v>
      </c>
      <c r="L27" s="185">
        <f>AVERAGE(I$9:I27)</f>
        <v>6.7194290380852603E-2</v>
      </c>
      <c r="M27" s="186">
        <f>SUM(F$9:F27)</f>
        <v>-289</v>
      </c>
    </row>
    <row r="28" spans="1:26" ht="16.5" x14ac:dyDescent="0.3">
      <c r="A28" s="190">
        <v>20</v>
      </c>
      <c r="B28" s="189">
        <v>15631</v>
      </c>
      <c r="C28" s="182">
        <f>(1-$J$1)*E28+$J$1*B28</f>
        <v>15631</v>
      </c>
      <c r="D28" s="182">
        <f>(1-$J$2)*D27+$J$2*(C28-C27)</f>
        <v>483</v>
      </c>
      <c r="E28" s="188">
        <f>C27+D27</f>
        <v>15835</v>
      </c>
      <c r="F28" s="188">
        <f>B28-E28</f>
        <v>-204</v>
      </c>
      <c r="G28" s="185">
        <f>ABS(F28)</f>
        <v>204</v>
      </c>
      <c r="H28" s="185">
        <f>F28^2</f>
        <v>41616</v>
      </c>
      <c r="I28" s="185">
        <f>IFERROR(G28/B28,"")</f>
        <v>1.3050988420446549E-2</v>
      </c>
      <c r="J28" s="185">
        <f>AVERAGE(G$9:G28)</f>
        <v>784.05</v>
      </c>
      <c r="K28" s="185">
        <f>AVERAGE(H$9:H28)</f>
        <v>1145377.3500000001</v>
      </c>
      <c r="L28" s="185">
        <f>AVERAGE(I$9:I28)</f>
        <v>6.4487125282832305E-2</v>
      </c>
      <c r="M28" s="186">
        <f>SUM(F$9:F28)</f>
        <v>-493</v>
      </c>
    </row>
    <row r="29" spans="1:26" ht="16.5" x14ac:dyDescent="0.3">
      <c r="A29" s="190">
        <v>21</v>
      </c>
      <c r="B29" s="189">
        <v>16887</v>
      </c>
      <c r="C29" s="182">
        <f>(1-$J$1)*E29+$J$1*B29</f>
        <v>16887</v>
      </c>
      <c r="D29" s="182">
        <f>(1-$J$2)*D28+$J$2*(C29-C28)</f>
        <v>483</v>
      </c>
      <c r="E29" s="188">
        <f>C28+D28</f>
        <v>16114</v>
      </c>
      <c r="F29" s="188">
        <f>B29-E29</f>
        <v>773</v>
      </c>
      <c r="G29" s="185">
        <f>ABS(F29)</f>
        <v>773</v>
      </c>
      <c r="H29" s="185">
        <f>F29^2</f>
        <v>597529</v>
      </c>
      <c r="I29" s="185">
        <f>IFERROR(G29/B29,"")</f>
        <v>4.5774856398412979E-2</v>
      </c>
      <c r="J29" s="185">
        <f>AVERAGE(G$9:G29)</f>
        <v>783.52380952380952</v>
      </c>
      <c r="K29" s="185">
        <f>AVERAGE(H$9:H29)</f>
        <v>1119289.3333333333</v>
      </c>
      <c r="L29" s="185">
        <f>AVERAGE(I$9:I29)</f>
        <v>6.3596064859764725E-2</v>
      </c>
      <c r="M29" s="186">
        <f>SUM(F$9:F29)</f>
        <v>280</v>
      </c>
    </row>
    <row r="30" spans="1:26" ht="16.5" x14ac:dyDescent="0.3">
      <c r="A30" s="190">
        <v>22</v>
      </c>
      <c r="B30" s="189">
        <v>17549</v>
      </c>
      <c r="C30" s="182">
        <f>(1-$J$1)*E30+$J$1*B30</f>
        <v>17549</v>
      </c>
      <c r="D30" s="182">
        <f>(1-$J$2)*D29+$J$2*(C30-C29)</f>
        <v>483</v>
      </c>
      <c r="E30" s="188">
        <f>C29+D29</f>
        <v>17370</v>
      </c>
      <c r="F30" s="188">
        <f>B30-E30</f>
        <v>179</v>
      </c>
      <c r="G30" s="185">
        <f>ABS(F30)</f>
        <v>179</v>
      </c>
      <c r="H30" s="185">
        <f>F30^2</f>
        <v>32041</v>
      </c>
      <c r="I30" s="185">
        <f>IFERROR(G30/B30,"")</f>
        <v>1.0200011396660779E-2</v>
      </c>
      <c r="J30" s="185">
        <f>AVERAGE(G$9:G30)</f>
        <v>756.0454545454545</v>
      </c>
      <c r="K30" s="185">
        <f>AVERAGE(H$9:H30)</f>
        <v>1069868.9545454546</v>
      </c>
      <c r="L30" s="185">
        <f>AVERAGE(I$9:I30)</f>
        <v>6.1168971520532717E-2</v>
      </c>
      <c r="M30" s="186">
        <f>SUM(F$9:F30)</f>
        <v>459</v>
      </c>
    </row>
    <row r="31" spans="1:26" customFormat="1" ht="16.5" x14ac:dyDescent="0.3">
      <c r="A31" s="190">
        <v>23</v>
      </c>
      <c r="B31" s="189">
        <v>17090</v>
      </c>
      <c r="C31" s="182">
        <f>(1-$J$1)*E31+$J$1*B31</f>
        <v>17090</v>
      </c>
      <c r="D31" s="182">
        <f>(1-$J$2)*D30+$J$2*(C31-C30)</f>
        <v>483</v>
      </c>
      <c r="E31" s="188">
        <f>C30+D30</f>
        <v>18032</v>
      </c>
      <c r="F31" s="188">
        <f>B31-E31</f>
        <v>-942</v>
      </c>
      <c r="G31" s="185">
        <f>ABS(F31)</f>
        <v>942</v>
      </c>
      <c r="H31" s="185">
        <f>F31^2</f>
        <v>887364</v>
      </c>
      <c r="I31" s="185">
        <f>IFERROR(G31/B31,"")</f>
        <v>5.5119953188999413E-2</v>
      </c>
      <c r="J31" s="185">
        <f>AVERAGE(G$9:G31)</f>
        <v>764.13043478260875</v>
      </c>
      <c r="K31" s="185">
        <f>AVERAGE(H$9:H31)</f>
        <v>1061933.956521739</v>
      </c>
      <c r="L31" s="185">
        <f>AVERAGE(I$9:I31)</f>
        <v>6.0905970723509534E-2</v>
      </c>
      <c r="M31" s="186">
        <f>SUM(F$9:F31)</f>
        <v>-483</v>
      </c>
    </row>
    <row r="32" spans="1:26" customFormat="1" x14ac:dyDescent="0.25">
      <c r="F32" s="184">
        <f>SUM(F9:F31)</f>
        <v>-483</v>
      </c>
      <c r="G32" s="185">
        <f>ABS(F32)</f>
        <v>483</v>
      </c>
      <c r="H32" s="185">
        <f>F32^2</f>
        <v>233289</v>
      </c>
    </row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.75" customHeight="1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</sheetData>
  <conditionalFormatting sqref="P9:Z19">
    <cfRule type="cellIs" dxfId="6" priority="1" operator="equal">
      <formula>$O$21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9"/>
  <sheetViews>
    <sheetView topLeftCell="D1" zoomScale="73" zoomScaleNormal="73" workbookViewId="0">
      <selection activeCell="U22" sqref="U22"/>
    </sheetView>
  </sheetViews>
  <sheetFormatPr defaultRowHeight="13.5" x14ac:dyDescent="0.25"/>
  <cols>
    <col min="1" max="1" width="4.5703125" style="111" bestFit="1" customWidth="1"/>
    <col min="2" max="2" width="9.7109375" style="111" bestFit="1" customWidth="1"/>
    <col min="3" max="3" width="6.7109375" style="111" bestFit="1" customWidth="1"/>
    <col min="4" max="4" width="11.7109375" style="111" bestFit="1" customWidth="1"/>
    <col min="5" max="5" width="9.140625" style="119" customWidth="1"/>
    <col min="6" max="6" width="13" style="111" customWidth="1"/>
    <col min="7" max="8" width="5.85546875" style="111" customWidth="1"/>
    <col min="9" max="9" width="9.7109375" style="111" customWidth="1"/>
    <col min="10" max="10" width="6" style="111" bestFit="1" customWidth="1"/>
    <col min="11" max="11" width="4.85546875" style="111" bestFit="1" customWidth="1"/>
    <col min="12" max="12" width="8.7109375" style="111" bestFit="1" customWidth="1"/>
    <col min="13" max="13" width="9.140625" style="111"/>
    <col min="14" max="14" width="12.140625" style="111" bestFit="1" customWidth="1"/>
    <col min="15" max="15" width="11.7109375" style="111" bestFit="1" customWidth="1"/>
    <col min="16" max="16" width="12.42578125" style="111" bestFit="1" customWidth="1"/>
    <col min="17" max="17" width="12.140625" style="111" bestFit="1" customWidth="1"/>
    <col min="18" max="21" width="9.28515625" style="111" bestFit="1" customWidth="1"/>
    <col min="22" max="23" width="9.140625" style="111"/>
    <col min="24" max="24" width="9.28515625" style="111" bestFit="1" customWidth="1"/>
    <col min="25" max="27" width="9.140625" style="111"/>
    <col min="28" max="30" width="9.28515625" style="111" bestFit="1" customWidth="1"/>
    <col min="31" max="31" width="12.28515625" style="111" customWidth="1"/>
    <col min="32" max="36" width="9.28515625" style="111" bestFit="1" customWidth="1"/>
    <col min="37" max="16384" width="9.140625" style="111"/>
  </cols>
  <sheetData>
    <row r="1" spans="1:37" ht="17.25" thickBot="1" x14ac:dyDescent="0.35">
      <c r="A1" s="104" t="s">
        <v>22</v>
      </c>
      <c r="B1" s="105"/>
      <c r="C1" s="106"/>
      <c r="D1" s="105"/>
      <c r="E1" s="107"/>
      <c r="F1" s="108" t="s">
        <v>8</v>
      </c>
      <c r="G1" s="108" t="s">
        <v>9</v>
      </c>
      <c r="H1" s="109" t="s">
        <v>10</v>
      </c>
      <c r="I1" s="110" t="s">
        <v>11</v>
      </c>
      <c r="J1" s="110" t="s">
        <v>12</v>
      </c>
      <c r="K1" s="110" t="s">
        <v>13</v>
      </c>
      <c r="L1" s="110" t="s">
        <v>14</v>
      </c>
      <c r="N1" s="155" t="s">
        <v>61</v>
      </c>
      <c r="O1" s="155" t="s">
        <v>62</v>
      </c>
      <c r="P1" s="157" t="s">
        <v>63</v>
      </c>
      <c r="Q1" s="156" t="s">
        <v>64</v>
      </c>
      <c r="R1" s="112" t="s">
        <v>29</v>
      </c>
      <c r="AB1" s="102"/>
      <c r="AC1" s="113" t="s">
        <v>23</v>
      </c>
      <c r="AD1" s="113"/>
      <c r="AE1" s="113"/>
      <c r="AF1" s="102"/>
      <c r="AG1" s="102"/>
      <c r="AH1" s="114">
        <f ca="1">RANDBETWEEN(100,150)</f>
        <v>129</v>
      </c>
      <c r="AI1" s="114">
        <f ca="1">RANDBETWEEN(5,15)</f>
        <v>8</v>
      </c>
      <c r="AJ1" s="114">
        <v>0.1</v>
      </c>
      <c r="AK1" s="102"/>
    </row>
    <row r="2" spans="1:37" ht="17.25" thickBot="1" x14ac:dyDescent="0.35">
      <c r="A2" s="115" t="s">
        <v>4</v>
      </c>
      <c r="B2" s="116" t="s">
        <v>31</v>
      </c>
      <c r="C2" s="117" t="s">
        <v>24</v>
      </c>
      <c r="D2" s="118" t="s">
        <v>28</v>
      </c>
      <c r="F2" s="120" t="str">
        <f ca="1">G2&amp;" - "&amp;H2</f>
        <v>1000 - 2000</v>
      </c>
      <c r="G2" s="121">
        <f ca="1">R4</f>
        <v>1000</v>
      </c>
      <c r="H2" s="122">
        <f ca="1">G2+$S$5</f>
        <v>2000</v>
      </c>
      <c r="I2" s="123">
        <f ca="1">COUNTIF($C$3:$C$77, "&lt;"&amp;H2)</f>
        <v>2</v>
      </c>
      <c r="J2" s="123">
        <f ca="1">I2</f>
        <v>2</v>
      </c>
      <c r="K2" s="124">
        <f t="shared" ref="K2:K14" ca="1" si="0">J2/$J$15</f>
        <v>2.6666666666666668E-2</v>
      </c>
      <c r="L2" s="125">
        <f t="shared" ref="L2:L14" ca="1" si="1">I2/$J$15</f>
        <v>2.6666666666666668E-2</v>
      </c>
      <c r="N2" s="149" t="s">
        <v>15</v>
      </c>
      <c r="O2" s="146">
        <f ca="1">AVERAGE(B$3:B$77)</f>
        <v>6473.52</v>
      </c>
      <c r="P2" s="152">
        <f ca="1">AVERAGE(C$3:C$77)</f>
        <v>6473.52</v>
      </c>
      <c r="Q2" s="152">
        <f ca="1">AVERAGE(D$3:D$77)</f>
        <v>6473.52</v>
      </c>
      <c r="T2" s="111" t="b">
        <f ca="1">O2=P2</f>
        <v>1</v>
      </c>
      <c r="U2" s="111" t="b">
        <f ca="1">P2=Q2</f>
        <v>1</v>
      </c>
      <c r="X2" s="111">
        <v>20</v>
      </c>
      <c r="AB2" s="102"/>
      <c r="AC2" s="114"/>
      <c r="AD2" s="114"/>
      <c r="AE2" s="114" t="s">
        <v>30</v>
      </c>
      <c r="AF2" s="102" t="s">
        <v>25</v>
      </c>
      <c r="AG2" s="102" t="s">
        <v>26</v>
      </c>
      <c r="AH2" s="102"/>
      <c r="AI2" s="103"/>
      <c r="AJ2" s="102"/>
      <c r="AK2" s="102"/>
    </row>
    <row r="3" spans="1:37" ht="16.5" x14ac:dyDescent="0.3">
      <c r="A3" s="53">
        <v>1</v>
      </c>
      <c r="B3" s="126">
        <f t="shared" ref="B3:B34" ca="1" si="2">INDEX($AG$3:$AG$77,RANK(AB3,$AB$3:$AB$77))</f>
        <v>5950</v>
      </c>
      <c r="C3" s="127">
        <f ca="1">SMALL($AG$3:$AG$77,AC3)</f>
        <v>1717</v>
      </c>
      <c r="D3" s="128">
        <f ca="1">AG3</f>
        <v>1717</v>
      </c>
      <c r="E3" s="129"/>
      <c r="F3" s="130" t="str">
        <f t="shared" ref="F3:F14" ca="1" si="3">G3&amp;" - "&amp;H3</f>
        <v>2000 - 3000</v>
      </c>
      <c r="G3" s="131">
        <f ca="1">H2</f>
        <v>2000</v>
      </c>
      <c r="H3" s="132">
        <f ca="1">G3+$S$5</f>
        <v>3000</v>
      </c>
      <c r="I3" s="133">
        <f t="shared" ref="I3:I14" ca="1" si="4">COUNTIF($C$3:$C$77, "&lt;"&amp;H3)</f>
        <v>7</v>
      </c>
      <c r="J3" s="133">
        <f ca="1">I3-I2</f>
        <v>5</v>
      </c>
      <c r="K3" s="134">
        <f t="shared" ca="1" si="0"/>
        <v>6.6666666666666666E-2</v>
      </c>
      <c r="L3" s="135">
        <f t="shared" ca="1" si="1"/>
        <v>9.3333333333333338E-2</v>
      </c>
      <c r="N3" s="150" t="s">
        <v>16</v>
      </c>
      <c r="O3" s="147">
        <f ca="1">MAX(B$3:B$77)</f>
        <v>12343</v>
      </c>
      <c r="P3" s="153">
        <f ca="1">MAX(C$3:C$77)</f>
        <v>12343</v>
      </c>
      <c r="Q3" s="153">
        <f ca="1">MAX(D$3:D$77)</f>
        <v>12343</v>
      </c>
      <c r="R3" s="111">
        <f ca="1">ROUNDUP(O3/S5,0)</f>
        <v>13</v>
      </c>
      <c r="S3" s="111">
        <f ca="1">R3*S5</f>
        <v>13000</v>
      </c>
      <c r="T3" s="111" t="b">
        <f t="shared" ref="T3:T8" ca="1" si="5">O3=P3</f>
        <v>1</v>
      </c>
      <c r="U3" s="111" t="b">
        <f t="shared" ref="U3:U9" ca="1" si="6">P3=Q3</f>
        <v>1</v>
      </c>
      <c r="AB3" s="102">
        <f t="shared" ref="AB3:AB66" ca="1" si="7">RAND()</f>
        <v>0.58910273670566859</v>
      </c>
      <c r="AC3" s="114">
        <v>1</v>
      </c>
      <c r="AD3" s="114">
        <v>1</v>
      </c>
      <c r="AE3" s="114">
        <f ca="1">INT($AH$1+$AI$1*AD3)</f>
        <v>137</v>
      </c>
      <c r="AF3" s="136">
        <f ca="1">(((IF(MOD(AD3,5)&lt;&gt;0,MOD(AD3,5),5))+12)+_xlfn.NORM.S.INV(RAND()))</f>
        <v>12.532694138742748</v>
      </c>
      <c r="AG3" s="102">
        <f ca="1">ROUND(AE3*AF3,0)</f>
        <v>1717</v>
      </c>
      <c r="AH3" s="102"/>
      <c r="AI3" s="103"/>
      <c r="AJ3" s="102"/>
      <c r="AK3" s="102"/>
    </row>
    <row r="4" spans="1:37" ht="16.5" x14ac:dyDescent="0.3">
      <c r="A4" s="53">
        <v>2</v>
      </c>
      <c r="B4" s="126">
        <f t="shared" ca="1" si="2"/>
        <v>7762</v>
      </c>
      <c r="C4" s="127">
        <f t="shared" ref="C4:C67" ca="1" si="8">SMALL($AG$3:$AG$77,AC4)</f>
        <v>1916</v>
      </c>
      <c r="D4" s="128">
        <f t="shared" ref="D4:D67" ca="1" si="9">AG4</f>
        <v>1916</v>
      </c>
      <c r="E4" s="129"/>
      <c r="F4" s="130" t="str">
        <f t="shared" ca="1" si="3"/>
        <v>3000 - 4000</v>
      </c>
      <c r="G4" s="131">
        <f t="shared" ref="G4:G13" ca="1" si="10">H3</f>
        <v>3000</v>
      </c>
      <c r="H4" s="132">
        <f t="shared" ref="H4:H14" ca="1" si="11">G4+$S$5</f>
        <v>4000</v>
      </c>
      <c r="I4" s="133">
        <f t="shared" ca="1" si="4"/>
        <v>19</v>
      </c>
      <c r="J4" s="133">
        <f t="shared" ref="J4:J14" ca="1" si="12">I4-I3</f>
        <v>12</v>
      </c>
      <c r="K4" s="134">
        <f t="shared" ca="1" si="0"/>
        <v>0.16</v>
      </c>
      <c r="L4" s="135">
        <f t="shared" ca="1" si="1"/>
        <v>0.25333333333333335</v>
      </c>
      <c r="N4" s="150" t="s">
        <v>17</v>
      </c>
      <c r="O4" s="147">
        <f ca="1">MIN(B$3:B$77)</f>
        <v>1717</v>
      </c>
      <c r="P4" s="153">
        <f ca="1">MIN(C$3:C$77)</f>
        <v>1717</v>
      </c>
      <c r="Q4" s="153">
        <f ca="1">MIN(D$3:D$77)</f>
        <v>1717</v>
      </c>
      <c r="R4" s="111">
        <f ca="1">S5*INT(O4/S5)</f>
        <v>1000</v>
      </c>
      <c r="T4" s="111" t="b">
        <f ca="1">O4=P4</f>
        <v>1</v>
      </c>
      <c r="U4" s="111" t="b">
        <f t="shared" ca="1" si="6"/>
        <v>1</v>
      </c>
      <c r="AB4" s="102">
        <f t="shared" ca="1" si="7"/>
        <v>0.34981377851732554</v>
      </c>
      <c r="AC4" s="114">
        <v>2</v>
      </c>
      <c r="AD4" s="114">
        <v>2</v>
      </c>
      <c r="AE4" s="114">
        <f t="shared" ref="AE4:AE67" ca="1" si="13">INT($AH$1+$AI$1*AD4)</f>
        <v>145</v>
      </c>
      <c r="AF4" s="136">
        <f t="shared" ref="AF4:AF67" ca="1" si="14">(((IF(MOD(AD4,5)&lt;&gt;0,MOD(AD4,5),5))+12)+_xlfn.NORM.S.INV(RAND()))</f>
        <v>13.216536417314146</v>
      </c>
      <c r="AG4" s="102">
        <f t="shared" ref="AG4:AG67" ca="1" si="15">ROUND(AE4*AF4,0)</f>
        <v>1916</v>
      </c>
      <c r="AH4" s="102"/>
      <c r="AI4" s="103"/>
      <c r="AJ4" s="102"/>
      <c r="AK4" s="102"/>
    </row>
    <row r="5" spans="1:37" ht="16.5" x14ac:dyDescent="0.3">
      <c r="A5" s="53">
        <v>3</v>
      </c>
      <c r="B5" s="126">
        <f t="shared" ca="1" si="2"/>
        <v>5820</v>
      </c>
      <c r="C5" s="127">
        <f t="shared" ca="1" si="8"/>
        <v>2125</v>
      </c>
      <c r="D5" s="128">
        <f t="shared" ca="1" si="9"/>
        <v>2468</v>
      </c>
      <c r="E5" s="129"/>
      <c r="F5" s="130" t="str">
        <f t="shared" ca="1" si="3"/>
        <v>4000 - 5000</v>
      </c>
      <c r="G5" s="131">
        <f t="shared" ca="1" si="10"/>
        <v>4000</v>
      </c>
      <c r="H5" s="132">
        <f t="shared" ca="1" si="11"/>
        <v>5000</v>
      </c>
      <c r="I5" s="133">
        <f t="shared" ca="1" si="4"/>
        <v>25</v>
      </c>
      <c r="J5" s="133">
        <f t="shared" ca="1" si="12"/>
        <v>6</v>
      </c>
      <c r="K5" s="134">
        <f t="shared" ca="1" si="0"/>
        <v>0.08</v>
      </c>
      <c r="L5" s="135">
        <f t="shared" ca="1" si="1"/>
        <v>0.33333333333333331</v>
      </c>
      <c r="N5" s="150" t="s">
        <v>8</v>
      </c>
      <c r="O5" s="147">
        <f ca="1">O3-O4</f>
        <v>10626</v>
      </c>
      <c r="P5" s="153">
        <f ca="1">P3-P4</f>
        <v>10626</v>
      </c>
      <c r="Q5" s="153">
        <f ca="1">Q3-Q4</f>
        <v>10626</v>
      </c>
      <c r="R5" s="111">
        <f ca="1">ROUND(O5/10,0)</f>
        <v>1063</v>
      </c>
      <c r="S5" s="111">
        <f ca="1">ROUND(R5,-LEN(R5)+1)</f>
        <v>1000</v>
      </c>
      <c r="T5" s="111" t="b">
        <f t="shared" ca="1" si="5"/>
        <v>1</v>
      </c>
      <c r="U5" s="111" t="b">
        <f t="shared" ca="1" si="6"/>
        <v>1</v>
      </c>
      <c r="AB5" s="102">
        <f t="shared" ca="1" si="7"/>
        <v>0.52125804356326277</v>
      </c>
      <c r="AC5" s="114">
        <v>3</v>
      </c>
      <c r="AD5" s="114">
        <v>3</v>
      </c>
      <c r="AE5" s="114">
        <f t="shared" ca="1" si="13"/>
        <v>153</v>
      </c>
      <c r="AF5" s="136">
        <f t="shared" ca="1" si="14"/>
        <v>16.128998378809605</v>
      </c>
      <c r="AG5" s="102">
        <f t="shared" ca="1" si="15"/>
        <v>2468</v>
      </c>
      <c r="AH5" s="102"/>
      <c r="AI5" s="103"/>
      <c r="AJ5" s="102"/>
      <c r="AK5" s="102"/>
    </row>
    <row r="6" spans="1:37" ht="16.5" x14ac:dyDescent="0.3">
      <c r="A6" s="53">
        <v>4</v>
      </c>
      <c r="B6" s="126">
        <f t="shared" ca="1" si="2"/>
        <v>5012</v>
      </c>
      <c r="C6" s="127">
        <f t="shared" ca="1" si="8"/>
        <v>2379</v>
      </c>
      <c r="D6" s="128">
        <f t="shared" ca="1" si="9"/>
        <v>2720</v>
      </c>
      <c r="E6" s="129"/>
      <c r="F6" s="130" t="str">
        <f t="shared" ca="1" si="3"/>
        <v>5000 - 6000</v>
      </c>
      <c r="G6" s="131">
        <f t="shared" ca="1" si="10"/>
        <v>5000</v>
      </c>
      <c r="H6" s="132">
        <f t="shared" ca="1" si="11"/>
        <v>6000</v>
      </c>
      <c r="I6" s="133">
        <f t="shared" ca="1" si="4"/>
        <v>36</v>
      </c>
      <c r="J6" s="133">
        <f t="shared" ca="1" si="12"/>
        <v>11</v>
      </c>
      <c r="K6" s="134">
        <f t="shared" ca="1" si="0"/>
        <v>0.14666666666666667</v>
      </c>
      <c r="L6" s="135">
        <f t="shared" ca="1" si="1"/>
        <v>0.48</v>
      </c>
      <c r="N6" s="150" t="s">
        <v>18</v>
      </c>
      <c r="O6" s="147">
        <f ca="1">_xlfn.STDEV.S(B$3:B$77)</f>
        <v>2774.8694897968448</v>
      </c>
      <c r="P6" s="153">
        <f ca="1">_xlfn.STDEV.S(C$3:C$77)</f>
        <v>2774.8694897968448</v>
      </c>
      <c r="Q6" s="153">
        <f ca="1">_xlfn.STDEV.S(D$3:D$77)</f>
        <v>2774.8694897968448</v>
      </c>
      <c r="T6" s="111" t="b">
        <f t="shared" ca="1" si="5"/>
        <v>1</v>
      </c>
      <c r="U6" s="111" t="b">
        <f t="shared" ca="1" si="6"/>
        <v>1</v>
      </c>
      <c r="AB6" s="102">
        <f t="shared" ca="1" si="7"/>
        <v>0.54726295353143084</v>
      </c>
      <c r="AC6" s="114">
        <v>4</v>
      </c>
      <c r="AD6" s="114">
        <v>4</v>
      </c>
      <c r="AE6" s="114">
        <f t="shared" ca="1" si="13"/>
        <v>161</v>
      </c>
      <c r="AF6" s="136">
        <f t="shared" ca="1" si="14"/>
        <v>16.891418040022554</v>
      </c>
      <c r="AG6" s="102">
        <f t="shared" ca="1" si="15"/>
        <v>2720</v>
      </c>
      <c r="AH6" s="102"/>
      <c r="AI6" s="103"/>
      <c r="AJ6" s="102"/>
      <c r="AK6" s="102"/>
    </row>
    <row r="7" spans="1:37" ht="16.5" x14ac:dyDescent="0.3">
      <c r="A7" s="53">
        <v>5</v>
      </c>
      <c r="B7" s="126">
        <f t="shared" ca="1" si="2"/>
        <v>5404</v>
      </c>
      <c r="C7" s="127">
        <f t="shared" ca="1" si="8"/>
        <v>2468</v>
      </c>
      <c r="D7" s="128">
        <f t="shared" ca="1" si="9"/>
        <v>3017</v>
      </c>
      <c r="E7" s="129"/>
      <c r="F7" s="130" t="str">
        <f t="shared" ca="1" si="3"/>
        <v>6000 - 7000</v>
      </c>
      <c r="G7" s="131">
        <f t="shared" ca="1" si="10"/>
        <v>6000</v>
      </c>
      <c r="H7" s="132">
        <f t="shared" ca="1" si="11"/>
        <v>7000</v>
      </c>
      <c r="I7" s="133">
        <f t="shared" ca="1" si="4"/>
        <v>44</v>
      </c>
      <c r="J7" s="133">
        <f t="shared" ca="1" si="12"/>
        <v>8</v>
      </c>
      <c r="K7" s="134">
        <f t="shared" ca="1" si="0"/>
        <v>0.10666666666666667</v>
      </c>
      <c r="L7" s="135">
        <f t="shared" ca="1" si="1"/>
        <v>0.58666666666666667</v>
      </c>
      <c r="N7" s="150" t="s">
        <v>19</v>
      </c>
      <c r="O7" s="147">
        <f ca="1">O6/O2</f>
        <v>0.42864924952681766</v>
      </c>
      <c r="P7" s="153">
        <f ca="1">P6/P2</f>
        <v>0.42864924952681766</v>
      </c>
      <c r="Q7" s="153">
        <f ca="1">Q6/Q2</f>
        <v>0.42864924952681766</v>
      </c>
      <c r="T7" s="111" t="b">
        <f t="shared" ca="1" si="5"/>
        <v>1</v>
      </c>
      <c r="U7" s="111" t="b">
        <f t="shared" ca="1" si="6"/>
        <v>1</v>
      </c>
      <c r="AB7" s="102">
        <f t="shared" ca="1" si="7"/>
        <v>0.54197658322696285</v>
      </c>
      <c r="AC7" s="114">
        <v>5</v>
      </c>
      <c r="AD7" s="114">
        <v>5</v>
      </c>
      <c r="AE7" s="114">
        <f t="shared" ca="1" si="13"/>
        <v>169</v>
      </c>
      <c r="AF7" s="136">
        <f t="shared" ca="1" si="14"/>
        <v>17.851282765074718</v>
      </c>
      <c r="AG7" s="102">
        <f t="shared" ca="1" si="15"/>
        <v>3017</v>
      </c>
      <c r="AH7" s="102"/>
      <c r="AI7" s="103"/>
      <c r="AJ7" s="102"/>
      <c r="AK7" s="102"/>
    </row>
    <row r="8" spans="1:37" ht="16.5" x14ac:dyDescent="0.3">
      <c r="A8" s="53">
        <v>6</v>
      </c>
      <c r="B8" s="126">
        <f t="shared" ca="1" si="2"/>
        <v>3259</v>
      </c>
      <c r="C8" s="127">
        <f t="shared" ca="1" si="8"/>
        <v>2720</v>
      </c>
      <c r="D8" s="128">
        <f t="shared" ca="1" si="9"/>
        <v>2125</v>
      </c>
      <c r="E8" s="129"/>
      <c r="F8" s="130" t="str">
        <f t="shared" ca="1" si="3"/>
        <v>7000 - 8000</v>
      </c>
      <c r="G8" s="131">
        <f t="shared" ca="1" si="10"/>
        <v>7000</v>
      </c>
      <c r="H8" s="132">
        <f t="shared" ca="1" si="11"/>
        <v>8000</v>
      </c>
      <c r="I8" s="133">
        <f t="shared" ca="1" si="4"/>
        <v>51</v>
      </c>
      <c r="J8" s="133">
        <f t="shared" ca="1" si="12"/>
        <v>7</v>
      </c>
      <c r="K8" s="134">
        <f t="shared" ca="1" si="0"/>
        <v>9.3333333333333338E-2</v>
      </c>
      <c r="L8" s="135">
        <f t="shared" ca="1" si="1"/>
        <v>0.68</v>
      </c>
      <c r="N8" s="150" t="s">
        <v>65</v>
      </c>
      <c r="O8" s="147">
        <f ca="1">O5/O2</f>
        <v>1.6414562710859006</v>
      </c>
      <c r="P8" s="153">
        <f ca="1">P5/P2</f>
        <v>1.6414562710859006</v>
      </c>
      <c r="Q8" s="153">
        <f ca="1">Q5/Q2</f>
        <v>1.6414562710859006</v>
      </c>
      <c r="T8" s="111" t="b">
        <f t="shared" ca="1" si="5"/>
        <v>1</v>
      </c>
      <c r="U8" s="111" t="b">
        <f t="shared" ca="1" si="6"/>
        <v>1</v>
      </c>
      <c r="AB8" s="102">
        <f t="shared" ca="1" si="7"/>
        <v>0.81290410558914039</v>
      </c>
      <c r="AC8" s="114">
        <v>6</v>
      </c>
      <c r="AD8" s="114">
        <v>6</v>
      </c>
      <c r="AE8" s="114">
        <f t="shared" ca="1" si="13"/>
        <v>177</v>
      </c>
      <c r="AF8" s="136">
        <f t="shared" ca="1" si="14"/>
        <v>12.005535063646764</v>
      </c>
      <c r="AG8" s="102">
        <f t="shared" ca="1" si="15"/>
        <v>2125</v>
      </c>
      <c r="AH8" s="102"/>
      <c r="AI8" s="103"/>
      <c r="AJ8" s="102"/>
      <c r="AK8" s="102"/>
    </row>
    <row r="9" spans="1:37" ht="17.25" thickBot="1" x14ac:dyDescent="0.35">
      <c r="A9" s="53">
        <v>7</v>
      </c>
      <c r="B9" s="126">
        <f t="shared" ca="1" si="2"/>
        <v>3588</v>
      </c>
      <c r="C9" s="127">
        <f t="shared" ca="1" si="8"/>
        <v>3017</v>
      </c>
      <c r="D9" s="128">
        <f t="shared" ca="1" si="9"/>
        <v>2379</v>
      </c>
      <c r="E9" s="129"/>
      <c r="F9" s="130" t="str">
        <f t="shared" ca="1" si="3"/>
        <v>8000 - 9000</v>
      </c>
      <c r="G9" s="131">
        <f t="shared" ca="1" si="10"/>
        <v>8000</v>
      </c>
      <c r="H9" s="132">
        <f t="shared" ca="1" si="11"/>
        <v>9000</v>
      </c>
      <c r="I9" s="133">
        <f t="shared" ca="1" si="4"/>
        <v>61</v>
      </c>
      <c r="J9" s="133">
        <f t="shared" ca="1" si="12"/>
        <v>10</v>
      </c>
      <c r="K9" s="134">
        <f t="shared" ca="1" si="0"/>
        <v>0.13333333333333333</v>
      </c>
      <c r="L9" s="135">
        <f t="shared" ca="1" si="1"/>
        <v>0.81333333333333335</v>
      </c>
      <c r="N9" s="151" t="s">
        <v>21</v>
      </c>
      <c r="O9" s="148">
        <f ca="1">SKEW(B$3:B$77)</f>
        <v>0.25646131534381555</v>
      </c>
      <c r="P9" s="154">
        <f ca="1">SKEW(C$3:C$77)</f>
        <v>0.25646131534381539</v>
      </c>
      <c r="Q9" s="154">
        <f ca="1">SKEW(D$3:D$77)</f>
        <v>0.2564613153438155</v>
      </c>
      <c r="T9" s="111" t="b">
        <f ca="1">O9=P9</f>
        <v>0</v>
      </c>
      <c r="U9" s="111" t="b">
        <f t="shared" ca="1" si="6"/>
        <v>1</v>
      </c>
      <c r="AB9" s="102">
        <f t="shared" ca="1" si="7"/>
        <v>0.71684780096448697</v>
      </c>
      <c r="AC9" s="114">
        <v>8</v>
      </c>
      <c r="AD9" s="114">
        <v>7</v>
      </c>
      <c r="AE9" s="114">
        <f t="shared" ca="1" si="13"/>
        <v>185</v>
      </c>
      <c r="AF9" s="136">
        <f t="shared" ca="1" si="14"/>
        <v>12.861227589628077</v>
      </c>
      <c r="AG9" s="102">
        <f t="shared" ca="1" si="15"/>
        <v>2379</v>
      </c>
      <c r="AH9" s="102"/>
      <c r="AI9" s="103"/>
      <c r="AJ9" s="102"/>
      <c r="AK9" s="102"/>
    </row>
    <row r="10" spans="1:37" ht="16.5" x14ac:dyDescent="0.3">
      <c r="A10" s="53">
        <v>8</v>
      </c>
      <c r="B10" s="126">
        <f t="shared" ca="1" si="2"/>
        <v>6500</v>
      </c>
      <c r="C10" s="127">
        <f t="shared" ca="1" si="8"/>
        <v>2807</v>
      </c>
      <c r="D10" s="128">
        <f t="shared" ca="1" si="9"/>
        <v>2807</v>
      </c>
      <c r="E10" s="129"/>
      <c r="F10" s="130" t="str">
        <f t="shared" ca="1" si="3"/>
        <v>9000 - 10000</v>
      </c>
      <c r="G10" s="131">
        <f t="shared" ca="1" si="10"/>
        <v>9000</v>
      </c>
      <c r="H10" s="132">
        <f t="shared" ca="1" si="11"/>
        <v>10000</v>
      </c>
      <c r="I10" s="133">
        <f t="shared" ca="1" si="4"/>
        <v>67</v>
      </c>
      <c r="J10" s="133">
        <f t="shared" ca="1" si="12"/>
        <v>6</v>
      </c>
      <c r="K10" s="134">
        <f t="shared" ca="1" si="0"/>
        <v>0.08</v>
      </c>
      <c r="L10" s="135">
        <f t="shared" ca="1" si="1"/>
        <v>0.89333333333333331</v>
      </c>
      <c r="AB10" s="102">
        <f t="shared" ca="1" si="7"/>
        <v>0.45199134339603997</v>
      </c>
      <c r="AC10" s="114">
        <v>7</v>
      </c>
      <c r="AD10" s="114">
        <v>8</v>
      </c>
      <c r="AE10" s="114">
        <f ca="1">INT($AH$1+$AI$1*AD10)</f>
        <v>193</v>
      </c>
      <c r="AF10" s="136">
        <f t="shared" ca="1" si="14"/>
        <v>14.545174473061659</v>
      </c>
      <c r="AG10" s="102">
        <f t="shared" ca="1" si="15"/>
        <v>2807</v>
      </c>
      <c r="AH10" s="102"/>
      <c r="AI10" s="103"/>
      <c r="AJ10" s="102"/>
      <c r="AK10" s="102"/>
    </row>
    <row r="11" spans="1:37" ht="16.5" x14ac:dyDescent="0.3">
      <c r="A11" s="53">
        <v>9</v>
      </c>
      <c r="B11" s="126">
        <f t="shared" ca="1" si="2"/>
        <v>3352</v>
      </c>
      <c r="C11" s="127">
        <f t="shared" ca="1" si="8"/>
        <v>3352</v>
      </c>
      <c r="D11" s="128">
        <f t="shared" ca="1" si="9"/>
        <v>3352</v>
      </c>
      <c r="E11" s="129"/>
      <c r="F11" s="130" t="str">
        <f t="shared" ca="1" si="3"/>
        <v>10000 - 11000</v>
      </c>
      <c r="G11" s="131">
        <f t="shared" ca="1" si="10"/>
        <v>10000</v>
      </c>
      <c r="H11" s="132">
        <f t="shared" ca="1" si="11"/>
        <v>11000</v>
      </c>
      <c r="I11" s="133">
        <f t="shared" ca="1" si="4"/>
        <v>70</v>
      </c>
      <c r="J11" s="133">
        <f t="shared" ca="1" si="12"/>
        <v>3</v>
      </c>
      <c r="K11" s="134">
        <f t="shared" ca="1" si="0"/>
        <v>0.04</v>
      </c>
      <c r="L11" s="135">
        <f t="shared" ca="1" si="1"/>
        <v>0.93333333333333335</v>
      </c>
      <c r="AB11" s="102">
        <f t="shared" ca="1" si="7"/>
        <v>0.81700846270523653</v>
      </c>
      <c r="AC11" s="114">
        <v>12</v>
      </c>
      <c r="AD11" s="114">
        <v>9</v>
      </c>
      <c r="AE11" s="114">
        <f t="shared" ca="1" si="13"/>
        <v>201</v>
      </c>
      <c r="AF11" s="136">
        <f t="shared" ca="1" si="14"/>
        <v>16.67656487038284</v>
      </c>
      <c r="AG11" s="102">
        <f t="shared" ca="1" si="15"/>
        <v>3352</v>
      </c>
      <c r="AH11" s="102"/>
      <c r="AI11" s="103"/>
      <c r="AJ11" s="102"/>
      <c r="AK11" s="102"/>
    </row>
    <row r="12" spans="1:37" ht="16.5" x14ac:dyDescent="0.3">
      <c r="A12" s="53">
        <v>10</v>
      </c>
      <c r="B12" s="126">
        <f t="shared" ca="1" si="2"/>
        <v>5656</v>
      </c>
      <c r="C12" s="127">
        <f t="shared" ca="1" si="8"/>
        <v>3092</v>
      </c>
      <c r="D12" s="128">
        <f t="shared" ca="1" si="9"/>
        <v>3259</v>
      </c>
      <c r="E12" s="129"/>
      <c r="F12" s="130" t="str">
        <f t="shared" ca="1" si="3"/>
        <v>11000 - 12000</v>
      </c>
      <c r="G12" s="131">
        <f t="shared" ca="1" si="10"/>
        <v>11000</v>
      </c>
      <c r="H12" s="132">
        <f t="shared" ca="1" si="11"/>
        <v>12000</v>
      </c>
      <c r="I12" s="133">
        <f t="shared" ca="1" si="4"/>
        <v>72</v>
      </c>
      <c r="J12" s="133">
        <f t="shared" ca="1" si="12"/>
        <v>2</v>
      </c>
      <c r="K12" s="134">
        <f t="shared" ca="1" si="0"/>
        <v>2.6666666666666668E-2</v>
      </c>
      <c r="L12" s="135">
        <f t="shared" ca="1" si="1"/>
        <v>0.96</v>
      </c>
      <c r="AB12" s="102">
        <f t="shared" ca="1" si="7"/>
        <v>0.61179802543522166</v>
      </c>
      <c r="AC12" s="114">
        <v>9</v>
      </c>
      <c r="AD12" s="114">
        <v>10</v>
      </c>
      <c r="AE12" s="114">
        <f t="shared" ca="1" si="13"/>
        <v>209</v>
      </c>
      <c r="AF12" s="136">
        <f t="shared" ca="1" si="14"/>
        <v>15.591819238197024</v>
      </c>
      <c r="AG12" s="102">
        <f t="shared" ca="1" si="15"/>
        <v>3259</v>
      </c>
      <c r="AH12" s="102"/>
      <c r="AI12" s="103"/>
      <c r="AJ12" s="102"/>
      <c r="AK12" s="102"/>
    </row>
    <row r="13" spans="1:37" ht="16.5" x14ac:dyDescent="0.3">
      <c r="A13" s="53">
        <v>11</v>
      </c>
      <c r="B13" s="126">
        <f t="shared" ca="1" si="2"/>
        <v>12163</v>
      </c>
      <c r="C13" s="127">
        <f t="shared" ca="1" si="8"/>
        <v>3259</v>
      </c>
      <c r="D13" s="128">
        <f t="shared" ca="1" si="9"/>
        <v>3092</v>
      </c>
      <c r="E13" s="129"/>
      <c r="F13" s="130" t="str">
        <f t="shared" ca="1" si="3"/>
        <v>12000 - 13000</v>
      </c>
      <c r="G13" s="131">
        <f t="shared" ca="1" si="10"/>
        <v>12000</v>
      </c>
      <c r="H13" s="132">
        <f t="shared" ca="1" si="11"/>
        <v>13000</v>
      </c>
      <c r="I13" s="133">
        <f t="shared" ca="1" si="4"/>
        <v>75</v>
      </c>
      <c r="J13" s="133">
        <f t="shared" ca="1" si="12"/>
        <v>3</v>
      </c>
      <c r="K13" s="134">
        <f t="shared" ca="1" si="0"/>
        <v>0.04</v>
      </c>
      <c r="L13" s="135">
        <f t="shared" ca="1" si="1"/>
        <v>1</v>
      </c>
      <c r="AB13" s="102">
        <f t="shared" ca="1" si="7"/>
        <v>5.344830267989531E-2</v>
      </c>
      <c r="AC13" s="114">
        <v>10</v>
      </c>
      <c r="AD13" s="114">
        <v>11</v>
      </c>
      <c r="AE13" s="114">
        <f t="shared" ca="1" si="13"/>
        <v>217</v>
      </c>
      <c r="AF13" s="136">
        <f t="shared" ca="1" si="14"/>
        <v>14.248133624605863</v>
      </c>
      <c r="AG13" s="102">
        <f t="shared" ca="1" si="15"/>
        <v>3092</v>
      </c>
      <c r="AH13" s="102"/>
      <c r="AI13" s="103"/>
      <c r="AJ13" s="102"/>
      <c r="AK13" s="102"/>
    </row>
    <row r="14" spans="1:37" ht="17.25" thickBot="1" x14ac:dyDescent="0.35">
      <c r="A14" s="53">
        <v>12</v>
      </c>
      <c r="B14" s="126">
        <f t="shared" ca="1" si="2"/>
        <v>4979</v>
      </c>
      <c r="C14" s="127">
        <f t="shared" ca="1" si="8"/>
        <v>3289</v>
      </c>
      <c r="D14" s="128">
        <f t="shared" ca="1" si="9"/>
        <v>3289</v>
      </c>
      <c r="E14" s="129"/>
      <c r="F14" s="137" t="str">
        <f t="shared" ca="1" si="3"/>
        <v>13000 - 14000</v>
      </c>
      <c r="G14" s="138">
        <f ca="1">H13</f>
        <v>13000</v>
      </c>
      <c r="H14" s="139">
        <f t="shared" ca="1" si="11"/>
        <v>14000</v>
      </c>
      <c r="I14" s="140">
        <f t="shared" ca="1" si="4"/>
        <v>75</v>
      </c>
      <c r="J14" s="140">
        <f t="shared" ca="1" si="12"/>
        <v>0</v>
      </c>
      <c r="K14" s="141">
        <f t="shared" ca="1" si="0"/>
        <v>0</v>
      </c>
      <c r="L14" s="142">
        <f t="shared" ca="1" si="1"/>
        <v>1</v>
      </c>
      <c r="AB14" s="102">
        <f t="shared" ca="1" si="7"/>
        <v>0.7202359476150858</v>
      </c>
      <c r="AC14" s="114">
        <v>11</v>
      </c>
      <c r="AD14" s="114">
        <v>12</v>
      </c>
      <c r="AE14" s="114">
        <f t="shared" ca="1" si="13"/>
        <v>225</v>
      </c>
      <c r="AF14" s="136">
        <f t="shared" ca="1" si="14"/>
        <v>14.616071975829829</v>
      </c>
      <c r="AG14" s="102">
        <f t="shared" ca="1" si="15"/>
        <v>3289</v>
      </c>
      <c r="AH14" s="102"/>
      <c r="AI14" s="103"/>
      <c r="AJ14" s="102"/>
      <c r="AK14" s="102"/>
    </row>
    <row r="15" spans="1:37" ht="16.5" x14ac:dyDescent="0.3">
      <c r="A15" s="53">
        <v>13</v>
      </c>
      <c r="B15" s="126">
        <f t="shared" ca="1" si="2"/>
        <v>6125</v>
      </c>
      <c r="C15" s="127">
        <f t="shared" ca="1" si="8"/>
        <v>3588</v>
      </c>
      <c r="D15" s="128">
        <f t="shared" ca="1" si="9"/>
        <v>3640</v>
      </c>
      <c r="E15" s="129"/>
      <c r="F15" s="143"/>
      <c r="G15" s="133"/>
      <c r="H15" s="133"/>
      <c r="I15" s="133"/>
      <c r="J15" s="133">
        <f ca="1">SUM(J2:J14)</f>
        <v>75</v>
      </c>
      <c r="K15" s="134">
        <f ca="1">SUM(K2:K14)</f>
        <v>1</v>
      </c>
      <c r="L15" s="134"/>
      <c r="AB15" s="102">
        <f t="shared" ca="1" si="7"/>
        <v>0.58230386399701184</v>
      </c>
      <c r="AC15" s="114">
        <v>14</v>
      </c>
      <c r="AD15" s="114">
        <v>13</v>
      </c>
      <c r="AE15" s="114">
        <f t="shared" ca="1" si="13"/>
        <v>233</v>
      </c>
      <c r="AF15" s="136">
        <f t="shared" ca="1" si="14"/>
        <v>15.623467035817479</v>
      </c>
      <c r="AG15" s="102">
        <f t="shared" ca="1" si="15"/>
        <v>3640</v>
      </c>
      <c r="AH15" s="102"/>
      <c r="AI15" s="103"/>
      <c r="AJ15" s="102"/>
      <c r="AK15" s="102"/>
    </row>
    <row r="16" spans="1:37" ht="16.5" x14ac:dyDescent="0.3">
      <c r="A16" s="53">
        <v>14</v>
      </c>
      <c r="B16" s="126">
        <f t="shared" ca="1" si="2"/>
        <v>5881</v>
      </c>
      <c r="C16" s="127">
        <f t="shared" ca="1" si="8"/>
        <v>3717</v>
      </c>
      <c r="D16" s="128">
        <f t="shared" ca="1" si="9"/>
        <v>3374</v>
      </c>
      <c r="E16" s="129"/>
      <c r="F16" s="144"/>
      <c r="G16" s="144"/>
      <c r="H16" s="144"/>
      <c r="I16" s="144"/>
      <c r="L16" s="144"/>
      <c r="AB16" s="102">
        <f t="shared" ca="1" si="7"/>
        <v>0.45667964716555731</v>
      </c>
      <c r="AC16" s="114">
        <v>16</v>
      </c>
      <c r="AD16" s="114">
        <v>14</v>
      </c>
      <c r="AE16" s="114">
        <f t="shared" ca="1" si="13"/>
        <v>241</v>
      </c>
      <c r="AF16" s="136">
        <f t="shared" ca="1" si="14"/>
        <v>14.000706985310504</v>
      </c>
      <c r="AG16" s="102">
        <f t="shared" ca="1" si="15"/>
        <v>3374</v>
      </c>
      <c r="AH16" s="102"/>
      <c r="AI16" s="103"/>
      <c r="AJ16" s="102"/>
      <c r="AK16" s="102"/>
    </row>
    <row r="17" spans="1:37" ht="16.5" x14ac:dyDescent="0.3">
      <c r="A17" s="53">
        <v>15</v>
      </c>
      <c r="B17" s="126">
        <f t="shared" ca="1" si="2"/>
        <v>2807</v>
      </c>
      <c r="C17" s="127">
        <f t="shared" ca="1" si="8"/>
        <v>3789</v>
      </c>
      <c r="D17" s="128">
        <f t="shared" ca="1" si="9"/>
        <v>3789</v>
      </c>
      <c r="E17" s="129"/>
      <c r="J17" s="145"/>
      <c r="K17" s="145"/>
      <c r="AB17" s="102">
        <f t="shared" ca="1" si="7"/>
        <v>0.84116197259791881</v>
      </c>
      <c r="AC17" s="114">
        <v>18</v>
      </c>
      <c r="AD17" s="114">
        <v>15</v>
      </c>
      <c r="AE17" s="114">
        <f t="shared" ca="1" si="13"/>
        <v>249</v>
      </c>
      <c r="AF17" s="136">
        <f t="shared" ca="1" si="14"/>
        <v>15.217908495872999</v>
      </c>
      <c r="AG17" s="102">
        <f t="shared" ca="1" si="15"/>
        <v>3789</v>
      </c>
      <c r="AH17" s="102"/>
      <c r="AI17" s="103"/>
      <c r="AJ17" s="102"/>
      <c r="AK17" s="102"/>
    </row>
    <row r="18" spans="1:37" ht="16.5" x14ac:dyDescent="0.3">
      <c r="A18" s="53">
        <v>16</v>
      </c>
      <c r="B18" s="126">
        <f t="shared" ca="1" si="2"/>
        <v>2468</v>
      </c>
      <c r="C18" s="127">
        <f t="shared" ca="1" si="8"/>
        <v>3374</v>
      </c>
      <c r="D18" s="128">
        <f t="shared" ca="1" si="9"/>
        <v>3717</v>
      </c>
      <c r="E18" s="129"/>
      <c r="AB18" s="102">
        <f t="shared" ca="1" si="7"/>
        <v>0.93582543144296537</v>
      </c>
      <c r="AC18" s="114">
        <v>13</v>
      </c>
      <c r="AD18" s="114">
        <v>16</v>
      </c>
      <c r="AE18" s="114">
        <f t="shared" ca="1" si="13"/>
        <v>257</v>
      </c>
      <c r="AF18" s="136">
        <f t="shared" ca="1" si="14"/>
        <v>14.464422008776477</v>
      </c>
      <c r="AG18" s="102">
        <f t="shared" ca="1" si="15"/>
        <v>3717</v>
      </c>
      <c r="AH18" s="102"/>
      <c r="AI18" s="103"/>
      <c r="AJ18" s="102"/>
      <c r="AK18" s="102"/>
    </row>
    <row r="19" spans="1:37" ht="16.5" x14ac:dyDescent="0.3">
      <c r="A19" s="53">
        <v>17</v>
      </c>
      <c r="B19" s="126">
        <f t="shared" ca="1" si="2"/>
        <v>5353</v>
      </c>
      <c r="C19" s="127">
        <f t="shared" ca="1" si="8"/>
        <v>3726</v>
      </c>
      <c r="D19" s="128">
        <f t="shared" ca="1" si="9"/>
        <v>3726</v>
      </c>
      <c r="E19" s="129"/>
      <c r="AB19" s="102">
        <f t="shared" ca="1" si="7"/>
        <v>0.72457134022183889</v>
      </c>
      <c r="AC19" s="114">
        <v>17</v>
      </c>
      <c r="AD19" s="114">
        <v>17</v>
      </c>
      <c r="AE19" s="114">
        <f t="shared" ca="1" si="13"/>
        <v>265</v>
      </c>
      <c r="AF19" s="136">
        <f t="shared" ca="1" si="14"/>
        <v>14.0593378211908</v>
      </c>
      <c r="AG19" s="102">
        <f t="shared" ca="1" si="15"/>
        <v>3726</v>
      </c>
      <c r="AH19" s="102"/>
      <c r="AI19" s="103"/>
      <c r="AJ19" s="102"/>
      <c r="AK19" s="102"/>
    </row>
    <row r="20" spans="1:37" ht="16.5" x14ac:dyDescent="0.3">
      <c r="A20" s="53">
        <v>18</v>
      </c>
      <c r="B20" s="126">
        <f t="shared" ca="1" si="2"/>
        <v>6624</v>
      </c>
      <c r="C20" s="127">
        <f t="shared" ca="1" si="8"/>
        <v>3640</v>
      </c>
      <c r="D20" s="128">
        <f t="shared" ca="1" si="9"/>
        <v>4335</v>
      </c>
      <c r="E20" s="129"/>
      <c r="AB20" s="102">
        <f t="shared" ca="1" si="7"/>
        <v>0.35598705007097886</v>
      </c>
      <c r="AC20" s="114">
        <v>15</v>
      </c>
      <c r="AD20" s="114">
        <v>18</v>
      </c>
      <c r="AE20" s="114">
        <f t="shared" ca="1" si="13"/>
        <v>273</v>
      </c>
      <c r="AF20" s="136">
        <f t="shared" ca="1" si="14"/>
        <v>15.880698894913351</v>
      </c>
      <c r="AG20" s="102">
        <f t="shared" ca="1" si="15"/>
        <v>4335</v>
      </c>
      <c r="AH20" s="102"/>
      <c r="AI20" s="103"/>
      <c r="AJ20" s="102"/>
      <c r="AK20" s="102"/>
    </row>
    <row r="21" spans="1:37" ht="16.5" x14ac:dyDescent="0.3">
      <c r="A21" s="53">
        <v>19</v>
      </c>
      <c r="B21" s="126">
        <f t="shared" ca="1" si="2"/>
        <v>7875</v>
      </c>
      <c r="C21" s="127">
        <f t="shared" ca="1" si="8"/>
        <v>3992</v>
      </c>
      <c r="D21" s="128">
        <f t="shared" ca="1" si="9"/>
        <v>5353</v>
      </c>
      <c r="E21" s="129"/>
      <c r="AB21" s="102">
        <f t="shared" ca="1" si="7"/>
        <v>0.20907457069468716</v>
      </c>
      <c r="AC21" s="114">
        <v>19</v>
      </c>
      <c r="AD21" s="114">
        <v>19</v>
      </c>
      <c r="AE21" s="114">
        <f t="shared" ca="1" si="13"/>
        <v>281</v>
      </c>
      <c r="AF21" s="136">
        <f t="shared" ca="1" si="14"/>
        <v>19.051364662190217</v>
      </c>
      <c r="AG21" s="102">
        <f t="shared" ca="1" si="15"/>
        <v>5353</v>
      </c>
      <c r="AH21" s="102"/>
      <c r="AI21" s="103"/>
      <c r="AJ21" s="102"/>
      <c r="AK21" s="102"/>
    </row>
    <row r="22" spans="1:37" ht="16.5" x14ac:dyDescent="0.3">
      <c r="A22" s="53">
        <v>20</v>
      </c>
      <c r="B22" s="126">
        <f t="shared" ca="1" si="2"/>
        <v>3789</v>
      </c>
      <c r="C22" s="127">
        <f t="shared" ca="1" si="8"/>
        <v>4147</v>
      </c>
      <c r="D22" s="128">
        <f t="shared" ca="1" si="9"/>
        <v>4979</v>
      </c>
      <c r="E22" s="129"/>
      <c r="AB22" s="102">
        <f t="shared" ca="1" si="7"/>
        <v>0.7672277802471571</v>
      </c>
      <c r="AC22" s="114">
        <v>20</v>
      </c>
      <c r="AD22" s="114">
        <v>20</v>
      </c>
      <c r="AE22" s="114">
        <f t="shared" ca="1" si="13"/>
        <v>289</v>
      </c>
      <c r="AF22" s="136">
        <f t="shared" ca="1" si="14"/>
        <v>17.228500711551401</v>
      </c>
      <c r="AG22" s="102">
        <f t="shared" ca="1" si="15"/>
        <v>4979</v>
      </c>
      <c r="AH22" s="102"/>
      <c r="AI22" s="103"/>
      <c r="AJ22" s="102"/>
      <c r="AK22" s="102"/>
    </row>
    <row r="23" spans="1:37" ht="16.5" x14ac:dyDescent="0.3">
      <c r="A23" s="53">
        <v>21</v>
      </c>
      <c r="B23" s="126">
        <f t="shared" ca="1" si="2"/>
        <v>12138</v>
      </c>
      <c r="C23" s="127">
        <f t="shared" ca="1" si="8"/>
        <v>4979</v>
      </c>
      <c r="D23" s="128">
        <f t="shared" ca="1" si="9"/>
        <v>3588</v>
      </c>
      <c r="E23" s="129"/>
      <c r="AB23" s="102">
        <f t="shared" ca="1" si="7"/>
        <v>1.2903648367008191E-2</v>
      </c>
      <c r="AC23" s="114">
        <v>24</v>
      </c>
      <c r="AD23" s="114">
        <v>21</v>
      </c>
      <c r="AE23" s="114">
        <f t="shared" ca="1" si="13"/>
        <v>297</v>
      </c>
      <c r="AF23" s="136">
        <f t="shared" ca="1" si="14"/>
        <v>12.079653845959713</v>
      </c>
      <c r="AG23" s="102">
        <f t="shared" ca="1" si="15"/>
        <v>3588</v>
      </c>
      <c r="AH23" s="102"/>
      <c r="AI23" s="103"/>
      <c r="AJ23" s="102"/>
      <c r="AK23" s="102"/>
    </row>
    <row r="24" spans="1:37" ht="16.5" x14ac:dyDescent="0.3">
      <c r="A24" s="53">
        <v>22</v>
      </c>
      <c r="B24" s="126">
        <f t="shared" ca="1" si="2"/>
        <v>5484</v>
      </c>
      <c r="C24" s="127">
        <f t="shared" ca="1" si="8"/>
        <v>4335</v>
      </c>
      <c r="D24" s="128">
        <f t="shared" ca="1" si="9"/>
        <v>3992</v>
      </c>
      <c r="E24" s="129"/>
      <c r="AB24" s="102">
        <f t="shared" ca="1" si="7"/>
        <v>0.50307155447475183</v>
      </c>
      <c r="AC24" s="114">
        <v>22</v>
      </c>
      <c r="AD24" s="114">
        <v>22</v>
      </c>
      <c r="AE24" s="114">
        <f t="shared" ca="1" si="13"/>
        <v>305</v>
      </c>
      <c r="AF24" s="136">
        <f t="shared" ca="1" si="14"/>
        <v>13.087479919652782</v>
      </c>
      <c r="AG24" s="102">
        <f t="shared" ca="1" si="15"/>
        <v>3992</v>
      </c>
      <c r="AH24" s="102"/>
      <c r="AI24" s="103"/>
      <c r="AJ24" s="102"/>
      <c r="AK24" s="102"/>
    </row>
    <row r="25" spans="1:37" ht="16.5" x14ac:dyDescent="0.3">
      <c r="A25" s="53">
        <v>23</v>
      </c>
      <c r="B25" s="126">
        <f t="shared" ca="1" si="2"/>
        <v>5615</v>
      </c>
      <c r="C25" s="127">
        <f t="shared" ca="1" si="8"/>
        <v>4966</v>
      </c>
      <c r="D25" s="128">
        <f t="shared" ca="1" si="9"/>
        <v>4264</v>
      </c>
      <c r="E25" s="129"/>
      <c r="AB25" s="102">
        <f t="shared" ca="1" si="7"/>
        <v>0.54049836651150029</v>
      </c>
      <c r="AC25" s="114">
        <v>23</v>
      </c>
      <c r="AD25" s="114">
        <v>23</v>
      </c>
      <c r="AE25" s="114">
        <f t="shared" ca="1" si="13"/>
        <v>313</v>
      </c>
      <c r="AF25" s="136">
        <f t="shared" ca="1" si="14"/>
        <v>13.62384467353735</v>
      </c>
      <c r="AG25" s="102">
        <f t="shared" ca="1" si="15"/>
        <v>4264</v>
      </c>
      <c r="AH25" s="102"/>
      <c r="AI25" s="103"/>
      <c r="AJ25" s="102"/>
      <c r="AK25" s="102"/>
    </row>
    <row r="26" spans="1:37" ht="16.5" x14ac:dyDescent="0.3">
      <c r="A26" s="53">
        <v>24</v>
      </c>
      <c r="B26" s="126">
        <f t="shared" ca="1" si="2"/>
        <v>9423</v>
      </c>
      <c r="C26" s="127">
        <f t="shared" ca="1" si="8"/>
        <v>4996</v>
      </c>
      <c r="D26" s="128">
        <f t="shared" ca="1" si="9"/>
        <v>5059</v>
      </c>
      <c r="E26" s="129"/>
      <c r="AB26" s="102">
        <f t="shared" ca="1" si="7"/>
        <v>0.19720143404908219</v>
      </c>
      <c r="AC26" s="114">
        <v>25</v>
      </c>
      <c r="AD26" s="114">
        <v>24</v>
      </c>
      <c r="AE26" s="114">
        <f t="shared" ca="1" si="13"/>
        <v>321</v>
      </c>
      <c r="AF26" s="136">
        <f t="shared" ca="1" si="14"/>
        <v>15.759079029252444</v>
      </c>
      <c r="AG26" s="102">
        <f t="shared" ca="1" si="15"/>
        <v>5059</v>
      </c>
      <c r="AH26" s="102"/>
      <c r="AI26" s="103"/>
      <c r="AJ26" s="102"/>
      <c r="AK26" s="102"/>
    </row>
    <row r="27" spans="1:37" ht="16.5" x14ac:dyDescent="0.3">
      <c r="A27" s="53">
        <v>25</v>
      </c>
      <c r="B27" s="126">
        <f t="shared" ca="1" si="2"/>
        <v>8482</v>
      </c>
      <c r="C27" s="127">
        <f t="shared" ca="1" si="8"/>
        <v>4264</v>
      </c>
      <c r="D27" s="128">
        <f t="shared" ca="1" si="9"/>
        <v>5656</v>
      </c>
      <c r="E27" s="158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02">
        <f t="shared" ca="1" si="7"/>
        <v>0.18375772184657924</v>
      </c>
      <c r="AC27" s="114">
        <v>21</v>
      </c>
      <c r="AD27" s="114">
        <v>25</v>
      </c>
      <c r="AE27" s="114">
        <f t="shared" ca="1" si="13"/>
        <v>329</v>
      </c>
      <c r="AF27" s="136">
        <f t="shared" ca="1" si="14"/>
        <v>17.192224869897618</v>
      </c>
      <c r="AG27" s="102">
        <f t="shared" ca="1" si="15"/>
        <v>5656</v>
      </c>
      <c r="AH27" s="102"/>
      <c r="AI27" s="103"/>
      <c r="AJ27" s="102"/>
      <c r="AK27" s="102"/>
    </row>
    <row r="28" spans="1:37" ht="16.5" x14ac:dyDescent="0.3">
      <c r="A28" s="53">
        <v>26</v>
      </c>
      <c r="B28" s="126">
        <f t="shared" ca="1" si="2"/>
        <v>6775</v>
      </c>
      <c r="C28" s="127">
        <f t="shared" ca="1" si="8"/>
        <v>5059</v>
      </c>
      <c r="D28" s="128">
        <f t="shared" ca="1" si="9"/>
        <v>4147</v>
      </c>
      <c r="E28" s="158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02">
        <f t="shared" ca="1" si="7"/>
        <v>0.5208221563004668</v>
      </c>
      <c r="AC28" s="114">
        <v>27</v>
      </c>
      <c r="AD28" s="114">
        <v>26</v>
      </c>
      <c r="AE28" s="114">
        <f t="shared" ca="1" si="13"/>
        <v>337</v>
      </c>
      <c r="AF28" s="136">
        <f t="shared" ca="1" si="14"/>
        <v>12.305095202624139</v>
      </c>
      <c r="AG28" s="102">
        <f t="shared" ca="1" si="15"/>
        <v>4147</v>
      </c>
      <c r="AH28" s="102"/>
      <c r="AI28" s="103"/>
      <c r="AJ28" s="102"/>
      <c r="AK28" s="102"/>
    </row>
    <row r="29" spans="1:37" ht="16.5" x14ac:dyDescent="0.3">
      <c r="A29" s="53">
        <v>27</v>
      </c>
      <c r="B29" s="126">
        <f t="shared" ca="1" si="2"/>
        <v>7274</v>
      </c>
      <c r="C29" s="127">
        <f t="shared" ca="1" si="8"/>
        <v>5012</v>
      </c>
      <c r="D29" s="128">
        <f t="shared" ca="1" si="9"/>
        <v>4966</v>
      </c>
      <c r="E29" s="158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02">
        <f t="shared" ca="1" si="7"/>
        <v>0.21028612014347259</v>
      </c>
      <c r="AC29" s="114">
        <v>26</v>
      </c>
      <c r="AD29" s="114">
        <v>27</v>
      </c>
      <c r="AE29" s="114">
        <f t="shared" ca="1" si="13"/>
        <v>345</v>
      </c>
      <c r="AF29" s="136">
        <f t="shared" ca="1" si="14"/>
        <v>14.394801820065895</v>
      </c>
      <c r="AG29" s="102">
        <f t="shared" ca="1" si="15"/>
        <v>4966</v>
      </c>
      <c r="AH29" s="102"/>
      <c r="AI29" s="103"/>
      <c r="AJ29" s="102"/>
      <c r="AK29" s="102"/>
    </row>
    <row r="30" spans="1:37" ht="16.5" x14ac:dyDescent="0.3">
      <c r="A30" s="53">
        <v>28</v>
      </c>
      <c r="B30" s="126">
        <f t="shared" ca="1" si="2"/>
        <v>2720</v>
      </c>
      <c r="C30" s="127">
        <f t="shared" ca="1" si="8"/>
        <v>5656</v>
      </c>
      <c r="D30" s="128">
        <f t="shared" ca="1" si="9"/>
        <v>5950</v>
      </c>
      <c r="E30" s="158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02">
        <f t="shared" ca="1" si="7"/>
        <v>0.93174463334725466</v>
      </c>
      <c r="AC30" s="114">
        <v>33</v>
      </c>
      <c r="AD30" s="114">
        <v>28</v>
      </c>
      <c r="AE30" s="114">
        <f t="shared" ca="1" si="13"/>
        <v>353</v>
      </c>
      <c r="AF30" s="136">
        <f t="shared" ca="1" si="14"/>
        <v>16.856128681120726</v>
      </c>
      <c r="AG30" s="102">
        <f t="shared" ca="1" si="15"/>
        <v>5950</v>
      </c>
      <c r="AH30" s="102"/>
      <c r="AI30" s="103"/>
      <c r="AJ30" s="102"/>
      <c r="AK30" s="102"/>
    </row>
    <row r="31" spans="1:37" ht="16.5" x14ac:dyDescent="0.3">
      <c r="A31" s="53">
        <v>29</v>
      </c>
      <c r="B31" s="126">
        <f t="shared" ca="1" si="2"/>
        <v>8309</v>
      </c>
      <c r="C31" s="127">
        <f t="shared" ca="1" si="8"/>
        <v>5820</v>
      </c>
      <c r="D31" s="128">
        <f t="shared" ca="1" si="9"/>
        <v>6125</v>
      </c>
      <c r="E31" s="158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02">
        <f t="shared" ca="1" si="7"/>
        <v>0.18519717729281004</v>
      </c>
      <c r="AC31" s="114">
        <v>34</v>
      </c>
      <c r="AD31" s="114">
        <v>29</v>
      </c>
      <c r="AE31" s="114">
        <f t="shared" ca="1" si="13"/>
        <v>361</v>
      </c>
      <c r="AF31" s="136">
        <f t="shared" ca="1" si="14"/>
        <v>16.966047956975839</v>
      </c>
      <c r="AG31" s="102">
        <f t="shared" ca="1" si="15"/>
        <v>6125</v>
      </c>
      <c r="AH31" s="102"/>
      <c r="AI31" s="103"/>
      <c r="AJ31" s="102"/>
      <c r="AK31" s="102"/>
    </row>
    <row r="32" spans="1:37" ht="16.5" x14ac:dyDescent="0.3">
      <c r="A32" s="53">
        <v>30</v>
      </c>
      <c r="B32" s="126">
        <f t="shared" ca="1" si="2"/>
        <v>3289</v>
      </c>
      <c r="C32" s="127">
        <f t="shared" ca="1" si="8"/>
        <v>5353</v>
      </c>
      <c r="D32" s="128">
        <f t="shared" ca="1" si="9"/>
        <v>6238</v>
      </c>
      <c r="E32" s="158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02">
        <f t="shared" ca="1" si="7"/>
        <v>0.79085531853046265</v>
      </c>
      <c r="AC32" s="114">
        <v>28</v>
      </c>
      <c r="AD32" s="114">
        <v>30</v>
      </c>
      <c r="AE32" s="114">
        <f t="shared" ca="1" si="13"/>
        <v>369</v>
      </c>
      <c r="AF32" s="136">
        <f t="shared" ca="1" si="14"/>
        <v>16.904635689622474</v>
      </c>
      <c r="AG32" s="102">
        <f t="shared" ca="1" si="15"/>
        <v>6238</v>
      </c>
      <c r="AH32" s="102"/>
      <c r="AI32" s="103"/>
      <c r="AJ32" s="102"/>
      <c r="AK32" s="102"/>
    </row>
    <row r="33" spans="1:37" ht="16.5" x14ac:dyDescent="0.3">
      <c r="A33" s="53">
        <v>31</v>
      </c>
      <c r="B33" s="126">
        <f t="shared" ca="1" si="2"/>
        <v>8237</v>
      </c>
      <c r="C33" s="127">
        <f t="shared" ca="1" si="8"/>
        <v>5484</v>
      </c>
      <c r="D33" s="128">
        <f t="shared" ca="1" si="9"/>
        <v>5012</v>
      </c>
      <c r="E33" s="158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02">
        <f t="shared" ca="1" si="7"/>
        <v>0.28016057755957791</v>
      </c>
      <c r="AC33" s="114">
        <v>30</v>
      </c>
      <c r="AD33" s="114">
        <v>31</v>
      </c>
      <c r="AE33" s="114">
        <f t="shared" ca="1" si="13"/>
        <v>377</v>
      </c>
      <c r="AF33" s="136">
        <f t="shared" ca="1" si="14"/>
        <v>13.293662354280279</v>
      </c>
      <c r="AG33" s="102">
        <f t="shared" ca="1" si="15"/>
        <v>5012</v>
      </c>
      <c r="AH33" s="102"/>
      <c r="AI33" s="103"/>
      <c r="AJ33" s="102"/>
      <c r="AK33" s="102"/>
    </row>
    <row r="34" spans="1:37" ht="16.5" x14ac:dyDescent="0.3">
      <c r="A34" s="53">
        <v>32</v>
      </c>
      <c r="B34" s="126">
        <f t="shared" ca="1" si="2"/>
        <v>6805</v>
      </c>
      <c r="C34" s="127">
        <f t="shared" ca="1" si="8"/>
        <v>5404</v>
      </c>
      <c r="D34" s="128">
        <f t="shared" ca="1" si="9"/>
        <v>5404</v>
      </c>
      <c r="E34" s="158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02">
        <f t="shared" ca="1" si="7"/>
        <v>0.4434045025024792</v>
      </c>
      <c r="AC34" s="114">
        <v>29</v>
      </c>
      <c r="AD34" s="114">
        <v>32</v>
      </c>
      <c r="AE34" s="114">
        <f t="shared" ca="1" si="13"/>
        <v>385</v>
      </c>
      <c r="AF34" s="136">
        <f t="shared" ca="1" si="14"/>
        <v>14.03618787032706</v>
      </c>
      <c r="AG34" s="102">
        <f t="shared" ca="1" si="15"/>
        <v>5404</v>
      </c>
      <c r="AH34" s="102"/>
      <c r="AI34" s="103"/>
      <c r="AJ34" s="102"/>
      <c r="AK34" s="102"/>
    </row>
    <row r="35" spans="1:37" ht="16.5" x14ac:dyDescent="0.3">
      <c r="A35" s="53">
        <v>33</v>
      </c>
      <c r="B35" s="126">
        <f t="shared" ref="B35:B67" ca="1" si="16">INDEX($AG$3:$AG$77,RANK(AB35,$AB$3:$AB$77))</f>
        <v>12343</v>
      </c>
      <c r="C35" s="127">
        <f t="shared" ca="1" si="8"/>
        <v>5521</v>
      </c>
      <c r="D35" s="128">
        <f t="shared" ca="1" si="9"/>
        <v>5615</v>
      </c>
      <c r="E35" s="158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02">
        <f t="shared" ca="1" si="7"/>
        <v>2.3450517488881828E-2</v>
      </c>
      <c r="AC35" s="114">
        <v>31</v>
      </c>
      <c r="AD35" s="114">
        <v>33</v>
      </c>
      <c r="AE35" s="114">
        <f t="shared" ca="1" si="13"/>
        <v>393</v>
      </c>
      <c r="AF35" s="136">
        <f t="shared" ca="1" si="14"/>
        <v>14.288489480918747</v>
      </c>
      <c r="AG35" s="102">
        <f t="shared" ca="1" si="15"/>
        <v>5615</v>
      </c>
      <c r="AH35" s="102"/>
      <c r="AI35" s="103"/>
      <c r="AJ35" s="102"/>
      <c r="AK35" s="102"/>
    </row>
    <row r="36" spans="1:37" ht="16.5" x14ac:dyDescent="0.3">
      <c r="A36" s="53">
        <v>34</v>
      </c>
      <c r="B36" s="126">
        <f t="shared" ca="1" si="16"/>
        <v>8811</v>
      </c>
      <c r="C36" s="127">
        <f t="shared" ca="1" si="8"/>
        <v>5615</v>
      </c>
      <c r="D36" s="128">
        <f t="shared" ca="1" si="9"/>
        <v>5820</v>
      </c>
      <c r="E36" s="15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02">
        <f t="shared" ca="1" si="7"/>
        <v>4.6830802468414312E-2</v>
      </c>
      <c r="AC36" s="114">
        <v>32</v>
      </c>
      <c r="AD36" s="114">
        <v>34</v>
      </c>
      <c r="AE36" s="114">
        <f t="shared" ca="1" si="13"/>
        <v>401</v>
      </c>
      <c r="AF36" s="136">
        <f t="shared" ca="1" si="14"/>
        <v>14.513312867524208</v>
      </c>
      <c r="AG36" s="102">
        <f t="shared" ca="1" si="15"/>
        <v>5820</v>
      </c>
      <c r="AH36" s="102"/>
      <c r="AI36" s="103"/>
      <c r="AJ36" s="102"/>
      <c r="AK36" s="102"/>
    </row>
    <row r="37" spans="1:37" ht="16.5" x14ac:dyDescent="0.3">
      <c r="A37" s="53">
        <v>35</v>
      </c>
      <c r="B37" s="126">
        <f t="shared" ca="1" si="16"/>
        <v>5059</v>
      </c>
      <c r="C37" s="127">
        <f t="shared" ca="1" si="8"/>
        <v>5881</v>
      </c>
      <c r="D37" s="128">
        <f t="shared" ca="1" si="9"/>
        <v>6775</v>
      </c>
      <c r="E37" s="158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02">
        <f t="shared" ca="1" si="7"/>
        <v>0.64614039704854431</v>
      </c>
      <c r="AC37" s="114">
        <v>35</v>
      </c>
      <c r="AD37" s="114">
        <v>35</v>
      </c>
      <c r="AE37" s="114">
        <f t="shared" ca="1" si="13"/>
        <v>409</v>
      </c>
      <c r="AF37" s="136">
        <f t="shared" ca="1" si="14"/>
        <v>16.565731591947369</v>
      </c>
      <c r="AG37" s="102">
        <f t="shared" ca="1" si="15"/>
        <v>6775</v>
      </c>
      <c r="AH37" s="102"/>
      <c r="AI37" s="103"/>
      <c r="AJ37" s="102"/>
      <c r="AK37" s="102"/>
    </row>
    <row r="38" spans="1:37" ht="16.5" x14ac:dyDescent="0.3">
      <c r="A38" s="53">
        <v>36</v>
      </c>
      <c r="B38" s="126">
        <f t="shared" ca="1" si="16"/>
        <v>10232</v>
      </c>
      <c r="C38" s="127">
        <f t="shared" ca="1" si="8"/>
        <v>6450</v>
      </c>
      <c r="D38" s="128">
        <f t="shared" ca="1" si="9"/>
        <v>4996</v>
      </c>
      <c r="E38" s="158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02">
        <f t="shared" ca="1" si="7"/>
        <v>0.1865425594493495</v>
      </c>
      <c r="AC38" s="114">
        <v>39</v>
      </c>
      <c r="AD38" s="114">
        <v>36</v>
      </c>
      <c r="AE38" s="114">
        <f t="shared" ca="1" si="13"/>
        <v>417</v>
      </c>
      <c r="AF38" s="136">
        <f t="shared" ca="1" si="14"/>
        <v>11.981549079925033</v>
      </c>
      <c r="AG38" s="102">
        <f t="shared" ca="1" si="15"/>
        <v>4996</v>
      </c>
      <c r="AH38" s="102"/>
      <c r="AI38" s="103"/>
      <c r="AJ38" s="102"/>
      <c r="AK38" s="102"/>
    </row>
    <row r="39" spans="1:37" ht="16.5" x14ac:dyDescent="0.3">
      <c r="A39" s="53">
        <v>37</v>
      </c>
      <c r="B39" s="126">
        <f t="shared" ca="1" si="16"/>
        <v>5521</v>
      </c>
      <c r="C39" s="127">
        <f t="shared" ca="1" si="8"/>
        <v>5950</v>
      </c>
      <c r="D39" s="128">
        <f t="shared" ca="1" si="9"/>
        <v>5484</v>
      </c>
      <c r="E39" s="158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02">
        <f t="shared" ca="1" si="7"/>
        <v>0.31749352543570875</v>
      </c>
      <c r="AC39" s="114">
        <v>36</v>
      </c>
      <c r="AD39" s="114">
        <v>37</v>
      </c>
      <c r="AE39" s="114">
        <f t="shared" ca="1" si="13"/>
        <v>425</v>
      </c>
      <c r="AF39" s="136">
        <f t="shared" ca="1" si="14"/>
        <v>12.902356307632811</v>
      </c>
      <c r="AG39" s="102">
        <f t="shared" ca="1" si="15"/>
        <v>5484</v>
      </c>
      <c r="AH39" s="102"/>
      <c r="AI39" s="103"/>
      <c r="AJ39" s="102"/>
      <c r="AK39" s="102"/>
    </row>
    <row r="40" spans="1:37" ht="16.5" x14ac:dyDescent="0.3">
      <c r="A40" s="53">
        <v>38</v>
      </c>
      <c r="B40" s="126">
        <f t="shared" ca="1" si="16"/>
        <v>2125</v>
      </c>
      <c r="C40" s="127">
        <f t="shared" ca="1" si="8"/>
        <v>6125</v>
      </c>
      <c r="D40" s="128">
        <f t="shared" ca="1" si="9"/>
        <v>6450</v>
      </c>
      <c r="E40" s="158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02">
        <f t="shared" ca="1" si="7"/>
        <v>0.86380136539568408</v>
      </c>
      <c r="AC40" s="114">
        <v>37</v>
      </c>
      <c r="AD40" s="114">
        <v>38</v>
      </c>
      <c r="AE40" s="114">
        <f t="shared" ca="1" si="13"/>
        <v>433</v>
      </c>
      <c r="AF40" s="136">
        <f t="shared" ca="1" si="14"/>
        <v>14.895251898168391</v>
      </c>
      <c r="AG40" s="102">
        <f t="shared" ca="1" si="15"/>
        <v>6450</v>
      </c>
      <c r="AH40" s="102"/>
      <c r="AI40" s="103"/>
      <c r="AJ40" s="102"/>
      <c r="AK40" s="102"/>
    </row>
    <row r="41" spans="1:37" ht="16.5" x14ac:dyDescent="0.3">
      <c r="A41" s="53">
        <v>39</v>
      </c>
      <c r="B41" s="126">
        <f t="shared" ca="1" si="16"/>
        <v>10078</v>
      </c>
      <c r="C41" s="127">
        <f t="shared" ca="1" si="8"/>
        <v>6238</v>
      </c>
      <c r="D41" s="128">
        <f t="shared" ca="1" si="9"/>
        <v>7043</v>
      </c>
      <c r="E41" s="158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02">
        <f t="shared" ca="1" si="7"/>
        <v>0.21797974191196057</v>
      </c>
      <c r="AC41" s="114">
        <v>38</v>
      </c>
      <c r="AD41" s="114">
        <v>39</v>
      </c>
      <c r="AE41" s="114">
        <f t="shared" ca="1" si="13"/>
        <v>441</v>
      </c>
      <c r="AF41" s="136">
        <f t="shared" ca="1" si="14"/>
        <v>15.969695789246179</v>
      </c>
      <c r="AG41" s="102">
        <f t="shared" ca="1" si="15"/>
        <v>7043</v>
      </c>
      <c r="AH41" s="102"/>
      <c r="AI41" s="103"/>
      <c r="AJ41" s="102"/>
      <c r="AK41" s="102"/>
    </row>
    <row r="42" spans="1:37" ht="16.5" x14ac:dyDescent="0.3">
      <c r="A42" s="53">
        <v>40</v>
      </c>
      <c r="B42" s="126">
        <f t="shared" ca="1" si="16"/>
        <v>8155</v>
      </c>
      <c r="C42" s="127">
        <f t="shared" ca="1" si="8"/>
        <v>6624</v>
      </c>
      <c r="D42" s="128">
        <f t="shared" ca="1" si="9"/>
        <v>7618</v>
      </c>
      <c r="E42" s="158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02">
        <f t="shared" ca="1" si="7"/>
        <v>0.30480998160310591</v>
      </c>
      <c r="AC42" s="114">
        <v>41</v>
      </c>
      <c r="AD42" s="114">
        <v>40</v>
      </c>
      <c r="AE42" s="114">
        <f t="shared" ca="1" si="13"/>
        <v>449</v>
      </c>
      <c r="AF42" s="136">
        <f t="shared" ca="1" si="14"/>
        <v>16.966350151291881</v>
      </c>
      <c r="AG42" s="102">
        <f t="shared" ca="1" si="15"/>
        <v>7618</v>
      </c>
      <c r="AH42" s="102"/>
      <c r="AI42" s="103"/>
      <c r="AJ42" s="102"/>
      <c r="AK42" s="102"/>
    </row>
    <row r="43" spans="1:37" ht="16.5" x14ac:dyDescent="0.3">
      <c r="A43" s="53">
        <v>41</v>
      </c>
      <c r="B43" s="126">
        <f t="shared" ca="1" si="16"/>
        <v>6986</v>
      </c>
      <c r="C43" s="127">
        <f t="shared" ca="1" si="8"/>
        <v>6500</v>
      </c>
      <c r="D43" s="128">
        <f t="shared" ca="1" si="9"/>
        <v>5881</v>
      </c>
      <c r="E43" s="158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02">
        <f t="shared" ca="1" si="7"/>
        <v>0.31573631017427817</v>
      </c>
      <c r="AC43" s="114">
        <v>40</v>
      </c>
      <c r="AD43" s="114">
        <v>41</v>
      </c>
      <c r="AE43" s="114">
        <f t="shared" ca="1" si="13"/>
        <v>457</v>
      </c>
      <c r="AF43" s="136">
        <f t="shared" ca="1" si="14"/>
        <v>12.867962459254459</v>
      </c>
      <c r="AG43" s="102">
        <f t="shared" ca="1" si="15"/>
        <v>5881</v>
      </c>
      <c r="AH43" s="102"/>
      <c r="AI43" s="103"/>
      <c r="AJ43" s="102"/>
      <c r="AK43" s="102"/>
    </row>
    <row r="44" spans="1:37" ht="16.5" x14ac:dyDescent="0.3">
      <c r="A44" s="53">
        <v>42</v>
      </c>
      <c r="B44" s="126">
        <f t="shared" ca="1" si="16"/>
        <v>4996</v>
      </c>
      <c r="C44" s="127">
        <f t="shared" ca="1" si="8"/>
        <v>7274</v>
      </c>
      <c r="D44" s="128">
        <f t="shared" ca="1" si="9"/>
        <v>6500</v>
      </c>
      <c r="E44" s="158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02">
        <f t="shared" ca="1" si="7"/>
        <v>0.50377532332188091</v>
      </c>
      <c r="AC44" s="114">
        <v>46</v>
      </c>
      <c r="AD44" s="114">
        <v>42</v>
      </c>
      <c r="AE44" s="114">
        <f t="shared" ca="1" si="13"/>
        <v>465</v>
      </c>
      <c r="AF44" s="136">
        <f t="shared" ca="1" si="14"/>
        <v>13.978878563615401</v>
      </c>
      <c r="AG44" s="102">
        <f t="shared" ca="1" si="15"/>
        <v>6500</v>
      </c>
      <c r="AH44" s="102"/>
      <c r="AI44" s="103"/>
      <c r="AJ44" s="102"/>
      <c r="AK44" s="102"/>
    </row>
    <row r="45" spans="1:37" ht="16.5" x14ac:dyDescent="0.3">
      <c r="A45" s="53">
        <v>43</v>
      </c>
      <c r="B45" s="126">
        <f t="shared" ca="1" si="16"/>
        <v>11908</v>
      </c>
      <c r="C45" s="127">
        <f t="shared" ca="1" si="8"/>
        <v>6986</v>
      </c>
      <c r="D45" s="128">
        <f t="shared" ca="1" si="9"/>
        <v>6805</v>
      </c>
      <c r="E45" s="158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02">
        <f t="shared" ca="1" si="7"/>
        <v>5.8470389214714591E-2</v>
      </c>
      <c r="AC45" s="114">
        <v>44</v>
      </c>
      <c r="AD45" s="114">
        <v>43</v>
      </c>
      <c r="AE45" s="114">
        <f t="shared" ca="1" si="13"/>
        <v>473</v>
      </c>
      <c r="AF45" s="136">
        <f t="shared" ca="1" si="14"/>
        <v>14.386679965849325</v>
      </c>
      <c r="AG45" s="102">
        <f t="shared" ca="1" si="15"/>
        <v>6805</v>
      </c>
      <c r="AH45" s="102"/>
      <c r="AI45" s="103"/>
      <c r="AJ45" s="102"/>
      <c r="AK45" s="102"/>
    </row>
    <row r="46" spans="1:37" ht="16.5" x14ac:dyDescent="0.3">
      <c r="A46" s="53">
        <v>44</v>
      </c>
      <c r="B46" s="126">
        <f t="shared" ca="1" si="16"/>
        <v>7618</v>
      </c>
      <c r="C46" s="127">
        <f t="shared" ca="1" si="8"/>
        <v>7043</v>
      </c>
      <c r="D46" s="128">
        <f t="shared" ca="1" si="9"/>
        <v>6624</v>
      </c>
      <c r="E46" s="15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02">
        <f t="shared" ca="1" si="7"/>
        <v>0.46104604286349071</v>
      </c>
      <c r="AC46" s="111">
        <v>45</v>
      </c>
      <c r="AD46" s="114">
        <v>44</v>
      </c>
      <c r="AE46" s="114">
        <f t="shared" ca="1" si="13"/>
        <v>481</v>
      </c>
      <c r="AF46" s="136">
        <f t="shared" ca="1" si="14"/>
        <v>13.77145656152161</v>
      </c>
      <c r="AG46" s="102">
        <f t="shared" ca="1" si="15"/>
        <v>6624</v>
      </c>
      <c r="AH46" s="102"/>
      <c r="AI46" s="103"/>
      <c r="AJ46" s="102"/>
      <c r="AK46" s="102"/>
    </row>
    <row r="47" spans="1:37" ht="16.5" x14ac:dyDescent="0.3">
      <c r="A47" s="53">
        <v>45</v>
      </c>
      <c r="B47" s="126">
        <f t="shared" ca="1" si="16"/>
        <v>9860</v>
      </c>
      <c r="C47" s="127">
        <f t="shared" ca="1" si="8"/>
        <v>7618</v>
      </c>
      <c r="D47" s="128">
        <f t="shared" ca="1" si="9"/>
        <v>7762</v>
      </c>
      <c r="E47" s="158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02">
        <f t="shared" ca="1" si="7"/>
        <v>2.8780442111500326E-2</v>
      </c>
      <c r="AC47" s="114">
        <v>47</v>
      </c>
      <c r="AD47" s="114">
        <v>45</v>
      </c>
      <c r="AE47" s="114">
        <f t="shared" ca="1" si="13"/>
        <v>489</v>
      </c>
      <c r="AF47" s="136">
        <f t="shared" ca="1" si="14"/>
        <v>15.872698024150512</v>
      </c>
      <c r="AG47" s="102">
        <f t="shared" ca="1" si="15"/>
        <v>7762</v>
      </c>
      <c r="AH47" s="102"/>
      <c r="AI47" s="103"/>
      <c r="AJ47" s="102"/>
      <c r="AK47" s="102"/>
    </row>
    <row r="48" spans="1:37" ht="16.5" x14ac:dyDescent="0.3">
      <c r="A48" s="53">
        <v>46</v>
      </c>
      <c r="B48" s="126">
        <f t="shared" ca="1" si="16"/>
        <v>6450</v>
      </c>
      <c r="C48" s="127">
        <f t="shared" ca="1" si="8"/>
        <v>7646</v>
      </c>
      <c r="D48" s="128">
        <f t="shared" ca="1" si="9"/>
        <v>5521</v>
      </c>
      <c r="E48" s="158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02">
        <f t="shared" ca="1" si="7"/>
        <v>0.4893376508024404</v>
      </c>
      <c r="AC48" s="114">
        <v>48</v>
      </c>
      <c r="AD48" s="114">
        <v>46</v>
      </c>
      <c r="AE48" s="114">
        <f t="shared" ca="1" si="13"/>
        <v>497</v>
      </c>
      <c r="AF48" s="136">
        <f t="shared" ca="1" si="14"/>
        <v>11.107943313860154</v>
      </c>
      <c r="AG48" s="102">
        <f t="shared" ca="1" si="15"/>
        <v>5521</v>
      </c>
      <c r="AH48" s="102"/>
      <c r="AI48" s="103"/>
      <c r="AJ48" s="102"/>
      <c r="AK48" s="102"/>
    </row>
    <row r="49" spans="1:37" ht="16.5" x14ac:dyDescent="0.3">
      <c r="A49" s="53">
        <v>47</v>
      </c>
      <c r="B49" s="126">
        <f t="shared" ca="1" si="16"/>
        <v>3640</v>
      </c>
      <c r="C49" s="127">
        <f t="shared" ca="1" si="8"/>
        <v>6775</v>
      </c>
      <c r="D49" s="128">
        <f t="shared" ca="1" si="9"/>
        <v>6986</v>
      </c>
      <c r="E49" s="158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02">
        <f t="shared" ca="1" si="7"/>
        <v>0.78975631454196515</v>
      </c>
      <c r="AC49" s="114">
        <v>42</v>
      </c>
      <c r="AD49" s="114">
        <v>47</v>
      </c>
      <c r="AE49" s="114">
        <f t="shared" ca="1" si="13"/>
        <v>505</v>
      </c>
      <c r="AF49" s="136">
        <f t="shared" ca="1" si="14"/>
        <v>13.833002680743895</v>
      </c>
      <c r="AG49" s="102">
        <f t="shared" ca="1" si="15"/>
        <v>6986</v>
      </c>
      <c r="AH49" s="102"/>
      <c r="AI49" s="103"/>
      <c r="AJ49" s="102"/>
      <c r="AK49" s="102"/>
    </row>
    <row r="50" spans="1:37" ht="16.5" x14ac:dyDescent="0.3">
      <c r="A50" s="53">
        <v>48</v>
      </c>
      <c r="B50" s="126">
        <f t="shared" ca="1" si="16"/>
        <v>9125</v>
      </c>
      <c r="C50" s="127">
        <f t="shared" ca="1" si="8"/>
        <v>6805</v>
      </c>
      <c r="D50" s="128">
        <f t="shared" ca="1" si="9"/>
        <v>8155</v>
      </c>
      <c r="E50" s="158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02">
        <f t="shared" ca="1" si="7"/>
        <v>4.3051751369599045E-2</v>
      </c>
      <c r="AC50" s="114">
        <v>43</v>
      </c>
      <c r="AD50" s="114">
        <v>48</v>
      </c>
      <c r="AE50" s="114">
        <f t="shared" ca="1" si="13"/>
        <v>513</v>
      </c>
      <c r="AF50" s="136">
        <f t="shared" ca="1" si="14"/>
        <v>15.895713043786152</v>
      </c>
      <c r="AG50" s="102">
        <f t="shared" ca="1" si="15"/>
        <v>8155</v>
      </c>
      <c r="AH50" s="102"/>
      <c r="AI50" s="103"/>
      <c r="AJ50" s="102"/>
      <c r="AK50" s="102"/>
    </row>
    <row r="51" spans="1:37" ht="16.5" x14ac:dyDescent="0.3">
      <c r="A51" s="53">
        <v>49</v>
      </c>
      <c r="B51" s="126">
        <f t="shared" ca="1" si="16"/>
        <v>2379</v>
      </c>
      <c r="C51" s="127">
        <f t="shared" ca="1" si="8"/>
        <v>7875</v>
      </c>
      <c r="D51" s="128">
        <f t="shared" ca="1" si="9"/>
        <v>8237</v>
      </c>
      <c r="E51" s="158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02">
        <f t="shared" ca="1" si="7"/>
        <v>0.85829738825612223</v>
      </c>
      <c r="AC51" s="114">
        <v>50</v>
      </c>
      <c r="AD51" s="114">
        <v>49</v>
      </c>
      <c r="AE51" s="114">
        <f t="shared" ca="1" si="13"/>
        <v>521</v>
      </c>
      <c r="AF51" s="136">
        <f t="shared" ca="1" si="14"/>
        <v>15.809229120073187</v>
      </c>
      <c r="AG51" s="102">
        <f t="shared" ca="1" si="15"/>
        <v>8237</v>
      </c>
      <c r="AH51" s="102"/>
      <c r="AI51" s="103"/>
      <c r="AJ51" s="102"/>
      <c r="AK51" s="102"/>
    </row>
    <row r="52" spans="1:37" ht="16.5" x14ac:dyDescent="0.3">
      <c r="A52" s="53">
        <v>50</v>
      </c>
      <c r="B52" s="126">
        <f t="shared" ca="1" si="16"/>
        <v>3017</v>
      </c>
      <c r="C52" s="127">
        <f t="shared" ca="1" si="8"/>
        <v>7762</v>
      </c>
      <c r="D52" s="128">
        <f t="shared" ca="1" si="9"/>
        <v>8838</v>
      </c>
      <c r="E52" s="158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02">
        <f t="shared" ca="1" si="7"/>
        <v>0.91874391610584805</v>
      </c>
      <c r="AC52" s="114">
        <v>49</v>
      </c>
      <c r="AD52" s="114">
        <v>50</v>
      </c>
      <c r="AE52" s="114">
        <f t="shared" ca="1" si="13"/>
        <v>529</v>
      </c>
      <c r="AF52" s="136">
        <f t="shared" ca="1" si="14"/>
        <v>16.706098937640466</v>
      </c>
      <c r="AG52" s="102">
        <f t="shared" ca="1" si="15"/>
        <v>8838</v>
      </c>
      <c r="AH52" s="102"/>
      <c r="AI52" s="103"/>
      <c r="AJ52" s="102"/>
      <c r="AK52" s="102"/>
    </row>
    <row r="53" spans="1:37" ht="16.5" x14ac:dyDescent="0.3">
      <c r="A53" s="53">
        <v>51</v>
      </c>
      <c r="B53" s="126">
        <f t="shared" ca="1" si="16"/>
        <v>9737</v>
      </c>
      <c r="C53" s="127">
        <f t="shared" ca="1" si="8"/>
        <v>7923</v>
      </c>
      <c r="D53" s="128">
        <f t="shared" ca="1" si="9"/>
        <v>7646</v>
      </c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02">
        <f t="shared" ca="1" si="7"/>
        <v>0.16029450403787227</v>
      </c>
      <c r="AC53" s="114">
        <v>51</v>
      </c>
      <c r="AD53" s="114">
        <v>51</v>
      </c>
      <c r="AE53" s="114">
        <f t="shared" ca="1" si="13"/>
        <v>537</v>
      </c>
      <c r="AF53" s="136">
        <f t="shared" ca="1" si="14"/>
        <v>14.238995777083208</v>
      </c>
      <c r="AG53" s="102">
        <f t="shared" ca="1" si="15"/>
        <v>7646</v>
      </c>
      <c r="AH53" s="102"/>
      <c r="AI53" s="103"/>
      <c r="AJ53" s="102"/>
      <c r="AK53" s="102"/>
    </row>
    <row r="54" spans="1:37" ht="16.5" x14ac:dyDescent="0.3">
      <c r="A54" s="53">
        <v>52</v>
      </c>
      <c r="B54" s="126">
        <f t="shared" ca="1" si="16"/>
        <v>3726</v>
      </c>
      <c r="C54" s="127">
        <f t="shared" ca="1" si="8"/>
        <v>8309</v>
      </c>
      <c r="D54" s="128">
        <f t="shared" ca="1" si="9"/>
        <v>8448</v>
      </c>
      <c r="E54" s="158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02">
        <f t="shared" ca="1" si="7"/>
        <v>0.74001862087713866</v>
      </c>
      <c r="AC54" s="114">
        <v>54</v>
      </c>
      <c r="AD54" s="114">
        <v>52</v>
      </c>
      <c r="AE54" s="114">
        <f t="shared" ca="1" si="13"/>
        <v>545</v>
      </c>
      <c r="AF54" s="136">
        <f t="shared" ca="1" si="14"/>
        <v>15.501252060950376</v>
      </c>
      <c r="AG54" s="102">
        <f t="shared" ca="1" si="15"/>
        <v>8448</v>
      </c>
      <c r="AH54" s="102"/>
      <c r="AI54" s="103"/>
      <c r="AJ54" s="102"/>
      <c r="AK54" s="102"/>
    </row>
    <row r="55" spans="1:37" ht="16.5" x14ac:dyDescent="0.3">
      <c r="A55" s="53">
        <v>53</v>
      </c>
      <c r="B55" s="126">
        <f t="shared" ca="1" si="16"/>
        <v>3092</v>
      </c>
      <c r="C55" s="127">
        <f t="shared" ca="1" si="8"/>
        <v>8237</v>
      </c>
      <c r="D55" s="128">
        <f t="shared" ca="1" si="9"/>
        <v>8885</v>
      </c>
      <c r="E55" s="158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02">
        <f t="shared" ca="1" si="7"/>
        <v>0.81264533043939469</v>
      </c>
      <c r="AC55" s="114">
        <v>53</v>
      </c>
      <c r="AD55" s="114">
        <v>53</v>
      </c>
      <c r="AE55" s="114">
        <f t="shared" ca="1" si="13"/>
        <v>553</v>
      </c>
      <c r="AF55" s="136">
        <f t="shared" ca="1" si="14"/>
        <v>16.066173728722312</v>
      </c>
      <c r="AG55" s="102">
        <f t="shared" ca="1" si="15"/>
        <v>8885</v>
      </c>
      <c r="AH55" s="102"/>
      <c r="AI55" s="102"/>
      <c r="AJ55" s="102"/>
      <c r="AK55" s="102"/>
    </row>
    <row r="56" spans="1:37" ht="16.5" x14ac:dyDescent="0.3">
      <c r="A56" s="53">
        <v>54</v>
      </c>
      <c r="B56" s="126">
        <f t="shared" ca="1" si="16"/>
        <v>7923</v>
      </c>
      <c r="C56" s="127">
        <f t="shared" ca="1" si="8"/>
        <v>8155</v>
      </c>
      <c r="D56" s="128">
        <f t="shared" ca="1" si="9"/>
        <v>8666</v>
      </c>
      <c r="E56" s="158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02">
        <f t="shared" ca="1" si="7"/>
        <v>9.564958645506616E-2</v>
      </c>
      <c r="AC56" s="114">
        <v>52</v>
      </c>
      <c r="AD56" s="114">
        <v>54</v>
      </c>
      <c r="AE56" s="114">
        <f t="shared" ca="1" si="13"/>
        <v>561</v>
      </c>
      <c r="AF56" s="136">
        <f t="shared" ca="1" si="14"/>
        <v>15.448244407724721</v>
      </c>
      <c r="AG56" s="102">
        <f t="shared" ca="1" si="15"/>
        <v>8666</v>
      </c>
      <c r="AH56" s="102"/>
      <c r="AI56" s="102"/>
      <c r="AJ56" s="102"/>
      <c r="AK56" s="102"/>
    </row>
    <row r="57" spans="1:37" ht="16.5" x14ac:dyDescent="0.3">
      <c r="A57" s="53">
        <v>55</v>
      </c>
      <c r="B57" s="126">
        <f t="shared" ca="1" si="16"/>
        <v>8942</v>
      </c>
      <c r="C57" s="127">
        <f t="shared" ca="1" si="8"/>
        <v>8448</v>
      </c>
      <c r="D57" s="128">
        <f t="shared" ca="1" si="9"/>
        <v>10078</v>
      </c>
      <c r="E57" s="158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02">
        <f t="shared" ca="1" si="7"/>
        <v>0.19154186197890455</v>
      </c>
      <c r="AC57" s="114">
        <v>55</v>
      </c>
      <c r="AD57" s="114">
        <v>55</v>
      </c>
      <c r="AE57" s="114">
        <f t="shared" ca="1" si="13"/>
        <v>569</v>
      </c>
      <c r="AF57" s="136">
        <f t="shared" ca="1" si="14"/>
        <v>17.711882959431094</v>
      </c>
      <c r="AG57" s="102">
        <f t="shared" ca="1" si="15"/>
        <v>10078</v>
      </c>
      <c r="AH57" s="102"/>
      <c r="AI57" s="102"/>
      <c r="AJ57" s="102"/>
      <c r="AK57" s="102"/>
    </row>
    <row r="58" spans="1:37" ht="16.5" x14ac:dyDescent="0.3">
      <c r="A58" s="53">
        <v>56</v>
      </c>
      <c r="B58" s="126">
        <f t="shared" ca="1" si="16"/>
        <v>8885</v>
      </c>
      <c r="C58" s="127">
        <f t="shared" ca="1" si="8"/>
        <v>8482</v>
      </c>
      <c r="D58" s="128">
        <f t="shared" ca="1" si="9"/>
        <v>7274</v>
      </c>
      <c r="E58" s="129"/>
      <c r="AB58" s="102">
        <f t="shared" ca="1" si="7"/>
        <v>0.22940844664575966</v>
      </c>
      <c r="AC58" s="114">
        <v>56</v>
      </c>
      <c r="AD58" s="114">
        <v>56</v>
      </c>
      <c r="AE58" s="114">
        <f t="shared" ca="1" si="13"/>
        <v>577</v>
      </c>
      <c r="AF58" s="136">
        <f t="shared" ca="1" si="14"/>
        <v>12.606655219447223</v>
      </c>
      <c r="AG58" s="102">
        <f t="shared" ca="1" si="15"/>
        <v>7274</v>
      </c>
      <c r="AH58" s="102"/>
      <c r="AI58" s="102"/>
      <c r="AJ58" s="102"/>
      <c r="AK58" s="102"/>
    </row>
    <row r="59" spans="1:37" ht="16.5" x14ac:dyDescent="0.3">
      <c r="A59" s="53">
        <v>57</v>
      </c>
      <c r="B59" s="126">
        <f t="shared" ca="1" si="16"/>
        <v>8666</v>
      </c>
      <c r="C59" s="127">
        <f t="shared" ca="1" si="8"/>
        <v>8811</v>
      </c>
      <c r="D59" s="128">
        <f t="shared" ca="1" si="9"/>
        <v>7875</v>
      </c>
      <c r="E59" s="129"/>
      <c r="AB59" s="102">
        <f t="shared" ca="1" si="7"/>
        <v>0.22515974422272733</v>
      </c>
      <c r="AC59" s="114">
        <v>58</v>
      </c>
      <c r="AD59" s="114">
        <v>57</v>
      </c>
      <c r="AE59" s="114">
        <f t="shared" ca="1" si="13"/>
        <v>585</v>
      </c>
      <c r="AF59" s="136">
        <f t="shared" ca="1" si="14"/>
        <v>13.460764752279282</v>
      </c>
      <c r="AG59" s="102">
        <f t="shared" ca="1" si="15"/>
        <v>7875</v>
      </c>
      <c r="AH59" s="102"/>
      <c r="AI59" s="102"/>
      <c r="AJ59" s="102"/>
      <c r="AK59" s="102"/>
    </row>
    <row r="60" spans="1:37" ht="16.5" x14ac:dyDescent="0.3">
      <c r="A60" s="53">
        <v>58</v>
      </c>
      <c r="B60" s="126">
        <f t="shared" ca="1" si="16"/>
        <v>3992</v>
      </c>
      <c r="C60" s="127">
        <f t="shared" ca="1" si="8"/>
        <v>9029</v>
      </c>
      <c r="D60" s="128">
        <f t="shared" ca="1" si="9"/>
        <v>9423</v>
      </c>
      <c r="E60" s="129"/>
      <c r="AB60" s="102">
        <f t="shared" ca="1" si="7"/>
        <v>0.6922035111010626</v>
      </c>
      <c r="AC60" s="114">
        <v>62</v>
      </c>
      <c r="AD60" s="114">
        <v>58</v>
      </c>
      <c r="AE60" s="114">
        <f t="shared" ca="1" si="13"/>
        <v>593</v>
      </c>
      <c r="AF60" s="136">
        <f t="shared" ca="1" si="14"/>
        <v>15.891172813059285</v>
      </c>
      <c r="AG60" s="102">
        <f t="shared" ca="1" si="15"/>
        <v>9423</v>
      </c>
      <c r="AH60" s="102"/>
      <c r="AI60" s="102"/>
      <c r="AJ60" s="102"/>
      <c r="AK60" s="102"/>
    </row>
    <row r="61" spans="1:37" ht="16.5" x14ac:dyDescent="0.3">
      <c r="A61" s="53">
        <v>59</v>
      </c>
      <c r="B61" s="126">
        <f t="shared" ca="1" si="16"/>
        <v>6238</v>
      </c>
      <c r="C61" s="127">
        <f t="shared" ca="1" si="8"/>
        <v>8666</v>
      </c>
      <c r="D61" s="128">
        <f t="shared" ca="1" si="9"/>
        <v>8942</v>
      </c>
      <c r="E61" s="129"/>
      <c r="AB61" s="102">
        <f t="shared" ca="1" si="7"/>
        <v>0.55409348882671439</v>
      </c>
      <c r="AC61" s="114">
        <v>57</v>
      </c>
      <c r="AD61" s="114">
        <v>59</v>
      </c>
      <c r="AE61" s="114">
        <f t="shared" ca="1" si="13"/>
        <v>601</v>
      </c>
      <c r="AF61" s="136">
        <f t="shared" ca="1" si="14"/>
        <v>14.878507956651124</v>
      </c>
      <c r="AG61" s="102">
        <f t="shared" ca="1" si="15"/>
        <v>8942</v>
      </c>
      <c r="AH61" s="102"/>
      <c r="AI61" s="102"/>
      <c r="AJ61" s="102"/>
      <c r="AK61" s="102"/>
    </row>
    <row r="62" spans="1:37" ht="16.5" x14ac:dyDescent="0.3">
      <c r="A62" s="53">
        <v>60</v>
      </c>
      <c r="B62" s="126">
        <f t="shared" ca="1" si="16"/>
        <v>7646</v>
      </c>
      <c r="C62" s="127">
        <f t="shared" ca="1" si="8"/>
        <v>8838</v>
      </c>
      <c r="D62" s="128">
        <f t="shared" ca="1" si="9"/>
        <v>10232</v>
      </c>
      <c r="E62" s="129"/>
      <c r="AB62" s="102">
        <f t="shared" ca="1" si="7"/>
        <v>0.2453507432417299</v>
      </c>
      <c r="AC62" s="114">
        <v>59</v>
      </c>
      <c r="AD62" s="114">
        <v>60</v>
      </c>
      <c r="AE62" s="114">
        <f t="shared" ca="1" si="13"/>
        <v>609</v>
      </c>
      <c r="AF62" s="136">
        <f t="shared" ca="1" si="14"/>
        <v>16.801963421360789</v>
      </c>
      <c r="AG62" s="102">
        <f t="shared" ca="1" si="15"/>
        <v>10232</v>
      </c>
      <c r="AH62" s="102"/>
      <c r="AI62" s="102"/>
      <c r="AJ62" s="102"/>
      <c r="AK62" s="102"/>
    </row>
    <row r="63" spans="1:37" ht="16.5" x14ac:dyDescent="0.3">
      <c r="A63" s="53">
        <v>61</v>
      </c>
      <c r="B63" s="126">
        <f t="shared" ca="1" si="16"/>
        <v>7043</v>
      </c>
      <c r="C63" s="127">
        <f t="shared" ca="1" si="8"/>
        <v>8885</v>
      </c>
      <c r="D63" s="128">
        <f t="shared" ca="1" si="9"/>
        <v>8309</v>
      </c>
      <c r="E63" s="129"/>
      <c r="AB63" s="102">
        <f t="shared" ca="1" si="7"/>
        <v>0.47450549796074903</v>
      </c>
      <c r="AC63" s="114">
        <v>60</v>
      </c>
      <c r="AD63" s="114">
        <v>61</v>
      </c>
      <c r="AE63" s="114">
        <f t="shared" ca="1" si="13"/>
        <v>617</v>
      </c>
      <c r="AF63" s="136">
        <f t="shared" ca="1" si="14"/>
        <v>13.466470884328331</v>
      </c>
      <c r="AG63" s="102">
        <f t="shared" ca="1" si="15"/>
        <v>8309</v>
      </c>
      <c r="AH63" s="102"/>
      <c r="AI63" s="102"/>
      <c r="AJ63" s="102"/>
      <c r="AK63" s="102"/>
    </row>
    <row r="64" spans="1:37" ht="16.5" x14ac:dyDescent="0.3">
      <c r="A64" s="53">
        <v>62</v>
      </c>
      <c r="B64" s="126">
        <f t="shared" ca="1" si="16"/>
        <v>4335</v>
      </c>
      <c r="C64" s="127">
        <f t="shared" ca="1" si="8"/>
        <v>8942</v>
      </c>
      <c r="D64" s="128">
        <f t="shared" ca="1" si="9"/>
        <v>8482</v>
      </c>
      <c r="E64" s="129"/>
      <c r="AB64" s="102">
        <f t="shared" ca="1" si="7"/>
        <v>0.73864931913131082</v>
      </c>
      <c r="AC64" s="114">
        <v>61</v>
      </c>
      <c r="AD64" s="114">
        <v>62</v>
      </c>
      <c r="AE64" s="114">
        <f t="shared" ca="1" si="13"/>
        <v>625</v>
      </c>
      <c r="AF64" s="136">
        <f t="shared" ca="1" si="14"/>
        <v>13.571745176857787</v>
      </c>
      <c r="AG64" s="102">
        <f t="shared" ca="1" si="15"/>
        <v>8482</v>
      </c>
      <c r="AH64" s="102"/>
      <c r="AI64" s="102"/>
      <c r="AJ64" s="102"/>
      <c r="AK64" s="102"/>
    </row>
    <row r="65" spans="1:38" ht="16.5" x14ac:dyDescent="0.3">
      <c r="A65" s="53">
        <v>63</v>
      </c>
      <c r="B65" s="126">
        <f t="shared" ca="1" si="16"/>
        <v>1916</v>
      </c>
      <c r="C65" s="127">
        <f t="shared" ca="1" si="8"/>
        <v>9423</v>
      </c>
      <c r="D65" s="128">
        <f t="shared" ca="1" si="9"/>
        <v>9737</v>
      </c>
      <c r="E65" s="129"/>
      <c r="AB65" s="102">
        <f t="shared" ca="1" si="7"/>
        <v>0.97024416444072736</v>
      </c>
      <c r="AC65" s="114">
        <v>64</v>
      </c>
      <c r="AD65" s="114">
        <v>63</v>
      </c>
      <c r="AE65" s="114">
        <f t="shared" ca="1" si="13"/>
        <v>633</v>
      </c>
      <c r="AF65" s="136">
        <f t="shared" ca="1" si="14"/>
        <v>15.38170949144976</v>
      </c>
      <c r="AG65" s="102">
        <f t="shared" ca="1" si="15"/>
        <v>9737</v>
      </c>
      <c r="AH65" s="102"/>
      <c r="AI65" s="102"/>
      <c r="AJ65" s="102"/>
      <c r="AK65" s="102"/>
    </row>
    <row r="66" spans="1:38" ht="16.5" x14ac:dyDescent="0.3">
      <c r="A66" s="53">
        <v>64</v>
      </c>
      <c r="B66" s="126">
        <f t="shared" ca="1" si="16"/>
        <v>10364</v>
      </c>
      <c r="C66" s="127">
        <f t="shared" ca="1" si="8"/>
        <v>9125</v>
      </c>
      <c r="D66" s="128">
        <f t="shared" ca="1" si="9"/>
        <v>10364</v>
      </c>
      <c r="E66" s="129"/>
      <c r="AB66" s="102">
        <f t="shared" ca="1" si="7"/>
        <v>0.13805199094797183</v>
      </c>
      <c r="AC66" s="114">
        <v>63</v>
      </c>
      <c r="AD66" s="114">
        <v>64</v>
      </c>
      <c r="AE66" s="114">
        <f t="shared" ca="1" si="13"/>
        <v>641</v>
      </c>
      <c r="AF66" s="136">
        <f t="shared" ca="1" si="14"/>
        <v>16.167802232015546</v>
      </c>
      <c r="AG66" s="102">
        <f t="shared" ca="1" si="15"/>
        <v>10364</v>
      </c>
      <c r="AH66" s="102"/>
      <c r="AI66" s="102"/>
      <c r="AJ66" s="102"/>
      <c r="AK66" s="102"/>
    </row>
    <row r="67" spans="1:38" ht="16.5" x14ac:dyDescent="0.3">
      <c r="A67" s="53">
        <v>65</v>
      </c>
      <c r="B67" s="126">
        <f t="shared" ca="1" si="16"/>
        <v>3374</v>
      </c>
      <c r="C67" s="127">
        <f t="shared" ca="1" si="8"/>
        <v>10078</v>
      </c>
      <c r="D67" s="128">
        <f t="shared" ca="1" si="9"/>
        <v>11573</v>
      </c>
      <c r="E67" s="129"/>
      <c r="AB67" s="102">
        <f t="shared" ref="AB67:AB77" ca="1" si="17">RAND()</f>
        <v>0.78249025179812792</v>
      </c>
      <c r="AC67" s="114">
        <v>68</v>
      </c>
      <c r="AD67" s="114">
        <v>65</v>
      </c>
      <c r="AE67" s="114">
        <f t="shared" ca="1" si="13"/>
        <v>649</v>
      </c>
      <c r="AF67" s="136">
        <f t="shared" ca="1" si="14"/>
        <v>17.832624221055347</v>
      </c>
      <c r="AG67" s="102">
        <f t="shared" ca="1" si="15"/>
        <v>11573</v>
      </c>
      <c r="AH67" s="102"/>
      <c r="AI67" s="102"/>
      <c r="AJ67" s="102"/>
      <c r="AK67" s="102"/>
    </row>
    <row r="68" spans="1:38" ht="16.5" x14ac:dyDescent="0.3">
      <c r="A68" s="53">
        <v>66</v>
      </c>
      <c r="B68" s="126">
        <f t="shared" ref="B68:B77" ca="1" si="18">INDEX($AG$3:$AG$77,RANK(AB68,$AB$3:$AB$77))</f>
        <v>4966</v>
      </c>
      <c r="C68" s="127">
        <f t="shared" ref="C68:C77" ca="1" si="19">SMALL($AG$3:$AG$77,AC68)</f>
        <v>9737</v>
      </c>
      <c r="D68" s="128">
        <f t="shared" ref="D68:D77" ca="1" si="20">AG68</f>
        <v>7923</v>
      </c>
      <c r="E68" s="129"/>
      <c r="AB68" s="102">
        <f t="shared" ca="1" si="17"/>
        <v>0.60352572057720488</v>
      </c>
      <c r="AC68" s="114">
        <v>66</v>
      </c>
      <c r="AD68" s="114">
        <v>66</v>
      </c>
      <c r="AE68" s="114">
        <f t="shared" ref="AE68:AE77" ca="1" si="21">INT($AH$1+$AI$1*AD68)</f>
        <v>657</v>
      </c>
      <c r="AF68" s="136">
        <f t="shared" ref="AF68:AF77" ca="1" si="22">(((IF(MOD(AD68,5)&lt;&gt;0,MOD(AD68,5),5))+12)+_xlfn.NORM.S.INV(RAND()))</f>
        <v>12.059154766434663</v>
      </c>
      <c r="AG68" s="102">
        <f t="shared" ref="AG68:AG76" ca="1" si="23">ROUND(AE68*AF68,0)</f>
        <v>7923</v>
      </c>
      <c r="AH68" s="102"/>
      <c r="AI68" s="102"/>
      <c r="AJ68" s="102"/>
      <c r="AK68" s="102"/>
    </row>
    <row r="69" spans="1:38" ht="16.5" x14ac:dyDescent="0.3">
      <c r="A69" s="53">
        <v>67</v>
      </c>
      <c r="B69" s="126">
        <f t="shared" ca="1" si="18"/>
        <v>8448</v>
      </c>
      <c r="C69" s="127">
        <f t="shared" ca="1" si="19"/>
        <v>9860</v>
      </c>
      <c r="D69" s="128">
        <f t="shared" ca="1" si="20"/>
        <v>9029</v>
      </c>
      <c r="E69" s="129"/>
      <c r="AB69" s="102">
        <f t="shared" ca="1" si="17"/>
        <v>0.23883079347005642</v>
      </c>
      <c r="AC69" s="114">
        <v>67</v>
      </c>
      <c r="AD69" s="114">
        <v>67</v>
      </c>
      <c r="AE69" s="114">
        <f t="shared" ca="1" si="21"/>
        <v>665</v>
      </c>
      <c r="AF69" s="136">
        <f t="shared" ca="1" si="22"/>
        <v>13.577453693404136</v>
      </c>
      <c r="AG69" s="102">
        <f t="shared" ca="1" si="23"/>
        <v>9029</v>
      </c>
      <c r="AH69" s="102"/>
      <c r="AI69" s="102"/>
      <c r="AJ69" s="102"/>
      <c r="AK69" s="102"/>
    </row>
    <row r="70" spans="1:38" ht="16.5" x14ac:dyDescent="0.3">
      <c r="A70" s="53">
        <v>68</v>
      </c>
      <c r="B70" s="126">
        <f t="shared" ca="1" si="18"/>
        <v>1717</v>
      </c>
      <c r="C70" s="127">
        <f t="shared" ca="1" si="19"/>
        <v>9715</v>
      </c>
      <c r="D70" s="128">
        <f t="shared" ca="1" si="20"/>
        <v>9715</v>
      </c>
      <c r="E70" s="129"/>
      <c r="AB70" s="102">
        <f t="shared" ca="1" si="17"/>
        <v>0.99398830401890936</v>
      </c>
      <c r="AC70" s="114">
        <v>65</v>
      </c>
      <c r="AD70" s="114">
        <v>68</v>
      </c>
      <c r="AE70" s="114">
        <f t="shared" ca="1" si="21"/>
        <v>673</v>
      </c>
      <c r="AF70" s="136">
        <f t="shared" ca="1" si="22"/>
        <v>14.434845960154952</v>
      </c>
      <c r="AG70" s="102">
        <f t="shared" ca="1" si="23"/>
        <v>9715</v>
      </c>
      <c r="AH70" s="102"/>
      <c r="AI70" s="102"/>
      <c r="AJ70" s="102"/>
      <c r="AK70" s="102"/>
    </row>
    <row r="71" spans="1:38" ht="16.5" x14ac:dyDescent="0.3">
      <c r="A71" s="53">
        <v>69</v>
      </c>
      <c r="B71" s="126">
        <f t="shared" ca="1" si="18"/>
        <v>3717</v>
      </c>
      <c r="C71" s="127">
        <f t="shared" ca="1" si="19"/>
        <v>10232</v>
      </c>
      <c r="D71" s="128">
        <f t="shared" ca="1" si="20"/>
        <v>11908</v>
      </c>
      <c r="E71" s="129"/>
      <c r="AB71" s="102">
        <f t="shared" ca="1" si="17"/>
        <v>0.76483899607114381</v>
      </c>
      <c r="AC71" s="114">
        <v>69</v>
      </c>
      <c r="AD71" s="114">
        <v>69</v>
      </c>
      <c r="AE71" s="114">
        <f t="shared" ca="1" si="21"/>
        <v>681</v>
      </c>
      <c r="AF71" s="136">
        <f t="shared" ca="1" si="22"/>
        <v>17.485791423289282</v>
      </c>
      <c r="AG71" s="102">
        <f t="shared" ca="1" si="23"/>
        <v>11908</v>
      </c>
      <c r="AH71" s="102"/>
      <c r="AI71" s="102"/>
      <c r="AJ71" s="102"/>
      <c r="AK71" s="102"/>
    </row>
    <row r="72" spans="1:38" ht="16.5" x14ac:dyDescent="0.3">
      <c r="A72" s="53">
        <v>70</v>
      </c>
      <c r="B72" s="126">
        <f t="shared" ca="1" si="18"/>
        <v>9029</v>
      </c>
      <c r="C72" s="127">
        <f t="shared" ca="1" si="19"/>
        <v>10364</v>
      </c>
      <c r="D72" s="128">
        <f t="shared" ca="1" si="20"/>
        <v>12163</v>
      </c>
      <c r="E72" s="129"/>
      <c r="AB72" s="102">
        <f t="shared" ca="1" si="17"/>
        <v>7.5760443756615947E-2</v>
      </c>
      <c r="AC72" s="114">
        <v>70</v>
      </c>
      <c r="AD72" s="114">
        <v>70</v>
      </c>
      <c r="AE72" s="114">
        <f t="shared" ca="1" si="21"/>
        <v>689</v>
      </c>
      <c r="AF72" s="136">
        <f t="shared" ca="1" si="22"/>
        <v>17.652565918019295</v>
      </c>
      <c r="AG72" s="102">
        <f t="shared" ca="1" si="23"/>
        <v>12163</v>
      </c>
      <c r="AH72" s="102"/>
      <c r="AI72" s="102"/>
      <c r="AJ72" s="102"/>
      <c r="AK72" s="102"/>
    </row>
    <row r="73" spans="1:38" ht="16.5" x14ac:dyDescent="0.3">
      <c r="A73" s="53">
        <v>71</v>
      </c>
      <c r="B73" s="126">
        <f t="shared" ca="1" si="18"/>
        <v>4147</v>
      </c>
      <c r="C73" s="127">
        <f t="shared" ca="1" si="19"/>
        <v>11908</v>
      </c>
      <c r="D73" s="128">
        <f t="shared" ca="1" si="20"/>
        <v>8811</v>
      </c>
      <c r="E73" s="129"/>
      <c r="AB73" s="102">
        <f t="shared" ca="1" si="17"/>
        <v>0.61004301787996307</v>
      </c>
      <c r="AC73" s="114">
        <v>72</v>
      </c>
      <c r="AD73" s="114">
        <v>71</v>
      </c>
      <c r="AE73" s="114">
        <f t="shared" ca="1" si="21"/>
        <v>697</v>
      </c>
      <c r="AF73" s="136">
        <f t="shared" ca="1" si="22"/>
        <v>12.641194847503346</v>
      </c>
      <c r="AG73" s="102">
        <f t="shared" ca="1" si="23"/>
        <v>8811</v>
      </c>
      <c r="AH73" s="102"/>
      <c r="AI73" s="102"/>
      <c r="AJ73" s="102"/>
      <c r="AK73" s="102"/>
    </row>
    <row r="74" spans="1:38" ht="16.5" x14ac:dyDescent="0.3">
      <c r="A74" s="53">
        <v>72</v>
      </c>
      <c r="B74" s="126">
        <f t="shared" ca="1" si="18"/>
        <v>11573</v>
      </c>
      <c r="C74" s="127">
        <f t="shared" ca="1" si="19"/>
        <v>12343</v>
      </c>
      <c r="D74" s="128">
        <f t="shared" ca="1" si="20"/>
        <v>9125</v>
      </c>
      <c r="E74" s="129"/>
      <c r="AB74" s="102">
        <f t="shared" ca="1" si="17"/>
        <v>0.10331535183761464</v>
      </c>
      <c r="AC74" s="114">
        <v>75</v>
      </c>
      <c r="AD74" s="114">
        <v>72</v>
      </c>
      <c r="AE74" s="114">
        <f t="shared" ca="1" si="21"/>
        <v>705</v>
      </c>
      <c r="AF74" s="136">
        <f t="shared" ca="1" si="22"/>
        <v>12.942902732763081</v>
      </c>
      <c r="AG74" s="102">
        <f t="shared" ca="1" si="23"/>
        <v>9125</v>
      </c>
      <c r="AH74" s="102"/>
      <c r="AI74" s="102"/>
      <c r="AJ74" s="102"/>
      <c r="AK74" s="102"/>
    </row>
    <row r="75" spans="1:38" ht="16.5" x14ac:dyDescent="0.3">
      <c r="A75" s="53">
        <v>73</v>
      </c>
      <c r="B75" s="126">
        <f t="shared" ca="1" si="18"/>
        <v>4264</v>
      </c>
      <c r="C75" s="127">
        <f t="shared" ca="1" si="19"/>
        <v>11573</v>
      </c>
      <c r="D75" s="128">
        <f t="shared" ca="1" si="20"/>
        <v>9860</v>
      </c>
      <c r="E75" s="129"/>
      <c r="AB75" s="102">
        <f t="shared" ca="1" si="17"/>
        <v>0.69117428832408911</v>
      </c>
      <c r="AC75" s="114">
        <v>71</v>
      </c>
      <c r="AD75" s="114">
        <v>73</v>
      </c>
      <c r="AE75" s="114">
        <f t="shared" ca="1" si="21"/>
        <v>713</v>
      </c>
      <c r="AF75" s="136">
        <f t="shared" ca="1" si="22"/>
        <v>13.829234239999748</v>
      </c>
      <c r="AG75" s="102">
        <f t="shared" ca="1" si="23"/>
        <v>9860</v>
      </c>
      <c r="AH75" s="102"/>
      <c r="AI75" s="102"/>
      <c r="AJ75" s="102"/>
      <c r="AK75" s="102"/>
    </row>
    <row r="76" spans="1:38" ht="16.5" x14ac:dyDescent="0.3">
      <c r="A76" s="53">
        <v>74</v>
      </c>
      <c r="B76" s="126">
        <f t="shared" ca="1" si="18"/>
        <v>9715</v>
      </c>
      <c r="C76" s="127">
        <f t="shared" ca="1" si="19"/>
        <v>12138</v>
      </c>
      <c r="D76" s="128">
        <f t="shared" ca="1" si="20"/>
        <v>12343</v>
      </c>
      <c r="E76" s="129"/>
      <c r="AB76" s="102">
        <f t="shared" ca="1" si="17"/>
        <v>6.3730299479501928E-2</v>
      </c>
      <c r="AC76" s="114">
        <v>73</v>
      </c>
      <c r="AD76" s="114">
        <v>74</v>
      </c>
      <c r="AE76" s="114">
        <f t="shared" ca="1" si="21"/>
        <v>721</v>
      </c>
      <c r="AF76" s="136">
        <f t="shared" ca="1" si="22"/>
        <v>17.119589132488755</v>
      </c>
      <c r="AG76" s="102">
        <f t="shared" ca="1" si="23"/>
        <v>12343</v>
      </c>
      <c r="AH76" s="102"/>
      <c r="AI76" s="102"/>
      <c r="AJ76" s="102"/>
      <c r="AK76" s="102"/>
    </row>
    <row r="77" spans="1:38" ht="16.5" x14ac:dyDescent="0.3">
      <c r="A77" s="53">
        <v>75</v>
      </c>
      <c r="B77" s="126">
        <f t="shared" ca="1" si="18"/>
        <v>8838</v>
      </c>
      <c r="C77" s="127">
        <f t="shared" ca="1" si="19"/>
        <v>12163</v>
      </c>
      <c r="D77" s="128">
        <f t="shared" ca="1" si="20"/>
        <v>12138</v>
      </c>
      <c r="E77" s="129"/>
      <c r="AB77" s="102">
        <f t="shared" ca="1" si="17"/>
        <v>0.26634590076828746</v>
      </c>
      <c r="AC77" s="114">
        <v>74</v>
      </c>
      <c r="AD77" s="114">
        <v>75</v>
      </c>
      <c r="AE77" s="114">
        <f t="shared" ca="1" si="21"/>
        <v>729</v>
      </c>
      <c r="AF77" s="136">
        <f t="shared" ca="1" si="22"/>
        <v>16.649593230092126</v>
      </c>
      <c r="AG77" s="102">
        <f ca="1">ROUND(AE77*AF77,0)</f>
        <v>12138</v>
      </c>
      <c r="AH77" s="102"/>
      <c r="AI77" s="102"/>
      <c r="AJ77" s="102"/>
      <c r="AK77" s="102"/>
    </row>
    <row r="78" spans="1:38" ht="16.5" x14ac:dyDescent="0.3">
      <c r="A78" s="101"/>
      <c r="B78" s="101"/>
      <c r="C78" s="101"/>
      <c r="D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</row>
    <row r="79" spans="1:38" ht="16.5" x14ac:dyDescent="0.3">
      <c r="A79" s="101"/>
      <c r="B79" s="101"/>
      <c r="C79" s="101"/>
      <c r="D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</row>
    <row r="80" spans="1:38" ht="16.5" x14ac:dyDescent="0.3">
      <c r="A80" s="101"/>
      <c r="B80" s="101"/>
      <c r="C80" s="101"/>
      <c r="D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</row>
    <row r="81" spans="1:38" ht="16.5" x14ac:dyDescent="0.3">
      <c r="A81" s="101"/>
      <c r="B81" s="101"/>
      <c r="C81" s="101"/>
      <c r="D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</row>
    <row r="82" spans="1:38" ht="16.5" x14ac:dyDescent="0.3"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</row>
    <row r="83" spans="1:38" ht="16.5" x14ac:dyDescent="0.3"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</row>
    <row r="84" spans="1:38" ht="16.5" x14ac:dyDescent="0.3"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</row>
    <row r="85" spans="1:38" ht="16.5" x14ac:dyDescent="0.3"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</row>
    <row r="86" spans="1:38" ht="16.5" x14ac:dyDescent="0.3"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</row>
    <row r="87" spans="1:38" ht="16.5" x14ac:dyDescent="0.3"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</row>
    <row r="88" spans="1:38" ht="16.5" x14ac:dyDescent="0.3"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</row>
    <row r="89" spans="1:38" ht="16.5" x14ac:dyDescent="0.3"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J76"/>
  <sheetViews>
    <sheetView workbookViewId="0">
      <selection activeCell="I12" sqref="I12"/>
    </sheetView>
  </sheetViews>
  <sheetFormatPr defaultRowHeight="12.75" x14ac:dyDescent="0.2"/>
  <cols>
    <col min="1" max="1" width="4" style="2" customWidth="1"/>
    <col min="2" max="2" width="8.140625" style="2" bestFit="1" customWidth="1"/>
    <col min="3" max="5" width="9.140625" style="2"/>
    <col min="6" max="6" width="5.42578125" style="2" customWidth="1"/>
    <col min="7" max="9" width="9.140625" style="2"/>
    <col min="10" max="10" width="10.28515625" style="2" customWidth="1"/>
    <col min="11" max="16384" width="9.140625" style="2"/>
  </cols>
  <sheetData>
    <row r="1" spans="1:10" x14ac:dyDescent="0.2">
      <c r="A1" s="1" t="str">
        <f>[1]ArdiData!A2</f>
        <v>Per.</v>
      </c>
      <c r="B1" s="18" t="str">
        <f>[1]ArdiData!D2</f>
        <v>Trend&amp;S</v>
      </c>
      <c r="H1" s="2">
        <v>1</v>
      </c>
      <c r="I1" s="83">
        <f ca="1">AVERAGEIF($F$4:$F$76,"="&amp;H1,$E$4:$E$76)</f>
        <v>0.86851461819019282</v>
      </c>
      <c r="J1" s="2">
        <f ca="1">I1/$I$6</f>
        <v>0.86830268168150226</v>
      </c>
    </row>
    <row r="2" spans="1:10" x14ac:dyDescent="0.2">
      <c r="A2" s="1">
        <f>[1]ArdiData!A3</f>
        <v>1</v>
      </c>
      <c r="B2" s="18">
        <f ca="1">'0.ArdiData&amp;FixedData'!D3</f>
        <v>1514</v>
      </c>
      <c r="D2" s="83"/>
      <c r="E2" s="83"/>
      <c r="F2" s="83"/>
      <c r="H2" s="2">
        <v>2</v>
      </c>
      <c r="I2" s="83">
        <f ca="1">AVERAGEIF($F$4:$F$76,"="&amp;H2,$E$4:$E$76)</f>
        <v>0.94045544108552159</v>
      </c>
      <c r="J2" s="2">
        <f ca="1">I2/$I$6</f>
        <v>0.94022594944705262</v>
      </c>
    </row>
    <row r="3" spans="1:10" x14ac:dyDescent="0.2">
      <c r="A3" s="1">
        <f>[1]ArdiData!A4</f>
        <v>2</v>
      </c>
      <c r="B3" s="18">
        <f ca="1">'0.ArdiData&amp;FixedData'!D4</f>
        <v>1790</v>
      </c>
      <c r="D3" s="83"/>
      <c r="E3" s="83"/>
      <c r="F3" s="83"/>
      <c r="H3" s="2">
        <v>3</v>
      </c>
      <c r="I3" s="83">
        <f ca="1">AVERAGEIF($F$4:$F$76,"="&amp;H3,$E$4:$E$76)</f>
        <v>0.99032891064543704</v>
      </c>
      <c r="J3" s="2">
        <f ca="1">I3/$I$6</f>
        <v>0.99008724879268106</v>
      </c>
    </row>
    <row r="4" spans="1:10" x14ac:dyDescent="0.2">
      <c r="A4" s="1">
        <f>[1]ArdiData!A5</f>
        <v>3</v>
      </c>
      <c r="B4" s="18">
        <f ca="1">'0.ArdiData&amp;FixedData'!D5</f>
        <v>2197</v>
      </c>
      <c r="C4" s="75">
        <f t="shared" ref="C4" ca="1" si="0">AVERAGE(B2:B6)</f>
        <v>2056.1999999999998</v>
      </c>
      <c r="D4" s="83">
        <f t="shared" ref="D4:D35" ca="1" si="1">TREND($C$4:$C$76,$A$4:$A$76,A4)</f>
        <v>1962.2557077625561</v>
      </c>
      <c r="E4" s="83">
        <f t="shared" ref="E4:E35" ca="1" si="2">B4/D4</f>
        <v>1.1196298175150214</v>
      </c>
      <c r="F4" s="82">
        <f t="shared" ref="F4:F35" si="3">IF(MOD(A4,5)&lt;&gt;0,MOD(A4,5),5)</f>
        <v>3</v>
      </c>
      <c r="G4" s="2">
        <f t="shared" ref="G4:G35" ca="1" si="4">VLOOKUP(F4,$H$1:$J$5,3)*D4</f>
        <v>1942.8043551263643</v>
      </c>
      <c r="H4" s="2">
        <v>4</v>
      </c>
      <c r="I4" s="83">
        <f ca="1">AVERAGEIF($F$4:$F$76,"="&amp;H4,$E$4:$E$76)</f>
        <v>1.0772427165362808</v>
      </c>
      <c r="J4" s="2">
        <f ca="1">I4/$I$6</f>
        <v>1.0769798458193425</v>
      </c>
    </row>
    <row r="5" spans="1:10" x14ac:dyDescent="0.2">
      <c r="A5" s="1">
        <f>[1]ArdiData!A6</f>
        <v>4</v>
      </c>
      <c r="B5" s="18">
        <f ca="1">'0.ArdiData&amp;FixedData'!D6</f>
        <v>2343</v>
      </c>
      <c r="C5" s="75">
        <f t="shared" ref="C5:C36" ca="1" si="5">AVERAGE(B3:B7)</f>
        <v>2172.1999999999998</v>
      </c>
      <c r="D5" s="83">
        <f t="shared" ca="1" si="1"/>
        <v>2114.8599885844737</v>
      </c>
      <c r="E5" s="83">
        <f t="shared" ca="1" si="2"/>
        <v>1.1078747589187812</v>
      </c>
      <c r="F5" s="82">
        <f t="shared" si="3"/>
        <v>4</v>
      </c>
      <c r="G5" s="2">
        <f t="shared" ca="1" si="4"/>
        <v>2277.6615844352027</v>
      </c>
      <c r="H5" s="2">
        <v>5</v>
      </c>
      <c r="I5" s="83">
        <f ca="1">AVERAGEIF($F$4:$F$76,"="&amp;H5,$E$4:$E$76)</f>
        <v>1.1246787203958566</v>
      </c>
      <c r="J5" s="2">
        <f ca="1">I5/$I$6</f>
        <v>1.124404274259422</v>
      </c>
    </row>
    <row r="6" spans="1:10" x14ac:dyDescent="0.2">
      <c r="A6" s="1">
        <f>[1]ArdiData!A7</f>
        <v>5</v>
      </c>
      <c r="B6" s="18">
        <f ca="1">'0.ArdiData&amp;FixedData'!D7</f>
        <v>2437</v>
      </c>
      <c r="C6" s="75">
        <f t="shared" ca="1" si="5"/>
        <v>2278.4</v>
      </c>
      <c r="D6" s="83">
        <f t="shared" ca="1" si="1"/>
        <v>2267.4642694063914</v>
      </c>
      <c r="E6" s="83">
        <f t="shared" ca="1" si="2"/>
        <v>1.0747688653272547</v>
      </c>
      <c r="F6" s="82">
        <f t="shared" si="3"/>
        <v>5</v>
      </c>
      <c r="G6" s="2">
        <f t="shared" ca="1" si="4"/>
        <v>2549.5465162510641</v>
      </c>
      <c r="I6" s="84">
        <f ca="1">AVERAGE(I1:I5)</f>
        <v>1.0002440813706577</v>
      </c>
      <c r="J6" s="84">
        <f ca="1">AVERAGE(J1:J5)</f>
        <v>1</v>
      </c>
    </row>
    <row r="7" spans="1:10" x14ac:dyDescent="0.2">
      <c r="A7" s="1">
        <f>[1]ArdiData!A8</f>
        <v>6</v>
      </c>
      <c r="B7" s="18">
        <f ca="1">'0.ArdiData&amp;FixedData'!D8</f>
        <v>2094</v>
      </c>
      <c r="C7" s="75">
        <f t="shared" ca="1" si="5"/>
        <v>2398</v>
      </c>
      <c r="D7" s="83">
        <f t="shared" ca="1" si="1"/>
        <v>2420.0685502283095</v>
      </c>
      <c r="E7" s="83">
        <f t="shared" ca="1" si="2"/>
        <v>0.8652647462413624</v>
      </c>
      <c r="F7" s="82">
        <f t="shared" si="3"/>
        <v>1</v>
      </c>
      <c r="G7" s="2">
        <f t="shared" ca="1" si="4"/>
        <v>2101.3520120163066</v>
      </c>
    </row>
    <row r="8" spans="1:10" x14ac:dyDescent="0.2">
      <c r="A8" s="1">
        <f>[1]ArdiData!A9</f>
        <v>7</v>
      </c>
      <c r="B8" s="18">
        <f ca="1">'0.ArdiData&amp;FixedData'!D9</f>
        <v>2321</v>
      </c>
      <c r="C8" s="75">
        <f t="shared" ca="1" si="5"/>
        <v>2525.4</v>
      </c>
      <c r="D8" s="83">
        <f t="shared" ca="1" si="1"/>
        <v>2572.6728310502272</v>
      </c>
      <c r="E8" s="83">
        <f t="shared" ca="1" si="2"/>
        <v>0.90217456801629603</v>
      </c>
      <c r="F8" s="82">
        <f t="shared" si="3"/>
        <v>2</v>
      </c>
      <c r="G8" s="2">
        <f t="shared" ca="1" si="4"/>
        <v>2418.8937551908366</v>
      </c>
    </row>
    <row r="9" spans="1:10" x14ac:dyDescent="0.2">
      <c r="A9" s="1">
        <f>[1]ArdiData!A10</f>
        <v>8</v>
      </c>
      <c r="B9" s="18">
        <f ca="1">'0.ArdiData&amp;FixedData'!D10</f>
        <v>2795</v>
      </c>
      <c r="C9" s="75">
        <f t="shared" ca="1" si="5"/>
        <v>2704.2</v>
      </c>
      <c r="D9" s="83">
        <f t="shared" ca="1" si="1"/>
        <v>2725.2771118721448</v>
      </c>
      <c r="E9" s="83">
        <f t="shared" ca="1" si="2"/>
        <v>1.0255837792876625</v>
      </c>
      <c r="F9" s="82">
        <f t="shared" si="3"/>
        <v>3</v>
      </c>
      <c r="G9" s="2">
        <f t="shared" ca="1" si="4"/>
        <v>2698.2621178911554</v>
      </c>
    </row>
    <row r="10" spans="1:10" x14ac:dyDescent="0.2">
      <c r="A10" s="1">
        <f>[1]ArdiData!A11</f>
        <v>9</v>
      </c>
      <c r="B10" s="18">
        <f ca="1">'0.ArdiData&amp;FixedData'!D11</f>
        <v>2980</v>
      </c>
      <c r="C10" s="75">
        <f t="shared" ca="1" si="5"/>
        <v>2822.8</v>
      </c>
      <c r="D10" s="83">
        <f t="shared" ca="1" si="1"/>
        <v>2877.8813926940625</v>
      </c>
      <c r="E10" s="83">
        <f t="shared" ca="1" si="2"/>
        <v>1.0354839527317494</v>
      </c>
      <c r="F10" s="82">
        <f t="shared" si="3"/>
        <v>4</v>
      </c>
      <c r="G10" s="2">
        <f t="shared" ca="1" si="4"/>
        <v>3099.4202585900061</v>
      </c>
    </row>
    <row r="11" spans="1:10" x14ac:dyDescent="0.2">
      <c r="A11" s="1">
        <f>[1]ArdiData!A12</f>
        <v>10</v>
      </c>
      <c r="B11" s="18">
        <f ca="1">'0.ArdiData&amp;FixedData'!D12</f>
        <v>3331</v>
      </c>
      <c r="C11" s="75">
        <f t="shared" ca="1" si="5"/>
        <v>3042.4</v>
      </c>
      <c r="D11" s="83">
        <f t="shared" ca="1" si="1"/>
        <v>3030.4856735159801</v>
      </c>
      <c r="E11" s="83">
        <f t="shared" ca="1" si="2"/>
        <v>1.0991637509163217</v>
      </c>
      <c r="F11" s="82">
        <f t="shared" si="3"/>
        <v>5</v>
      </c>
      <c r="G11" s="2">
        <f t="shared" ca="1" si="4"/>
        <v>3407.4910443833114</v>
      </c>
    </row>
    <row r="12" spans="1:10" x14ac:dyDescent="0.2">
      <c r="A12" s="1">
        <f>[1]ArdiData!A13</f>
        <v>11</v>
      </c>
      <c r="B12" s="18">
        <f ca="1">'0.ArdiData&amp;FixedData'!D13</f>
        <v>2687</v>
      </c>
      <c r="C12" s="75">
        <f t="shared" ca="1" si="5"/>
        <v>3165.8</v>
      </c>
      <c r="D12" s="83">
        <f t="shared" ca="1" si="1"/>
        <v>3183.0899543378982</v>
      </c>
      <c r="E12" s="83">
        <f t="shared" ca="1" si="2"/>
        <v>0.84414830826196741</v>
      </c>
      <c r="F12" s="82">
        <f t="shared" si="3"/>
        <v>1</v>
      </c>
      <c r="G12" s="2">
        <f t="shared" ca="1" si="4"/>
        <v>2763.8855433850476</v>
      </c>
    </row>
    <row r="13" spans="1:10" x14ac:dyDescent="0.2">
      <c r="A13" s="1">
        <f>[1]ArdiData!A14</f>
        <v>12</v>
      </c>
      <c r="B13" s="18">
        <f ca="1">'0.ArdiData&amp;FixedData'!D14</f>
        <v>3419</v>
      </c>
      <c r="C13" s="75">
        <f t="shared" ca="1" si="5"/>
        <v>3409</v>
      </c>
      <c r="D13" s="83">
        <f t="shared" ca="1" si="1"/>
        <v>3335.6942351598159</v>
      </c>
      <c r="E13" s="83">
        <f t="shared" ca="1" si="2"/>
        <v>1.0249740410742991</v>
      </c>
      <c r="F13" s="82">
        <f t="shared" si="3"/>
        <v>2</v>
      </c>
      <c r="G13" s="2">
        <f t="shared" ca="1" si="4"/>
        <v>3136.306279318198</v>
      </c>
    </row>
    <row r="14" spans="1:10" x14ac:dyDescent="0.2">
      <c r="A14" s="1">
        <f>[1]ArdiData!A15</f>
        <v>13</v>
      </c>
      <c r="B14" s="18">
        <f ca="1">'0.ArdiData&amp;FixedData'!D15</f>
        <v>3412</v>
      </c>
      <c r="C14" s="75">
        <f t="shared" ca="1" si="5"/>
        <v>3602.2</v>
      </c>
      <c r="D14" s="83">
        <f t="shared" ca="1" si="1"/>
        <v>3488.2985159817335</v>
      </c>
      <c r="E14" s="83">
        <f t="shared" ca="1" si="2"/>
        <v>0.97812729741099569</v>
      </c>
      <c r="F14" s="82">
        <f t="shared" si="3"/>
        <v>3</v>
      </c>
      <c r="G14" s="2">
        <f t="shared" ca="1" si="4"/>
        <v>3453.7198806559468</v>
      </c>
    </row>
    <row r="15" spans="1:10" x14ac:dyDescent="0.2">
      <c r="A15" s="1">
        <f>[1]ArdiData!A16</f>
        <v>14</v>
      </c>
      <c r="B15" s="18">
        <f ca="1">'0.ArdiData&amp;FixedData'!D16</f>
        <v>4196</v>
      </c>
      <c r="C15" s="75">
        <f t="shared" ca="1" si="5"/>
        <v>3751.8</v>
      </c>
      <c r="D15" s="83">
        <f t="shared" ca="1" si="1"/>
        <v>3640.9027968036517</v>
      </c>
      <c r="E15" s="83">
        <f t="shared" ca="1" si="2"/>
        <v>1.1524614179987633</v>
      </c>
      <c r="F15" s="82">
        <f t="shared" si="3"/>
        <v>4</v>
      </c>
      <c r="G15" s="2">
        <f t="shared" ca="1" si="4"/>
        <v>3921.1789327448096</v>
      </c>
    </row>
    <row r="16" spans="1:10" x14ac:dyDescent="0.2">
      <c r="A16" s="1">
        <f>[1]ArdiData!A17</f>
        <v>15</v>
      </c>
      <c r="B16" s="18">
        <f ca="1">'0.ArdiData&amp;FixedData'!D17</f>
        <v>4297</v>
      </c>
      <c r="C16" s="75">
        <f t="shared" ca="1" si="5"/>
        <v>3846.4</v>
      </c>
      <c r="D16" s="83">
        <f t="shared" ca="1" si="1"/>
        <v>3793.5070776255693</v>
      </c>
      <c r="E16" s="83">
        <f t="shared" ca="1" si="2"/>
        <v>1.1327249197303664</v>
      </c>
      <c r="F16" s="82">
        <f t="shared" si="3"/>
        <v>5</v>
      </c>
      <c r="G16" s="2">
        <f t="shared" ca="1" si="4"/>
        <v>4265.4355725155592</v>
      </c>
    </row>
    <row r="17" spans="1:7" x14ac:dyDescent="0.2">
      <c r="A17" s="1">
        <f>[1]ArdiData!A18</f>
        <v>16</v>
      </c>
      <c r="B17" s="18">
        <f ca="1">'0.ArdiData&amp;FixedData'!D18</f>
        <v>3435</v>
      </c>
      <c r="C17" s="75">
        <f t="shared" ca="1" si="5"/>
        <v>3940.6</v>
      </c>
      <c r="D17" s="83">
        <f t="shared" ca="1" si="1"/>
        <v>3946.111358447487</v>
      </c>
      <c r="E17" s="83">
        <f t="shared" ca="1" si="2"/>
        <v>0.87047720856803878</v>
      </c>
      <c r="F17" s="82">
        <f t="shared" si="3"/>
        <v>1</v>
      </c>
      <c r="G17" s="2">
        <f t="shared" ca="1" si="4"/>
        <v>3426.4190747537887</v>
      </c>
    </row>
    <row r="18" spans="1:7" x14ac:dyDescent="0.2">
      <c r="A18" s="1">
        <f>[1]ArdiData!A19</f>
        <v>17</v>
      </c>
      <c r="B18" s="18">
        <f ca="1">'0.ArdiData&amp;FixedData'!D19</f>
        <v>3892</v>
      </c>
      <c r="C18" s="75">
        <f t="shared" ca="1" si="5"/>
        <v>4058.6</v>
      </c>
      <c r="D18" s="83">
        <f t="shared" ca="1" si="1"/>
        <v>4098.7156392694051</v>
      </c>
      <c r="E18" s="83">
        <f t="shared" ca="1" si="2"/>
        <v>0.94956575243013153</v>
      </c>
      <c r="F18" s="82">
        <f t="shared" si="3"/>
        <v>2</v>
      </c>
      <c r="G18" s="2">
        <f t="shared" ca="1" si="4"/>
        <v>3853.7188034455598</v>
      </c>
    </row>
    <row r="19" spans="1:7" x14ac:dyDescent="0.2">
      <c r="A19" s="1">
        <f>[1]ArdiData!A20</f>
        <v>18</v>
      </c>
      <c r="B19" s="18">
        <f ca="1">'0.ArdiData&amp;FixedData'!D20</f>
        <v>3883</v>
      </c>
      <c r="C19" s="75">
        <f t="shared" ca="1" si="5"/>
        <v>4340.8</v>
      </c>
      <c r="D19" s="83">
        <f t="shared" ca="1" si="1"/>
        <v>4251.3199200913223</v>
      </c>
      <c r="E19" s="83">
        <f t="shared" ca="1" si="2"/>
        <v>0.91336339607125816</v>
      </c>
      <c r="F19" s="82">
        <f t="shared" si="3"/>
        <v>3</v>
      </c>
      <c r="G19" s="2">
        <f t="shared" ca="1" si="4"/>
        <v>4209.1776434207377</v>
      </c>
    </row>
    <row r="20" spans="1:7" x14ac:dyDescent="0.2">
      <c r="A20" s="1">
        <f>[1]ArdiData!A21</f>
        <v>19</v>
      </c>
      <c r="B20" s="18">
        <f ca="1">'0.ArdiData&amp;FixedData'!D21</f>
        <v>4786</v>
      </c>
      <c r="C20" s="75">
        <f t="shared" ca="1" si="5"/>
        <v>4457.3999999999996</v>
      </c>
      <c r="D20" s="83">
        <f t="shared" ca="1" si="1"/>
        <v>4403.9242009132404</v>
      </c>
      <c r="E20" s="83">
        <f t="shared" ca="1" si="2"/>
        <v>1.0867580325309707</v>
      </c>
      <c r="F20" s="82">
        <f t="shared" si="3"/>
        <v>4</v>
      </c>
      <c r="G20" s="2">
        <f t="shared" ca="1" si="4"/>
        <v>4742.9376068996125</v>
      </c>
    </row>
    <row r="21" spans="1:7" x14ac:dyDescent="0.2">
      <c r="A21" s="1">
        <f>[1]ArdiData!A22</f>
        <v>20</v>
      </c>
      <c r="B21" s="18">
        <f ca="1">'0.ArdiData&amp;FixedData'!D22</f>
        <v>5708</v>
      </c>
      <c r="C21" s="75">
        <f t="shared" ca="1" si="5"/>
        <v>4680.8</v>
      </c>
      <c r="D21" s="83">
        <f t="shared" ca="1" si="1"/>
        <v>4556.5284817351585</v>
      </c>
      <c r="E21" s="83">
        <f t="shared" ca="1" si="2"/>
        <v>1.2527080699441504</v>
      </c>
      <c r="F21" s="82">
        <f t="shared" si="3"/>
        <v>5</v>
      </c>
      <c r="G21" s="2">
        <f t="shared" ca="1" si="4"/>
        <v>5123.380100647807</v>
      </c>
    </row>
    <row r="22" spans="1:7" x14ac:dyDescent="0.2">
      <c r="A22" s="1">
        <f>[1]ArdiData!A23</f>
        <v>21</v>
      </c>
      <c r="B22" s="18">
        <f ca="1">'0.ArdiData&amp;FixedData'!D23</f>
        <v>4018</v>
      </c>
      <c r="C22" s="75">
        <f t="shared" ca="1" si="5"/>
        <v>4909.6000000000004</v>
      </c>
      <c r="D22" s="83">
        <f t="shared" ca="1" si="1"/>
        <v>4709.1327625570757</v>
      </c>
      <c r="E22" s="83">
        <f t="shared" ca="1" si="2"/>
        <v>0.85323565985389882</v>
      </c>
      <c r="F22" s="82">
        <f t="shared" si="3"/>
        <v>1</v>
      </c>
      <c r="G22" s="2">
        <f t="shared" ca="1" si="4"/>
        <v>4088.9526061225297</v>
      </c>
    </row>
    <row r="23" spans="1:7" x14ac:dyDescent="0.2">
      <c r="A23" s="1">
        <f>[1]ArdiData!A24</f>
        <v>22</v>
      </c>
      <c r="B23" s="18">
        <f ca="1">'0.ArdiData&amp;FixedData'!D24</f>
        <v>5009</v>
      </c>
      <c r="C23" s="75">
        <f t="shared" ca="1" si="5"/>
        <v>5070.3999999999996</v>
      </c>
      <c r="D23" s="83">
        <f t="shared" ca="1" si="1"/>
        <v>4861.7370433789938</v>
      </c>
      <c r="E23" s="83">
        <f t="shared" ca="1" si="2"/>
        <v>1.0302901936709139</v>
      </c>
      <c r="F23" s="82">
        <f t="shared" si="3"/>
        <v>2</v>
      </c>
      <c r="G23" s="2">
        <f t="shared" ca="1" si="4"/>
        <v>4571.1313275729208</v>
      </c>
    </row>
    <row r="24" spans="1:7" x14ac:dyDescent="0.2">
      <c r="A24" s="1">
        <f>[1]ArdiData!A25</f>
        <v>23</v>
      </c>
      <c r="B24" s="18">
        <f ca="1">'0.ArdiData&amp;FixedData'!D25</f>
        <v>5027</v>
      </c>
      <c r="C24" s="75">
        <f t="shared" ca="1" si="5"/>
        <v>5031.3999999999996</v>
      </c>
      <c r="D24" s="83">
        <f t="shared" ca="1" si="1"/>
        <v>5014.3413242009119</v>
      </c>
      <c r="E24" s="83">
        <f t="shared" ca="1" si="2"/>
        <v>1.0025244942417448</v>
      </c>
      <c r="F24" s="82">
        <f t="shared" si="3"/>
        <v>3</v>
      </c>
      <c r="G24" s="2">
        <f t="shared" ca="1" si="4"/>
        <v>4964.63540618553</v>
      </c>
    </row>
    <row r="25" spans="1:7" x14ac:dyDescent="0.2">
      <c r="A25" s="1">
        <f>[1]ArdiData!A26</f>
        <v>24</v>
      </c>
      <c r="B25" s="18">
        <f ca="1">'0.ArdiData&amp;FixedData'!D26</f>
        <v>5590</v>
      </c>
      <c r="C25" s="75">
        <f t="shared" ca="1" si="5"/>
        <v>5208.6000000000004</v>
      </c>
      <c r="D25" s="83">
        <f t="shared" ca="1" si="1"/>
        <v>5166.9456050228291</v>
      </c>
      <c r="E25" s="83">
        <f t="shared" ca="1" si="2"/>
        <v>1.0818770754168412</v>
      </c>
      <c r="F25" s="82">
        <f t="shared" si="3"/>
        <v>4</v>
      </c>
      <c r="G25" s="2">
        <f t="shared" ca="1" si="4"/>
        <v>5564.6962810544155</v>
      </c>
    </row>
    <row r="26" spans="1:7" x14ac:dyDescent="0.2">
      <c r="A26" s="1">
        <f>[1]ArdiData!A27</f>
        <v>25</v>
      </c>
      <c r="B26" s="18">
        <f ca="1">'0.ArdiData&amp;FixedData'!D27</f>
        <v>5513</v>
      </c>
      <c r="C26" s="75">
        <f t="shared" ca="1" si="5"/>
        <v>5282</v>
      </c>
      <c r="D26" s="83">
        <f t="shared" ca="1" si="1"/>
        <v>5319.5498858447463</v>
      </c>
      <c r="E26" s="83">
        <f t="shared" ca="1" si="2"/>
        <v>1.0363658802542715</v>
      </c>
      <c r="F26" s="82">
        <f t="shared" si="3"/>
        <v>5</v>
      </c>
      <c r="G26" s="2">
        <f t="shared" ca="1" si="4"/>
        <v>5981.324628780053</v>
      </c>
    </row>
    <row r="27" spans="1:7" x14ac:dyDescent="0.2">
      <c r="A27" s="1">
        <f>[1]ArdiData!A28</f>
        <v>26</v>
      </c>
      <c r="B27" s="18">
        <f ca="1">'0.ArdiData&amp;FixedData'!D28</f>
        <v>4904</v>
      </c>
      <c r="C27" s="75">
        <f t="shared" ca="1" si="5"/>
        <v>5453.4</v>
      </c>
      <c r="D27" s="83">
        <f t="shared" ca="1" si="1"/>
        <v>5472.1541666666644</v>
      </c>
      <c r="E27" s="83">
        <f t="shared" ca="1" si="2"/>
        <v>0.89617358185419094</v>
      </c>
      <c r="F27" s="82">
        <f t="shared" si="3"/>
        <v>1</v>
      </c>
      <c r="G27" s="2">
        <f t="shared" ca="1" si="4"/>
        <v>4751.4861374912707</v>
      </c>
    </row>
    <row r="28" spans="1:7" x14ac:dyDescent="0.2">
      <c r="A28" s="1">
        <f>[1]ArdiData!A29</f>
        <v>27</v>
      </c>
      <c r="B28" s="18">
        <f ca="1">'0.ArdiData&amp;FixedData'!D29</f>
        <v>5376</v>
      </c>
      <c r="C28" s="75">
        <f t="shared" ca="1" si="5"/>
        <v>5660</v>
      </c>
      <c r="D28" s="83">
        <f t="shared" ca="1" si="1"/>
        <v>5624.7584474885825</v>
      </c>
      <c r="E28" s="83">
        <f t="shared" ca="1" si="2"/>
        <v>0.95577437683574629</v>
      </c>
      <c r="F28" s="82">
        <f t="shared" si="3"/>
        <v>2</v>
      </c>
      <c r="G28" s="2">
        <f t="shared" ca="1" si="4"/>
        <v>5288.5438517002822</v>
      </c>
    </row>
    <row r="29" spans="1:7" x14ac:dyDescent="0.2">
      <c r="A29" s="1">
        <f>[1]ArdiData!A30</f>
        <v>28</v>
      </c>
      <c r="B29" s="18">
        <f ca="1">'0.ArdiData&amp;FixedData'!D30</f>
        <v>5884</v>
      </c>
      <c r="C29" s="75">
        <f t="shared" ca="1" si="5"/>
        <v>5904.2</v>
      </c>
      <c r="D29" s="83">
        <f t="shared" ca="1" si="1"/>
        <v>5777.3627283105006</v>
      </c>
      <c r="E29" s="83">
        <f t="shared" ca="1" si="2"/>
        <v>1.0184577767926792</v>
      </c>
      <c r="F29" s="82">
        <f t="shared" si="3"/>
        <v>3</v>
      </c>
      <c r="G29" s="2">
        <f t="shared" ca="1" si="4"/>
        <v>5720.0931689503213</v>
      </c>
    </row>
    <row r="30" spans="1:7" x14ac:dyDescent="0.2">
      <c r="A30" s="1">
        <f>[1]ArdiData!A31</f>
        <v>29</v>
      </c>
      <c r="B30" s="18">
        <f ca="1">'0.ArdiData&amp;FixedData'!D31</f>
        <v>6623</v>
      </c>
      <c r="C30" s="75">
        <f t="shared" ca="1" si="5"/>
        <v>5833.6</v>
      </c>
      <c r="D30" s="83">
        <f t="shared" ca="1" si="1"/>
        <v>5929.9670091324178</v>
      </c>
      <c r="E30" s="83">
        <f t="shared" ca="1" si="2"/>
        <v>1.1168696199827555</v>
      </c>
      <c r="F30" s="82">
        <f t="shared" si="3"/>
        <v>4</v>
      </c>
      <c r="G30" s="2">
        <f t="shared" ca="1" si="4"/>
        <v>6386.4549552092185</v>
      </c>
    </row>
    <row r="31" spans="1:7" x14ac:dyDescent="0.2">
      <c r="A31" s="1">
        <f>[1]ArdiData!A32</f>
        <v>30</v>
      </c>
      <c r="B31" s="18">
        <f ca="1">'0.ArdiData&amp;FixedData'!D32</f>
        <v>6734</v>
      </c>
      <c r="C31" s="75">
        <f t="shared" ca="1" si="5"/>
        <v>5866.4</v>
      </c>
      <c r="D31" s="83">
        <f t="shared" ca="1" si="1"/>
        <v>6082.571289954336</v>
      </c>
      <c r="E31" s="83">
        <f t="shared" ca="1" si="2"/>
        <v>1.1070975873511799</v>
      </c>
      <c r="F31" s="82">
        <f t="shared" si="3"/>
        <v>5</v>
      </c>
      <c r="G31" s="2">
        <f t="shared" ca="1" si="4"/>
        <v>6839.2691569123017</v>
      </c>
    </row>
    <row r="32" spans="1:7" x14ac:dyDescent="0.2">
      <c r="A32" s="1">
        <f>[1]ArdiData!A33</f>
        <v>31</v>
      </c>
      <c r="B32" s="18">
        <f ca="1">'0.ArdiData&amp;FixedData'!D33</f>
        <v>4551</v>
      </c>
      <c r="C32" s="75">
        <f t="shared" ca="1" si="5"/>
        <v>6003</v>
      </c>
      <c r="D32" s="83">
        <f t="shared" ca="1" si="1"/>
        <v>6235.1755707762532</v>
      </c>
      <c r="E32" s="83">
        <f t="shared" ca="1" si="2"/>
        <v>0.72989123535352507</v>
      </c>
      <c r="F32" s="82">
        <f t="shared" si="3"/>
        <v>1</v>
      </c>
      <c r="G32" s="2">
        <f t="shared" ca="1" si="4"/>
        <v>5414.0196688600117</v>
      </c>
    </row>
    <row r="33" spans="1:7" x14ac:dyDescent="0.2">
      <c r="A33" s="1">
        <f>[1]ArdiData!A34</f>
        <v>32</v>
      </c>
      <c r="B33" s="18">
        <f ca="1">'0.ArdiData&amp;FixedData'!D34</f>
        <v>5540</v>
      </c>
      <c r="C33" s="75">
        <f t="shared" ca="1" si="5"/>
        <v>6178.4</v>
      </c>
      <c r="D33" s="83">
        <f t="shared" ca="1" si="1"/>
        <v>6387.7798515981713</v>
      </c>
      <c r="E33" s="83">
        <f t="shared" ca="1" si="2"/>
        <v>0.8672809847405647</v>
      </c>
      <c r="F33" s="82">
        <f t="shared" si="3"/>
        <v>2</v>
      </c>
      <c r="G33" s="2">
        <f t="shared" ca="1" si="4"/>
        <v>6005.9563758276436</v>
      </c>
    </row>
    <row r="34" spans="1:7" x14ac:dyDescent="0.2">
      <c r="A34" s="1">
        <f>[1]ArdiData!A35</f>
        <v>33</v>
      </c>
      <c r="B34" s="18">
        <f ca="1">'0.ArdiData&amp;FixedData'!D35</f>
        <v>6567</v>
      </c>
      <c r="C34" s="75">
        <f t="shared" ca="1" si="5"/>
        <v>6359.6</v>
      </c>
      <c r="D34" s="83">
        <f t="shared" ca="1" si="1"/>
        <v>6540.3841324200894</v>
      </c>
      <c r="E34" s="83">
        <f t="shared" ca="1" si="2"/>
        <v>1.0040694654994311</v>
      </c>
      <c r="F34" s="82">
        <f t="shared" si="3"/>
        <v>3</v>
      </c>
      <c r="G34" s="2">
        <f t="shared" ca="1" si="4"/>
        <v>6475.5509317151127</v>
      </c>
    </row>
    <row r="35" spans="1:7" x14ac:dyDescent="0.2">
      <c r="A35" s="1">
        <f>[1]ArdiData!A36</f>
        <v>34</v>
      </c>
      <c r="B35" s="18">
        <f ca="1">'0.ArdiData&amp;FixedData'!D36</f>
        <v>7500</v>
      </c>
      <c r="C35" s="75">
        <f t="shared" ca="1" si="5"/>
        <v>6755</v>
      </c>
      <c r="D35" s="83">
        <f t="shared" ca="1" si="1"/>
        <v>6692.9884132420066</v>
      </c>
      <c r="E35" s="83">
        <f t="shared" ca="1" si="2"/>
        <v>1.1205756736648953</v>
      </c>
      <c r="F35" s="82">
        <f t="shared" si="3"/>
        <v>4</v>
      </c>
      <c r="G35" s="2">
        <f t="shared" ca="1" si="4"/>
        <v>7208.2136293640215</v>
      </c>
    </row>
    <row r="36" spans="1:7" x14ac:dyDescent="0.2">
      <c r="A36" s="1">
        <f>[1]ArdiData!A37</f>
        <v>35</v>
      </c>
      <c r="B36" s="18">
        <f ca="1">'0.ArdiData&amp;FixedData'!D37</f>
        <v>7640</v>
      </c>
      <c r="C36" s="75">
        <f t="shared" ca="1" si="5"/>
        <v>7031.6</v>
      </c>
      <c r="D36" s="83">
        <f t="shared" ref="D36:D67" ca="1" si="6">TREND($C$4:$C$76,$A$4:$A$76,A36)</f>
        <v>6845.5926940639247</v>
      </c>
      <c r="E36" s="83">
        <f t="shared" ref="E36:E67" ca="1" si="7">B36/D36</f>
        <v>1.116046534089727</v>
      </c>
      <c r="F36" s="82">
        <f t="shared" ref="F36:F67" si="8">IF(MOD(A36,5)&lt;&gt;0,MOD(A36,5),5)</f>
        <v>5</v>
      </c>
      <c r="G36" s="2">
        <f t="shared" ref="G36:G67" ca="1" si="9">VLOOKUP(F36,$H$1:$J$5,3)*D36</f>
        <v>7697.2136850445486</v>
      </c>
    </row>
    <row r="37" spans="1:7" x14ac:dyDescent="0.2">
      <c r="A37" s="1">
        <f>[1]ArdiData!A38</f>
        <v>36</v>
      </c>
      <c r="B37" s="18">
        <f ca="1">'0.ArdiData&amp;FixedData'!D38</f>
        <v>6528</v>
      </c>
      <c r="C37" s="75">
        <f t="shared" ref="C37:C68" ca="1" si="10">AVERAGE(B35:B39)</f>
        <v>7179</v>
      </c>
      <c r="D37" s="83">
        <f t="shared" ca="1" si="6"/>
        <v>6998.1969748858419</v>
      </c>
      <c r="E37" s="83">
        <f t="shared" ca="1" si="7"/>
        <v>0.93281169755964011</v>
      </c>
      <c r="F37" s="82">
        <f t="shared" si="8"/>
        <v>1</v>
      </c>
      <c r="G37" s="2">
        <f t="shared" ca="1" si="9"/>
        <v>6076.5532002287537</v>
      </c>
    </row>
    <row r="38" spans="1:7" x14ac:dyDescent="0.2">
      <c r="A38" s="1">
        <f>[1]ArdiData!A39</f>
        <v>37</v>
      </c>
      <c r="B38" s="18">
        <f ca="1">'0.ArdiData&amp;FixedData'!D39</f>
        <v>6923</v>
      </c>
      <c r="C38" s="75">
        <f t="shared" ca="1" si="10"/>
        <v>7226.8</v>
      </c>
      <c r="D38" s="83">
        <f t="shared" ca="1" si="6"/>
        <v>7150.80125570776</v>
      </c>
      <c r="E38" s="83">
        <f t="shared" ca="1" si="7"/>
        <v>0.96814325450229377</v>
      </c>
      <c r="F38" s="82">
        <f t="shared" si="8"/>
        <v>2</v>
      </c>
      <c r="G38" s="2">
        <f t="shared" ca="1" si="9"/>
        <v>6723.368899955005</v>
      </c>
    </row>
    <row r="39" spans="1:7" x14ac:dyDescent="0.2">
      <c r="A39" s="1">
        <f>[1]ArdiData!A40</f>
        <v>38</v>
      </c>
      <c r="B39" s="18">
        <f ca="1">'0.ArdiData&amp;FixedData'!D40</f>
        <v>7304</v>
      </c>
      <c r="C39" s="75">
        <f t="shared" ca="1" si="10"/>
        <v>7329.8</v>
      </c>
      <c r="D39" s="83">
        <f t="shared" ca="1" si="6"/>
        <v>7303.4055365296781</v>
      </c>
      <c r="E39" s="83">
        <f t="shared" ca="1" si="7"/>
        <v>1.0000813953801893</v>
      </c>
      <c r="F39" s="82">
        <f t="shared" si="8"/>
        <v>3</v>
      </c>
      <c r="G39" s="2">
        <f t="shared" ca="1" si="9"/>
        <v>7231.0086944799041</v>
      </c>
    </row>
    <row r="40" spans="1:7" x14ac:dyDescent="0.2">
      <c r="A40" s="1">
        <f>[1]ArdiData!A41</f>
        <v>39</v>
      </c>
      <c r="B40" s="18">
        <f ca="1">'0.ArdiData&amp;FixedData'!D41</f>
        <v>7739</v>
      </c>
      <c r="C40" s="75">
        <f t="shared" ca="1" si="10"/>
        <v>7296.6</v>
      </c>
      <c r="D40" s="83">
        <f t="shared" ca="1" si="6"/>
        <v>7456.0098173515953</v>
      </c>
      <c r="E40" s="83">
        <f t="shared" ca="1" si="7"/>
        <v>1.0379546419037473</v>
      </c>
      <c r="F40" s="82">
        <f t="shared" si="8"/>
        <v>4</v>
      </c>
      <c r="G40" s="2">
        <f t="shared" ca="1" si="9"/>
        <v>8029.9723035188254</v>
      </c>
    </row>
    <row r="41" spans="1:7" x14ac:dyDescent="0.2">
      <c r="A41" s="1">
        <f>[1]ArdiData!A42</f>
        <v>40</v>
      </c>
      <c r="B41" s="18">
        <f ca="1">'0.ArdiData&amp;FixedData'!D42</f>
        <v>8155</v>
      </c>
      <c r="C41" s="75">
        <f t="shared" ca="1" si="10"/>
        <v>7297.6</v>
      </c>
      <c r="D41" s="83">
        <f t="shared" ca="1" si="6"/>
        <v>7608.6140981735134</v>
      </c>
      <c r="E41" s="83">
        <f t="shared" ca="1" si="7"/>
        <v>1.0718114882390539</v>
      </c>
      <c r="F41" s="82">
        <f t="shared" si="8"/>
        <v>5</v>
      </c>
      <c r="G41" s="2">
        <f t="shared" ca="1" si="9"/>
        <v>8555.1582131767955</v>
      </c>
    </row>
    <row r="42" spans="1:7" x14ac:dyDescent="0.2">
      <c r="A42" s="1">
        <f>[1]ArdiData!A43</f>
        <v>41</v>
      </c>
      <c r="B42" s="18">
        <f ca="1">'0.ArdiData&amp;FixedData'!D43</f>
        <v>6362</v>
      </c>
      <c r="C42" s="75">
        <f t="shared" ca="1" si="10"/>
        <v>7367</v>
      </c>
      <c r="D42" s="83">
        <f t="shared" ca="1" si="6"/>
        <v>7761.2183789954315</v>
      </c>
      <c r="E42" s="83">
        <f t="shared" ca="1" si="7"/>
        <v>0.8197166590773679</v>
      </c>
      <c r="F42" s="82">
        <f t="shared" si="8"/>
        <v>1</v>
      </c>
      <c r="G42" s="2">
        <f t="shared" ca="1" si="9"/>
        <v>6739.0867315974956</v>
      </c>
    </row>
    <row r="43" spans="1:7" x14ac:dyDescent="0.2">
      <c r="A43" s="1">
        <f>[1]ArdiData!A44</f>
        <v>42</v>
      </c>
      <c r="B43" s="18">
        <f ca="1">'0.ArdiData&amp;FixedData'!D44</f>
        <v>6928</v>
      </c>
      <c r="C43" s="75">
        <f t="shared" ca="1" si="10"/>
        <v>7527</v>
      </c>
      <c r="D43" s="83">
        <f t="shared" ca="1" si="6"/>
        <v>7913.8226598173487</v>
      </c>
      <c r="E43" s="83">
        <f t="shared" ca="1" si="7"/>
        <v>0.87543028164847692</v>
      </c>
      <c r="F43" s="82">
        <f t="shared" si="8"/>
        <v>2</v>
      </c>
      <c r="G43" s="2">
        <f t="shared" ca="1" si="9"/>
        <v>7440.7814240823664</v>
      </c>
    </row>
    <row r="44" spans="1:7" x14ac:dyDescent="0.2">
      <c r="A44" s="1">
        <f>[1]ArdiData!A45</f>
        <v>43</v>
      </c>
      <c r="B44" s="18">
        <f ca="1">'0.ArdiData&amp;FixedData'!D45</f>
        <v>7651</v>
      </c>
      <c r="C44" s="75">
        <f t="shared" ca="1" si="10"/>
        <v>7844.6</v>
      </c>
      <c r="D44" s="83">
        <f t="shared" ca="1" si="6"/>
        <v>8066.4269406392668</v>
      </c>
      <c r="E44" s="83">
        <f t="shared" ca="1" si="7"/>
        <v>0.94849926197852052</v>
      </c>
      <c r="F44" s="82">
        <f t="shared" si="8"/>
        <v>3</v>
      </c>
      <c r="G44" s="2">
        <f t="shared" ca="1" si="9"/>
        <v>7986.4664572446945</v>
      </c>
    </row>
    <row r="45" spans="1:7" x14ac:dyDescent="0.2">
      <c r="A45" s="1">
        <f>[1]ArdiData!A46</f>
        <v>44</v>
      </c>
      <c r="B45" s="18">
        <f ca="1">'0.ArdiData&amp;FixedData'!D46</f>
        <v>8539</v>
      </c>
      <c r="C45" s="75">
        <f t="shared" ca="1" si="10"/>
        <v>8120.4</v>
      </c>
      <c r="D45" s="83">
        <f t="shared" ca="1" si="6"/>
        <v>8219.031221461184</v>
      </c>
      <c r="E45" s="83">
        <f t="shared" ca="1" si="7"/>
        <v>1.038930230329741</v>
      </c>
      <c r="F45" s="82">
        <f t="shared" si="8"/>
        <v>4</v>
      </c>
      <c r="G45" s="2">
        <f t="shared" ca="1" si="9"/>
        <v>8851.7309776736274</v>
      </c>
    </row>
    <row r="46" spans="1:7" x14ac:dyDescent="0.2">
      <c r="A46" s="1">
        <f>[1]ArdiData!A47</f>
        <v>45</v>
      </c>
      <c r="B46" s="18">
        <f ca="1">'0.ArdiData&amp;FixedData'!D47</f>
        <v>9743</v>
      </c>
      <c r="C46" s="75">
        <f t="shared" ca="1" si="10"/>
        <v>8361.7999999999993</v>
      </c>
      <c r="D46" s="83">
        <f t="shared" ca="1" si="6"/>
        <v>8371.6355022831012</v>
      </c>
      <c r="E46" s="83">
        <f t="shared" ca="1" si="7"/>
        <v>1.1638108225498951</v>
      </c>
      <c r="F46" s="82">
        <f t="shared" si="8"/>
        <v>5</v>
      </c>
      <c r="G46" s="2">
        <f t="shared" ca="1" si="9"/>
        <v>9413.1027413090433</v>
      </c>
    </row>
    <row r="47" spans="1:7" x14ac:dyDescent="0.2">
      <c r="A47" s="1">
        <f>[1]ArdiData!A48</f>
        <v>46</v>
      </c>
      <c r="B47" s="18">
        <f ca="1">'0.ArdiData&amp;FixedData'!D48</f>
        <v>7741</v>
      </c>
      <c r="C47" s="75">
        <f t="shared" ca="1" si="10"/>
        <v>8554.2000000000007</v>
      </c>
      <c r="D47" s="83">
        <f t="shared" ca="1" si="6"/>
        <v>8524.2397831050203</v>
      </c>
      <c r="E47" s="83">
        <f t="shared" ca="1" si="7"/>
        <v>0.9081161718775913</v>
      </c>
      <c r="F47" s="82">
        <f t="shared" si="8"/>
        <v>1</v>
      </c>
      <c r="G47" s="2">
        <f t="shared" ca="1" si="9"/>
        <v>7401.6202629662366</v>
      </c>
    </row>
    <row r="48" spans="1:7" x14ac:dyDescent="0.2">
      <c r="A48" s="1">
        <f>[1]ArdiData!A49</f>
        <v>47</v>
      </c>
      <c r="B48" s="18">
        <f ca="1">'0.ArdiData&amp;FixedData'!D49</f>
        <v>8135</v>
      </c>
      <c r="C48" s="75">
        <f t="shared" ca="1" si="10"/>
        <v>8603.6</v>
      </c>
      <c r="D48" s="83">
        <f t="shared" ca="1" si="6"/>
        <v>8676.8440639269375</v>
      </c>
      <c r="E48" s="83">
        <f t="shared" ca="1" si="7"/>
        <v>0.93755286369849644</v>
      </c>
      <c r="F48" s="82">
        <f t="shared" si="8"/>
        <v>2</v>
      </c>
      <c r="G48" s="2">
        <f t="shared" ca="1" si="9"/>
        <v>8158.1939482097278</v>
      </c>
    </row>
    <row r="49" spans="1:7" x14ac:dyDescent="0.2">
      <c r="A49" s="1">
        <f>[1]ArdiData!A50</f>
        <v>48</v>
      </c>
      <c r="B49" s="18">
        <f ca="1">'0.ArdiData&amp;FixedData'!D50</f>
        <v>8613</v>
      </c>
      <c r="C49" s="75">
        <f t="shared" ca="1" si="10"/>
        <v>8804.4</v>
      </c>
      <c r="D49" s="83">
        <f t="shared" ca="1" si="6"/>
        <v>8829.4483447488565</v>
      </c>
      <c r="E49" s="83">
        <f t="shared" ca="1" si="7"/>
        <v>0.97548563213718953</v>
      </c>
      <c r="F49" s="82">
        <f t="shared" si="8"/>
        <v>3</v>
      </c>
      <c r="G49" s="2">
        <f t="shared" ca="1" si="9"/>
        <v>8741.9242200094868</v>
      </c>
    </row>
    <row r="50" spans="1:7" x14ac:dyDescent="0.2">
      <c r="A50" s="1">
        <f>[1]ArdiData!A51</f>
        <v>49</v>
      </c>
      <c r="B50" s="18">
        <f ca="1">'0.ArdiData&amp;FixedData'!D51</f>
        <v>8786</v>
      </c>
      <c r="C50" s="75">
        <f t="shared" ca="1" si="10"/>
        <v>9073.7999999999993</v>
      </c>
      <c r="D50" s="83">
        <f t="shared" ca="1" si="6"/>
        <v>8982.0526255707737</v>
      </c>
      <c r="E50" s="83">
        <f t="shared" ca="1" si="7"/>
        <v>0.97817284826269701</v>
      </c>
      <c r="F50" s="82">
        <f t="shared" si="8"/>
        <v>4</v>
      </c>
      <c r="G50" s="2">
        <f t="shared" ca="1" si="9"/>
        <v>9673.4896518284313</v>
      </c>
    </row>
    <row r="51" spans="1:7" x14ac:dyDescent="0.2">
      <c r="A51" s="1">
        <f>[1]ArdiData!A52</f>
        <v>50</v>
      </c>
      <c r="B51" s="18">
        <f ca="1">'0.ArdiData&amp;FixedData'!D52</f>
        <v>10747</v>
      </c>
      <c r="C51" s="75">
        <f t="shared" ca="1" si="10"/>
        <v>9227.2000000000007</v>
      </c>
      <c r="D51" s="83">
        <f t="shared" ca="1" si="6"/>
        <v>9134.6569063926909</v>
      </c>
      <c r="E51" s="83">
        <f t="shared" ca="1" si="7"/>
        <v>1.1765083363425446</v>
      </c>
      <c r="F51" s="82">
        <f t="shared" si="8"/>
        <v>5</v>
      </c>
      <c r="G51" s="2">
        <f t="shared" ca="1" si="9"/>
        <v>10271.047269441291</v>
      </c>
    </row>
    <row r="52" spans="1:7" x14ac:dyDescent="0.2">
      <c r="A52" s="1">
        <f>[1]ArdiData!A53</f>
        <v>51</v>
      </c>
      <c r="B52" s="18">
        <f ca="1">'0.ArdiData&amp;FixedData'!D53</f>
        <v>9088</v>
      </c>
      <c r="C52" s="75">
        <f t="shared" ca="1" si="10"/>
        <v>9369.7999999999993</v>
      </c>
      <c r="D52" s="83">
        <f t="shared" ca="1" si="6"/>
        <v>9287.2611872146081</v>
      </c>
      <c r="E52" s="83">
        <f t="shared" ca="1" si="7"/>
        <v>0.97854467714454685</v>
      </c>
      <c r="F52" s="82">
        <f t="shared" si="8"/>
        <v>1</v>
      </c>
      <c r="G52" s="2">
        <f t="shared" ca="1" si="9"/>
        <v>8064.1537943349767</v>
      </c>
    </row>
    <row r="53" spans="1:7" x14ac:dyDescent="0.2">
      <c r="A53" s="1">
        <f>[1]ArdiData!A54</f>
        <v>52</v>
      </c>
      <c r="B53" s="18">
        <f ca="1">'0.ArdiData&amp;FixedData'!D54</f>
        <v>8902</v>
      </c>
      <c r="C53" s="75">
        <f t="shared" ca="1" si="10"/>
        <v>9650.2000000000007</v>
      </c>
      <c r="D53" s="83">
        <f t="shared" ca="1" si="6"/>
        <v>9439.8654680365253</v>
      </c>
      <c r="E53" s="83">
        <f t="shared" ca="1" si="7"/>
        <v>0.94302191383365119</v>
      </c>
      <c r="F53" s="82">
        <f t="shared" si="8"/>
        <v>2</v>
      </c>
      <c r="G53" s="2">
        <f t="shared" ca="1" si="9"/>
        <v>8875.6064723370873</v>
      </c>
    </row>
    <row r="54" spans="1:7" x14ac:dyDescent="0.2">
      <c r="A54" s="1">
        <f>[1]ArdiData!A55</f>
        <v>53</v>
      </c>
      <c r="B54" s="18">
        <f ca="1">'0.ArdiData&amp;FixedData'!D55</f>
        <v>9326</v>
      </c>
      <c r="C54" s="75">
        <f t="shared" ca="1" si="10"/>
        <v>9927.6</v>
      </c>
      <c r="D54" s="83">
        <f t="shared" ca="1" si="6"/>
        <v>9592.4697488584443</v>
      </c>
      <c r="E54" s="83">
        <f t="shared" ca="1" si="7"/>
        <v>0.97222094457059349</v>
      </c>
      <c r="F54" s="82">
        <f t="shared" si="8"/>
        <v>3</v>
      </c>
      <c r="G54" s="2">
        <f t="shared" ca="1" si="9"/>
        <v>9497.3819827742773</v>
      </c>
    </row>
    <row r="55" spans="1:7" x14ac:dyDescent="0.2">
      <c r="A55" s="1">
        <f>[1]ArdiData!A56</f>
        <v>54</v>
      </c>
      <c r="B55" s="18">
        <f ca="1">'0.ArdiData&amp;FixedData'!D56</f>
        <v>10188</v>
      </c>
      <c r="C55" s="75">
        <f t="shared" ca="1" si="10"/>
        <v>9920.6</v>
      </c>
      <c r="D55" s="83">
        <f t="shared" ca="1" si="6"/>
        <v>9745.0740296803633</v>
      </c>
      <c r="E55" s="83">
        <f t="shared" ca="1" si="7"/>
        <v>1.0454512678888459</v>
      </c>
      <c r="F55" s="82">
        <f t="shared" si="8"/>
        <v>4</v>
      </c>
      <c r="G55" s="2">
        <f t="shared" ca="1" si="9"/>
        <v>10495.248325983237</v>
      </c>
    </row>
    <row r="56" spans="1:7" x14ac:dyDescent="0.2">
      <c r="A56" s="1">
        <f>[1]ArdiData!A57</f>
        <v>55</v>
      </c>
      <c r="B56" s="18">
        <f ca="1">'0.ArdiData&amp;FixedData'!D57</f>
        <v>12134</v>
      </c>
      <c r="C56" s="75">
        <f t="shared" ca="1" si="10"/>
        <v>10160.200000000001</v>
      </c>
      <c r="D56" s="83">
        <f t="shared" ca="1" si="6"/>
        <v>9897.6783105022805</v>
      </c>
      <c r="E56" s="83">
        <f t="shared" ca="1" si="7"/>
        <v>1.2259440668146178</v>
      </c>
      <c r="F56" s="82">
        <f t="shared" si="8"/>
        <v>5</v>
      </c>
      <c r="G56" s="2">
        <f t="shared" ca="1" si="9"/>
        <v>11128.991797573539</v>
      </c>
    </row>
    <row r="57" spans="1:7" x14ac:dyDescent="0.2">
      <c r="A57" s="1">
        <f>[1]ArdiData!A58</f>
        <v>56</v>
      </c>
      <c r="B57" s="18">
        <f ca="1">'0.ArdiData&amp;FixedData'!D58</f>
        <v>9053</v>
      </c>
      <c r="C57" s="75">
        <f t="shared" ca="1" si="10"/>
        <v>10092.200000000001</v>
      </c>
      <c r="D57" s="83">
        <f t="shared" ca="1" si="6"/>
        <v>10050.282591324198</v>
      </c>
      <c r="E57" s="83">
        <f t="shared" ca="1" si="7"/>
        <v>0.90077069154402767</v>
      </c>
      <c r="F57" s="82">
        <f t="shared" si="8"/>
        <v>1</v>
      </c>
      <c r="G57" s="2">
        <f t="shared" ca="1" si="9"/>
        <v>8726.6873257037187</v>
      </c>
    </row>
    <row r="58" spans="1:7" x14ac:dyDescent="0.2">
      <c r="A58" s="1">
        <f>[1]ArdiData!A59</f>
        <v>57</v>
      </c>
      <c r="B58" s="18">
        <f ca="1">'0.ArdiData&amp;FixedData'!D59</f>
        <v>10100</v>
      </c>
      <c r="C58" s="75">
        <f t="shared" ca="1" si="10"/>
        <v>10299</v>
      </c>
      <c r="D58" s="83">
        <f t="shared" ca="1" si="6"/>
        <v>10202.886872146115</v>
      </c>
      <c r="E58" s="83">
        <f t="shared" ca="1" si="7"/>
        <v>0.98991590581808797</v>
      </c>
      <c r="F58" s="82">
        <f t="shared" si="8"/>
        <v>2</v>
      </c>
      <c r="G58" s="2">
        <f t="shared" ca="1" si="9"/>
        <v>9593.0189964644505</v>
      </c>
    </row>
    <row r="59" spans="1:7" x14ac:dyDescent="0.2">
      <c r="A59" s="1">
        <f>[1]ArdiData!A60</f>
        <v>58</v>
      </c>
      <c r="B59" s="18">
        <f ca="1">'0.ArdiData&amp;FixedData'!D60</f>
        <v>8986</v>
      </c>
      <c r="C59" s="75">
        <f t="shared" ca="1" si="10"/>
        <v>10299.200000000001</v>
      </c>
      <c r="D59" s="83">
        <f t="shared" ca="1" si="6"/>
        <v>10355.491152968032</v>
      </c>
      <c r="E59" s="83">
        <f t="shared" ca="1" si="7"/>
        <v>0.86775217778294211</v>
      </c>
      <c r="F59" s="82">
        <f t="shared" si="8"/>
        <v>3</v>
      </c>
      <c r="G59" s="2">
        <f t="shared" ca="1" si="9"/>
        <v>10252.839745539068</v>
      </c>
    </row>
    <row r="60" spans="1:7" x14ac:dyDescent="0.2">
      <c r="A60" s="1">
        <f>[1]ArdiData!A61</f>
        <v>59</v>
      </c>
      <c r="B60" s="18">
        <f ca="1">'0.ArdiData&amp;FixedData'!D61</f>
        <v>11222</v>
      </c>
      <c r="C60" s="75">
        <f t="shared" ca="1" si="10"/>
        <v>10622.8</v>
      </c>
      <c r="D60" s="83">
        <f t="shared" ca="1" si="6"/>
        <v>10508.095433789949</v>
      </c>
      <c r="E60" s="83">
        <f t="shared" ca="1" si="7"/>
        <v>1.0679385308887099</v>
      </c>
      <c r="F60" s="82">
        <f t="shared" si="8"/>
        <v>4</v>
      </c>
      <c r="G60" s="2">
        <f t="shared" ca="1" si="9"/>
        <v>11317.007000138035</v>
      </c>
    </row>
    <row r="61" spans="1:7" x14ac:dyDescent="0.2">
      <c r="A61" s="1">
        <f>[1]ArdiData!A62</f>
        <v>60</v>
      </c>
      <c r="B61" s="18">
        <f ca="1">'0.ArdiData&amp;FixedData'!D62</f>
        <v>12135</v>
      </c>
      <c r="C61" s="75">
        <f t="shared" ca="1" si="10"/>
        <v>10423.4</v>
      </c>
      <c r="D61" s="83">
        <f t="shared" ca="1" si="6"/>
        <v>10660.69971461187</v>
      </c>
      <c r="E61" s="83">
        <f t="shared" ca="1" si="7"/>
        <v>1.1382930131093938</v>
      </c>
      <c r="F61" s="82">
        <f t="shared" si="8"/>
        <v>5</v>
      </c>
      <c r="G61" s="2">
        <f t="shared" ca="1" si="9"/>
        <v>11986.936325705787</v>
      </c>
    </row>
    <row r="62" spans="1:7" x14ac:dyDescent="0.2">
      <c r="A62" s="1">
        <f>[1]ArdiData!A63</f>
        <v>61</v>
      </c>
      <c r="B62" s="18">
        <f ca="1">'0.ArdiData&amp;FixedData'!D63</f>
        <v>10671</v>
      </c>
      <c r="C62" s="75">
        <f t="shared" ca="1" si="10"/>
        <v>10763.8</v>
      </c>
      <c r="D62" s="83">
        <f t="shared" ca="1" si="6"/>
        <v>10813.303995433787</v>
      </c>
      <c r="E62" s="83">
        <f t="shared" ca="1" si="7"/>
        <v>0.98683991539552762</v>
      </c>
      <c r="F62" s="82">
        <f t="shared" si="8"/>
        <v>1</v>
      </c>
      <c r="G62" s="2">
        <f t="shared" ca="1" si="9"/>
        <v>9389.2208570724597</v>
      </c>
    </row>
    <row r="63" spans="1:7" x14ac:dyDescent="0.2">
      <c r="A63" s="1">
        <f>[1]ArdiData!A64</f>
        <v>62</v>
      </c>
      <c r="B63" s="18">
        <f ca="1">'0.ArdiData&amp;FixedData'!D64</f>
        <v>9103</v>
      </c>
      <c r="C63" s="75">
        <f t="shared" ca="1" si="10"/>
        <v>11004.6</v>
      </c>
      <c r="D63" s="83">
        <f t="shared" ca="1" si="6"/>
        <v>10965.908276255705</v>
      </c>
      <c r="E63" s="83">
        <f t="shared" ca="1" si="7"/>
        <v>0.83011819638420392</v>
      </c>
      <c r="F63" s="82">
        <f t="shared" si="8"/>
        <v>2</v>
      </c>
      <c r="G63" s="2">
        <f t="shared" ca="1" si="9"/>
        <v>10310.431520591812</v>
      </c>
    </row>
    <row r="64" spans="1:7" x14ac:dyDescent="0.2">
      <c r="A64" s="1">
        <f>[1]ArdiData!A65</f>
        <v>63</v>
      </c>
      <c r="B64" s="18">
        <f ca="1">'0.ArdiData&amp;FixedData'!D65</f>
        <v>10688</v>
      </c>
      <c r="C64" s="75">
        <f t="shared" ca="1" si="10"/>
        <v>11057.6</v>
      </c>
      <c r="D64" s="83">
        <f t="shared" ca="1" si="6"/>
        <v>11118.512557077622</v>
      </c>
      <c r="E64" s="83">
        <f t="shared" ca="1" si="7"/>
        <v>0.96127966264663933</v>
      </c>
      <c r="F64" s="82">
        <f t="shared" si="8"/>
        <v>3</v>
      </c>
      <c r="G64" s="2">
        <f t="shared" ca="1" si="9"/>
        <v>11008.29750830386</v>
      </c>
    </row>
    <row r="65" spans="1:7" x14ac:dyDescent="0.2">
      <c r="A65" s="1">
        <f>[1]ArdiData!A66</f>
        <v>64</v>
      </c>
      <c r="B65" s="18">
        <f ca="1">'0.ArdiData&amp;FixedData'!D66</f>
        <v>12426</v>
      </c>
      <c r="C65" s="75">
        <f t="shared" ca="1" si="10"/>
        <v>10681.6</v>
      </c>
      <c r="D65" s="83">
        <f t="shared" ca="1" si="6"/>
        <v>11271.116837899539</v>
      </c>
      <c r="E65" s="83">
        <f t="shared" ca="1" si="7"/>
        <v>1.1024639508852507</v>
      </c>
      <c r="F65" s="82">
        <f t="shared" si="8"/>
        <v>4</v>
      </c>
      <c r="G65" s="2">
        <f t="shared" ca="1" si="9"/>
        <v>12138.765674292841</v>
      </c>
    </row>
    <row r="66" spans="1:7" x14ac:dyDescent="0.2">
      <c r="A66" s="1">
        <f>[1]ArdiData!A67</f>
        <v>65</v>
      </c>
      <c r="B66" s="18">
        <f ca="1">'0.ArdiData&amp;FixedData'!D67</f>
        <v>12400</v>
      </c>
      <c r="C66" s="75">
        <f t="shared" ca="1" si="10"/>
        <v>11014.4</v>
      </c>
      <c r="D66" s="83">
        <f t="shared" ca="1" si="6"/>
        <v>11423.721118721456</v>
      </c>
      <c r="E66" s="83">
        <f t="shared" ca="1" si="7"/>
        <v>1.0854606718014672</v>
      </c>
      <c r="F66" s="82">
        <f t="shared" si="8"/>
        <v>5</v>
      </c>
      <c r="G66" s="2">
        <f t="shared" ca="1" si="9"/>
        <v>12844.880853838031</v>
      </c>
    </row>
    <row r="67" spans="1:7" x14ac:dyDescent="0.2">
      <c r="A67" s="1">
        <f>[1]ArdiData!A68</f>
        <v>66</v>
      </c>
      <c r="B67" s="18">
        <f ca="1">'0.ArdiData&amp;FixedData'!D68</f>
        <v>8791</v>
      </c>
      <c r="C67" s="75">
        <f t="shared" ca="1" si="10"/>
        <v>11294</v>
      </c>
      <c r="D67" s="83">
        <f t="shared" ca="1" si="6"/>
        <v>11576.325399543377</v>
      </c>
      <c r="E67" s="83">
        <f t="shared" ca="1" si="7"/>
        <v>0.7593946867066087</v>
      </c>
      <c r="F67" s="82">
        <f t="shared" si="8"/>
        <v>1</v>
      </c>
      <c r="G67" s="2">
        <f t="shared" ca="1" si="9"/>
        <v>10051.754388441203</v>
      </c>
    </row>
    <row r="68" spans="1:7" x14ac:dyDescent="0.2">
      <c r="A68" s="1">
        <f>[1]ArdiData!A69</f>
        <v>67</v>
      </c>
      <c r="B68" s="18">
        <f ca="1">'0.ArdiData&amp;FixedData'!D69</f>
        <v>10767</v>
      </c>
      <c r="C68" s="75">
        <f t="shared" ca="1" si="10"/>
        <v>11384</v>
      </c>
      <c r="D68" s="83">
        <f t="shared" ref="D68:D76" ca="1" si="11">TREND($C$4:$C$76,$A$4:$A$76,A68)</f>
        <v>11728.929680365294</v>
      </c>
      <c r="E68" s="83">
        <f t="shared" ref="E68:E76" ca="1" si="12">B68/D68</f>
        <v>0.9179865762196866</v>
      </c>
      <c r="F68" s="82">
        <f t="shared" ref="F68:F76" si="13">IF(MOD(A68,5)&lt;&gt;0,MOD(A68,5),5)</f>
        <v>2</v>
      </c>
      <c r="G68" s="2">
        <f t="shared" ref="G68:G76" ca="1" si="14">VLOOKUP(F68,$H$1:$J$5,3)*D68</f>
        <v>11027.844044719173</v>
      </c>
    </row>
    <row r="69" spans="1:7" x14ac:dyDescent="0.2">
      <c r="A69" s="1">
        <f>[1]ArdiData!A70</f>
        <v>68</v>
      </c>
      <c r="B69" s="18">
        <f ca="1">'0.ArdiData&amp;FixedData'!D70</f>
        <v>12086</v>
      </c>
      <c r="C69" s="75">
        <f t="shared" ref="C69:C76" ca="1" si="15">AVERAGE(B67:B71)</f>
        <v>11648.6</v>
      </c>
      <c r="D69" s="83">
        <f t="shared" ca="1" si="11"/>
        <v>11881.533961187211</v>
      </c>
      <c r="E69" s="83">
        <f t="shared" ca="1" si="12"/>
        <v>1.017208724014989</v>
      </c>
      <c r="F69" s="82">
        <f t="shared" si="13"/>
        <v>3</v>
      </c>
      <c r="G69" s="2">
        <f t="shared" ca="1" si="14"/>
        <v>11763.755271068652</v>
      </c>
    </row>
    <row r="70" spans="1:7" x14ac:dyDescent="0.2">
      <c r="A70" s="1">
        <f>[1]ArdiData!A71</f>
        <v>69</v>
      </c>
      <c r="B70" s="18">
        <f ca="1">'0.ArdiData&amp;FixedData'!D71</f>
        <v>12876</v>
      </c>
      <c r="C70" s="75">
        <f t="shared" ca="1" si="15"/>
        <v>11898.8</v>
      </c>
      <c r="D70" s="83">
        <f t="shared" ca="1" si="11"/>
        <v>12034.138242009129</v>
      </c>
      <c r="E70" s="83">
        <f t="shared" ca="1" si="12"/>
        <v>1.0699561315534896</v>
      </c>
      <c r="F70" s="82">
        <f t="shared" si="13"/>
        <v>4</v>
      </c>
      <c r="G70" s="2">
        <f t="shared" ca="1" si="14"/>
        <v>12960.524348447645</v>
      </c>
    </row>
    <row r="71" spans="1:7" x14ac:dyDescent="0.2">
      <c r="A71" s="1">
        <f>[1]ArdiData!A72</f>
        <v>70</v>
      </c>
      <c r="B71" s="18">
        <f ca="1">'0.ArdiData&amp;FixedData'!D72</f>
        <v>13723</v>
      </c>
      <c r="C71" s="75">
        <f t="shared" ca="1" si="15"/>
        <v>12179.2</v>
      </c>
      <c r="D71" s="83">
        <f t="shared" ca="1" si="11"/>
        <v>12186.742522831046</v>
      </c>
      <c r="E71" s="83">
        <f t="shared" ca="1" si="12"/>
        <v>1.126059730423522</v>
      </c>
      <c r="F71" s="82">
        <f t="shared" si="13"/>
        <v>5</v>
      </c>
      <c r="G71" s="2">
        <f t="shared" ca="1" si="14"/>
        <v>13702.82538197028</v>
      </c>
    </row>
    <row r="72" spans="1:7" x14ac:dyDescent="0.2">
      <c r="A72" s="1">
        <f>[1]ArdiData!A73</f>
        <v>71</v>
      </c>
      <c r="B72" s="18">
        <f ca="1">'0.ArdiData&amp;FixedData'!D73</f>
        <v>10042</v>
      </c>
      <c r="C72" s="75">
        <f t="shared" ca="1" si="15"/>
        <v>12419</v>
      </c>
      <c r="D72" s="83">
        <f t="shared" ca="1" si="11"/>
        <v>12339.346803652963</v>
      </c>
      <c r="E72" s="83">
        <f t="shared" ca="1" si="12"/>
        <v>0.81381941522440615</v>
      </c>
      <c r="F72" s="82">
        <f t="shared" si="13"/>
        <v>1</v>
      </c>
      <c r="G72" s="2">
        <f t="shared" ca="1" si="14"/>
        <v>10714.287919809942</v>
      </c>
    </row>
    <row r="73" spans="1:7" x14ac:dyDescent="0.2">
      <c r="A73" s="1">
        <f>[1]ArdiData!A74</f>
        <v>72</v>
      </c>
      <c r="B73" s="18">
        <f ca="1">'0.ArdiData&amp;FixedData'!D74</f>
        <v>12169</v>
      </c>
      <c r="C73" s="75">
        <f t="shared" ca="1" si="15"/>
        <v>12699.8</v>
      </c>
      <c r="D73" s="83">
        <f t="shared" ca="1" si="11"/>
        <v>12491.95108447488</v>
      </c>
      <c r="E73" s="83">
        <f t="shared" ca="1" si="12"/>
        <v>0.97414726632445381</v>
      </c>
      <c r="F73" s="82">
        <f t="shared" si="13"/>
        <v>2</v>
      </c>
      <c r="G73" s="2">
        <f t="shared" ca="1" si="14"/>
        <v>11745.256568846533</v>
      </c>
    </row>
    <row r="74" spans="1:7" x14ac:dyDescent="0.2">
      <c r="A74" s="1">
        <f>[1]ArdiData!A75</f>
        <v>73</v>
      </c>
      <c r="B74" s="18">
        <f ca="1">'0.ArdiData&amp;FixedData'!D75</f>
        <v>13285</v>
      </c>
      <c r="C74" s="75">
        <f t="shared" ca="1" si="15"/>
        <v>12709.4</v>
      </c>
      <c r="D74" s="83">
        <f t="shared" ca="1" si="11"/>
        <v>12644.555365296801</v>
      </c>
      <c r="E74" s="83">
        <f t="shared" ca="1" si="12"/>
        <v>1.0506498343517012</v>
      </c>
      <c r="F74" s="82">
        <f t="shared" si="13"/>
        <v>3</v>
      </c>
      <c r="G74" s="2">
        <f t="shared" ca="1" si="14"/>
        <v>12519.213033833445</v>
      </c>
    </row>
    <row r="75" spans="1:7" x14ac:dyDescent="0.2">
      <c r="A75" s="1">
        <f>[1]ArdiData!A76</f>
        <v>74</v>
      </c>
      <c r="B75" s="18">
        <f ca="1">'0.ArdiData&amp;FixedData'!D76</f>
        <v>14280</v>
      </c>
      <c r="C75" s="75">
        <f t="shared" ca="1" si="15"/>
        <v>13376.25</v>
      </c>
      <c r="D75" s="83">
        <f t="shared" ca="1" si="11"/>
        <v>12797.159646118718</v>
      </c>
      <c r="E75" s="83">
        <f t="shared" ca="1" si="12"/>
        <v>1.1158726150869749</v>
      </c>
      <c r="F75" s="82">
        <f t="shared" si="13"/>
        <v>4</v>
      </c>
      <c r="G75" s="2">
        <f t="shared" ca="1" si="14"/>
        <v>13782.283022602449</v>
      </c>
    </row>
    <row r="76" spans="1:7" x14ac:dyDescent="0.2">
      <c r="A76" s="1">
        <f>[1]ArdiData!A77</f>
        <v>75</v>
      </c>
      <c r="B76" s="18">
        <f ca="1">'0.ArdiData&amp;FixedData'!D77</f>
        <v>13771</v>
      </c>
      <c r="C76" s="75">
        <f t="shared" ca="1" si="15"/>
        <v>13778.666666666666</v>
      </c>
      <c r="D76" s="83">
        <f t="shared" ca="1" si="11"/>
        <v>12949.763926940635</v>
      </c>
      <c r="E76" s="83">
        <f t="shared" ca="1" si="12"/>
        <v>1.0634170690440825</v>
      </c>
      <c r="F76" s="82">
        <f t="shared" si="13"/>
        <v>5</v>
      </c>
      <c r="G76" s="2">
        <f t="shared" ca="1" si="14"/>
        <v>14560.769910102528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89"/>
  <sheetViews>
    <sheetView workbookViewId="0">
      <selection activeCell="S16" sqref="S16"/>
    </sheetView>
  </sheetViews>
  <sheetFormatPr defaultRowHeight="12.75" x14ac:dyDescent="0.2"/>
  <cols>
    <col min="1" max="1" width="4.42578125" style="2" bestFit="1" customWidth="1"/>
    <col min="2" max="2" width="9.5703125" style="2" bestFit="1" customWidth="1"/>
    <col min="3" max="3" width="6.140625" style="2" bestFit="1" customWidth="1"/>
    <col min="4" max="4" width="11.5703125" style="2" bestFit="1" customWidth="1"/>
    <col min="5" max="5" width="9.140625" style="55" customWidth="1"/>
    <col min="6" max="6" width="4.42578125" style="2" bestFit="1" customWidth="1"/>
    <col min="7" max="14" width="9.140625" style="2"/>
    <col min="15" max="15" width="12.28515625" style="2" customWidth="1"/>
    <col min="16" max="16384" width="9.140625" style="2"/>
  </cols>
  <sheetData>
    <row r="1" spans="1:21" ht="15.75" thickBot="1" x14ac:dyDescent="0.3">
      <c r="A1" s="37" t="s">
        <v>33</v>
      </c>
      <c r="B1" s="38"/>
      <c r="C1" s="39"/>
      <c r="D1" s="38"/>
      <c r="E1" s="61"/>
      <c r="G1" s="2" t="s">
        <v>34</v>
      </c>
      <c r="L1" s="40"/>
      <c r="M1" s="42" t="s">
        <v>23</v>
      </c>
      <c r="N1" s="42"/>
      <c r="O1" s="42"/>
      <c r="P1" s="40"/>
      <c r="Q1" s="40"/>
      <c r="R1" s="43">
        <f ca="1">RANDBETWEEN(100,150)</f>
        <v>103</v>
      </c>
      <c r="S1" s="44">
        <f ca="1">RANDBETWEEN(5,15)</f>
        <v>10</v>
      </c>
      <c r="T1" s="43">
        <v>0.1</v>
      </c>
      <c r="U1" s="40"/>
    </row>
    <row r="2" spans="1:21" ht="15.75" thickBot="1" x14ac:dyDescent="0.3">
      <c r="A2" s="45" t="s">
        <v>4</v>
      </c>
      <c r="B2" s="60" t="s">
        <v>31</v>
      </c>
      <c r="C2" s="46" t="s">
        <v>24</v>
      </c>
      <c r="D2" s="57" t="s">
        <v>28</v>
      </c>
      <c r="F2" s="13" t="s">
        <v>4</v>
      </c>
      <c r="G2" s="35" t="s">
        <v>31</v>
      </c>
      <c r="H2" s="35" t="s">
        <v>24</v>
      </c>
      <c r="I2" s="35" t="s">
        <v>28</v>
      </c>
      <c r="L2" s="40"/>
      <c r="M2" s="43"/>
      <c r="N2" s="43"/>
      <c r="O2" s="58" t="s">
        <v>30</v>
      </c>
      <c r="P2" s="41" t="s">
        <v>25</v>
      </c>
      <c r="Q2" s="41" t="s">
        <v>26</v>
      </c>
      <c r="R2" s="59"/>
      <c r="S2" s="47"/>
      <c r="T2" s="40"/>
      <c r="U2" s="40"/>
    </row>
    <row r="3" spans="1:21" ht="15" x14ac:dyDescent="0.25">
      <c r="A3" s="48">
        <v>1</v>
      </c>
      <c r="B3" s="49">
        <f t="shared" ref="B3:B66" ca="1" si="0">INDEX($Q$3:$Q$77,RANK(L3,$L$3:$L$77))</f>
        <v>7640</v>
      </c>
      <c r="C3" s="50">
        <f ca="1">SMALL($Q$3:$Q$77,M3)</f>
        <v>1514</v>
      </c>
      <c r="D3" s="51">
        <f ca="1">Q3</f>
        <v>1514</v>
      </c>
      <c r="E3" s="54"/>
      <c r="F3" s="13">
        <v>1</v>
      </c>
      <c r="G3" s="35">
        <v>10208</v>
      </c>
      <c r="H3" s="35">
        <v>1436</v>
      </c>
      <c r="I3" s="35">
        <v>1436</v>
      </c>
      <c r="L3" s="40">
        <f t="shared" ref="L3:L66" ca="1" si="1">RAND()</f>
        <v>0.54987644421504367</v>
      </c>
      <c r="M3" s="43">
        <v>1</v>
      </c>
      <c r="N3" s="43">
        <v>1</v>
      </c>
      <c r="O3" s="43">
        <f ca="1">INT($R$1+$S$1*N3)</f>
        <v>113</v>
      </c>
      <c r="P3" s="52">
        <f ca="1">(((IF(MOD(N3,5)&lt;&gt;0,MOD(N3,5),5))+12)+_xlfn.NORM.S.INV(RAND()))</f>
        <v>13.394822074117892</v>
      </c>
      <c r="Q3" s="40">
        <f ca="1">ROUND(O3*P3,0)</f>
        <v>1514</v>
      </c>
      <c r="R3" s="40"/>
      <c r="S3" s="47"/>
      <c r="T3" s="40"/>
      <c r="U3" s="40"/>
    </row>
    <row r="4" spans="1:21" ht="15" x14ac:dyDescent="0.25">
      <c r="A4" s="48">
        <v>2</v>
      </c>
      <c r="B4" s="49">
        <f t="shared" ca="1" si="0"/>
        <v>2437</v>
      </c>
      <c r="C4" s="50">
        <f t="shared" ref="C4:C67" ca="1" si="2">SMALL($Q$3:$Q$77,M4)</f>
        <v>1790</v>
      </c>
      <c r="D4" s="51">
        <f t="shared" ref="D4:D67" ca="1" si="3">Q4</f>
        <v>1790</v>
      </c>
      <c r="E4" s="54"/>
      <c r="F4" s="13">
        <v>2</v>
      </c>
      <c r="G4" s="35">
        <v>7226</v>
      </c>
      <c r="H4" s="35">
        <v>1690</v>
      </c>
      <c r="I4" s="35">
        <v>1690</v>
      </c>
      <c r="L4" s="40">
        <f t="shared" ca="1" si="1"/>
        <v>0.93318540556832119</v>
      </c>
      <c r="M4" s="43">
        <v>2</v>
      </c>
      <c r="N4" s="43">
        <v>2</v>
      </c>
      <c r="O4" s="43">
        <f t="shared" ref="O4:O67" ca="1" si="4">INT($R$1+$S$1*N4)</f>
        <v>123</v>
      </c>
      <c r="P4" s="52">
        <f t="shared" ref="P4:P67" ca="1" si="5">(((IF(MOD(N4,5)&lt;&gt;0,MOD(N4,5),5))+12)+_xlfn.NORM.S.INV(RAND()))</f>
        <v>14.550889024820036</v>
      </c>
      <c r="Q4" s="40">
        <f t="shared" ref="Q4:Q67" ca="1" si="6">ROUND(O4*P4,0)</f>
        <v>1790</v>
      </c>
      <c r="R4" s="40"/>
      <c r="S4" s="47"/>
      <c r="T4" s="40"/>
      <c r="U4" s="40"/>
    </row>
    <row r="5" spans="1:21" ht="15" x14ac:dyDescent="0.25">
      <c r="A5" s="48">
        <v>3</v>
      </c>
      <c r="B5" s="49">
        <f t="shared" ca="1" si="0"/>
        <v>12134</v>
      </c>
      <c r="C5" s="50">
        <f t="shared" ca="1" si="2"/>
        <v>2094</v>
      </c>
      <c r="D5" s="51">
        <f t="shared" ca="1" si="3"/>
        <v>2197</v>
      </c>
      <c r="E5" s="54"/>
      <c r="F5" s="13">
        <v>3</v>
      </c>
      <c r="G5" s="35">
        <v>3498</v>
      </c>
      <c r="H5" s="35">
        <v>1909</v>
      </c>
      <c r="I5" s="35">
        <v>1909</v>
      </c>
      <c r="L5" s="40">
        <f t="shared" ca="1" si="1"/>
        <v>0.31702527751573928</v>
      </c>
      <c r="M5" s="43">
        <v>3</v>
      </c>
      <c r="N5" s="43">
        <v>3</v>
      </c>
      <c r="O5" s="43">
        <f t="shared" ca="1" si="4"/>
        <v>133</v>
      </c>
      <c r="P5" s="52">
        <f t="shared" ca="1" si="5"/>
        <v>16.51715397525636</v>
      </c>
      <c r="Q5" s="40">
        <f t="shared" ca="1" si="6"/>
        <v>2197</v>
      </c>
      <c r="R5" s="40"/>
      <c r="S5" s="47"/>
      <c r="T5" s="40"/>
      <c r="U5" s="40"/>
    </row>
    <row r="6" spans="1:21" ht="15" x14ac:dyDescent="0.25">
      <c r="A6" s="48">
        <v>4</v>
      </c>
      <c r="B6" s="49">
        <f t="shared" ca="1" si="0"/>
        <v>6923</v>
      </c>
      <c r="C6" s="50">
        <f t="shared" ca="1" si="2"/>
        <v>2197</v>
      </c>
      <c r="D6" s="51">
        <f t="shared" ca="1" si="3"/>
        <v>2343</v>
      </c>
      <c r="E6" s="54"/>
      <c r="F6" s="13">
        <v>4</v>
      </c>
      <c r="G6" s="35">
        <v>5654</v>
      </c>
      <c r="H6" s="35">
        <v>1984</v>
      </c>
      <c r="I6" s="35">
        <v>2078</v>
      </c>
      <c r="L6" s="40">
        <f t="shared" ca="1" si="1"/>
        <v>0.53462518641255352</v>
      </c>
      <c r="M6" s="43">
        <v>4</v>
      </c>
      <c r="N6" s="43">
        <v>4</v>
      </c>
      <c r="O6" s="43">
        <f t="shared" ca="1" si="4"/>
        <v>143</v>
      </c>
      <c r="P6" s="52">
        <f t="shared" ca="1" si="5"/>
        <v>16.382452463846413</v>
      </c>
      <c r="Q6" s="40">
        <f t="shared" ca="1" si="6"/>
        <v>2343</v>
      </c>
      <c r="R6" s="40"/>
      <c r="S6" s="47"/>
      <c r="T6" s="40"/>
      <c r="U6" s="40"/>
    </row>
    <row r="7" spans="1:21" ht="15" x14ac:dyDescent="0.25">
      <c r="A7" s="48">
        <v>5</v>
      </c>
      <c r="B7" s="49">
        <f t="shared" ca="1" si="0"/>
        <v>5513</v>
      </c>
      <c r="C7" s="50">
        <f t="shared" ca="1" si="2"/>
        <v>2321</v>
      </c>
      <c r="D7" s="51">
        <f t="shared" ca="1" si="3"/>
        <v>2437</v>
      </c>
      <c r="E7" s="54"/>
      <c r="F7" s="13">
        <v>5</v>
      </c>
      <c r="G7" s="35">
        <v>7172</v>
      </c>
      <c r="H7" s="35">
        <v>2078</v>
      </c>
      <c r="I7" s="35">
        <v>2490</v>
      </c>
      <c r="L7" s="40">
        <f t="shared" ca="1" si="1"/>
        <v>0.72835983978643826</v>
      </c>
      <c r="M7" s="43">
        <v>5</v>
      </c>
      <c r="N7" s="43">
        <v>5</v>
      </c>
      <c r="O7" s="43">
        <f t="shared" ca="1" si="4"/>
        <v>153</v>
      </c>
      <c r="P7" s="52">
        <f t="shared" ca="1" si="5"/>
        <v>15.927134234721482</v>
      </c>
      <c r="Q7" s="40">
        <f t="shared" ca="1" si="6"/>
        <v>2437</v>
      </c>
      <c r="R7" s="40"/>
      <c r="S7" s="47"/>
      <c r="T7" s="40"/>
      <c r="U7" s="40"/>
    </row>
    <row r="8" spans="1:21" ht="15" x14ac:dyDescent="0.25">
      <c r="A8" s="48">
        <v>6</v>
      </c>
      <c r="B8" s="49">
        <f t="shared" ca="1" si="0"/>
        <v>3435</v>
      </c>
      <c r="C8" s="50">
        <f t="shared" ca="1" si="2"/>
        <v>2343</v>
      </c>
      <c r="D8" s="51">
        <f t="shared" ca="1" si="3"/>
        <v>2094</v>
      </c>
      <c r="E8" s="54"/>
      <c r="F8" s="13">
        <v>6</v>
      </c>
      <c r="G8" s="35">
        <v>6532</v>
      </c>
      <c r="H8" s="35">
        <v>2216</v>
      </c>
      <c r="I8" s="35">
        <v>1984</v>
      </c>
      <c r="L8" s="40">
        <f t="shared" ca="1" si="1"/>
        <v>0.81869663037984397</v>
      </c>
      <c r="M8" s="43">
        <v>6</v>
      </c>
      <c r="N8" s="43">
        <v>6</v>
      </c>
      <c r="O8" s="43">
        <f t="shared" ca="1" si="4"/>
        <v>163</v>
      </c>
      <c r="P8" s="52">
        <f t="shared" ca="1" si="5"/>
        <v>12.849050662913578</v>
      </c>
      <c r="Q8" s="40">
        <f t="shared" ca="1" si="6"/>
        <v>2094</v>
      </c>
      <c r="R8" s="40"/>
      <c r="S8" s="47"/>
      <c r="T8" s="40"/>
      <c r="U8" s="40"/>
    </row>
    <row r="9" spans="1:21" ht="15" x14ac:dyDescent="0.25">
      <c r="A9" s="48">
        <v>7</v>
      </c>
      <c r="B9" s="49">
        <f t="shared" ca="1" si="0"/>
        <v>6928</v>
      </c>
      <c r="C9" s="50">
        <f t="shared" ca="1" si="2"/>
        <v>2687</v>
      </c>
      <c r="D9" s="51">
        <f t="shared" ca="1" si="3"/>
        <v>2321</v>
      </c>
      <c r="E9" s="54"/>
      <c r="F9" s="13">
        <v>7</v>
      </c>
      <c r="G9" s="35">
        <v>6032</v>
      </c>
      <c r="H9" s="35">
        <v>2452</v>
      </c>
      <c r="I9" s="35">
        <v>2216</v>
      </c>
      <c r="L9" s="40">
        <f t="shared" ca="1" si="1"/>
        <v>0.45909591773946923</v>
      </c>
      <c r="M9" s="43">
        <v>8</v>
      </c>
      <c r="N9" s="43">
        <v>7</v>
      </c>
      <c r="O9" s="43">
        <f t="shared" ca="1" si="4"/>
        <v>173</v>
      </c>
      <c r="P9" s="52">
        <f t="shared" ca="1" si="5"/>
        <v>13.414646823253161</v>
      </c>
      <c r="Q9" s="40">
        <f t="shared" ca="1" si="6"/>
        <v>2321</v>
      </c>
      <c r="R9" s="40"/>
      <c r="S9" s="47"/>
      <c r="T9" s="40"/>
      <c r="U9" s="40"/>
    </row>
    <row r="10" spans="1:21" ht="15" x14ac:dyDescent="0.25">
      <c r="A10" s="48">
        <v>8</v>
      </c>
      <c r="B10" s="49">
        <f t="shared" ca="1" si="0"/>
        <v>2795</v>
      </c>
      <c r="C10" s="50">
        <f t="shared" ca="1" si="2"/>
        <v>2437</v>
      </c>
      <c r="D10" s="51">
        <f t="shared" ca="1" si="3"/>
        <v>2795</v>
      </c>
      <c r="E10" s="54"/>
      <c r="F10" s="13">
        <v>8</v>
      </c>
      <c r="G10" s="35">
        <v>7472</v>
      </c>
      <c r="H10" s="35">
        <v>2323</v>
      </c>
      <c r="I10" s="35">
        <v>2528</v>
      </c>
      <c r="L10" s="40">
        <f t="shared" ca="1" si="1"/>
        <v>0.87906057022302908</v>
      </c>
      <c r="M10" s="43">
        <v>7</v>
      </c>
      <c r="N10" s="43">
        <v>8</v>
      </c>
      <c r="O10" s="43">
        <f ca="1">INT($R$1+$S$1*N10)</f>
        <v>183</v>
      </c>
      <c r="P10" s="52">
        <f t="shared" ca="1" si="5"/>
        <v>15.275644189583508</v>
      </c>
      <c r="Q10" s="40">
        <f t="shared" ca="1" si="6"/>
        <v>2795</v>
      </c>
      <c r="R10" s="40"/>
      <c r="S10" s="47"/>
      <c r="T10" s="40"/>
      <c r="U10" s="40"/>
    </row>
    <row r="11" spans="1:21" ht="15" x14ac:dyDescent="0.25">
      <c r="A11" s="48">
        <v>9</v>
      </c>
      <c r="B11" s="49">
        <f t="shared" ca="1" si="0"/>
        <v>8539</v>
      </c>
      <c r="C11" s="50">
        <f t="shared" ca="1" si="2"/>
        <v>3412</v>
      </c>
      <c r="D11" s="51">
        <f t="shared" ca="1" si="3"/>
        <v>2980</v>
      </c>
      <c r="E11" s="54"/>
      <c r="F11" s="13">
        <v>9</v>
      </c>
      <c r="G11" s="35">
        <v>5714</v>
      </c>
      <c r="H11" s="35">
        <v>2946</v>
      </c>
      <c r="I11" s="35">
        <v>3018</v>
      </c>
      <c r="L11" s="40">
        <f t="shared" ca="1" si="1"/>
        <v>0.4208720580098424</v>
      </c>
      <c r="M11" s="43">
        <v>12</v>
      </c>
      <c r="N11" s="43">
        <v>9</v>
      </c>
      <c r="O11" s="43">
        <f t="shared" ca="1" si="4"/>
        <v>193</v>
      </c>
      <c r="P11" s="52">
        <f t="shared" ca="1" si="5"/>
        <v>15.44240423324398</v>
      </c>
      <c r="Q11" s="40">
        <f t="shared" ca="1" si="6"/>
        <v>2980</v>
      </c>
      <c r="R11" s="40"/>
      <c r="S11" s="47"/>
      <c r="T11" s="40"/>
      <c r="U11" s="40"/>
    </row>
    <row r="12" spans="1:21" ht="15" x14ac:dyDescent="0.25">
      <c r="A12" s="48">
        <v>10</v>
      </c>
      <c r="B12" s="49">
        <f t="shared" ca="1" si="0"/>
        <v>12426</v>
      </c>
      <c r="C12" s="50">
        <f t="shared" ca="1" si="2"/>
        <v>2795</v>
      </c>
      <c r="D12" s="51">
        <f t="shared" ca="1" si="3"/>
        <v>3331</v>
      </c>
      <c r="E12" s="54"/>
      <c r="F12" s="13">
        <v>10</v>
      </c>
      <c r="G12" s="35">
        <v>12275</v>
      </c>
      <c r="H12" s="35">
        <v>2490</v>
      </c>
      <c r="I12" s="35">
        <v>2946</v>
      </c>
      <c r="L12" s="40">
        <f t="shared" ca="1" si="1"/>
        <v>0.18319607566676532</v>
      </c>
      <c r="M12" s="43">
        <v>9</v>
      </c>
      <c r="N12" s="43">
        <v>10</v>
      </c>
      <c r="O12" s="43">
        <f t="shared" ca="1" si="4"/>
        <v>203</v>
      </c>
      <c r="P12" s="52">
        <f t="shared" ca="1" si="5"/>
        <v>16.407558897633244</v>
      </c>
      <c r="Q12" s="40">
        <f t="shared" ca="1" si="6"/>
        <v>3331</v>
      </c>
      <c r="R12" s="40"/>
      <c r="S12" s="47"/>
      <c r="T12" s="40"/>
      <c r="U12" s="40"/>
    </row>
    <row r="13" spans="1:21" ht="15" x14ac:dyDescent="0.25">
      <c r="A13" s="48">
        <v>11</v>
      </c>
      <c r="B13" s="49">
        <f t="shared" ca="1" si="0"/>
        <v>7500</v>
      </c>
      <c r="C13" s="50">
        <f t="shared" ca="1" si="2"/>
        <v>2980</v>
      </c>
      <c r="D13" s="51">
        <f t="shared" ca="1" si="3"/>
        <v>2687</v>
      </c>
      <c r="E13" s="54"/>
      <c r="F13" s="13">
        <v>11</v>
      </c>
      <c r="G13" s="35">
        <v>3747</v>
      </c>
      <c r="H13" s="35">
        <v>2528</v>
      </c>
      <c r="I13" s="35">
        <v>2323</v>
      </c>
      <c r="L13" s="40">
        <f t="shared" ca="1" si="1"/>
        <v>0.5608680724874272</v>
      </c>
      <c r="M13" s="43">
        <v>10</v>
      </c>
      <c r="N13" s="43">
        <v>11</v>
      </c>
      <c r="O13" s="43">
        <f t="shared" ca="1" si="4"/>
        <v>213</v>
      </c>
      <c r="P13" s="52">
        <f t="shared" ca="1" si="5"/>
        <v>12.614314650259818</v>
      </c>
      <c r="Q13" s="40">
        <f t="shared" ca="1" si="6"/>
        <v>2687</v>
      </c>
      <c r="R13" s="40"/>
      <c r="S13" s="47"/>
      <c r="T13" s="40"/>
      <c r="U13" s="40"/>
    </row>
    <row r="14" spans="1:21" ht="15" x14ac:dyDescent="0.25">
      <c r="A14" s="48">
        <v>12</v>
      </c>
      <c r="B14" s="49">
        <f t="shared" ca="1" si="0"/>
        <v>7304</v>
      </c>
      <c r="C14" s="50">
        <f t="shared" ca="1" si="2"/>
        <v>3331</v>
      </c>
      <c r="D14" s="51">
        <f t="shared" ca="1" si="3"/>
        <v>3419</v>
      </c>
      <c r="E14" s="54"/>
      <c r="F14" s="13">
        <v>12</v>
      </c>
      <c r="G14" s="35">
        <v>2323</v>
      </c>
      <c r="H14" s="35">
        <v>2877</v>
      </c>
      <c r="I14" s="35">
        <v>2452</v>
      </c>
      <c r="L14" s="40">
        <f t="shared" ca="1" si="1"/>
        <v>0.52924423925089614</v>
      </c>
      <c r="M14" s="43">
        <v>11</v>
      </c>
      <c r="N14" s="43">
        <v>12</v>
      </c>
      <c r="O14" s="43">
        <f t="shared" ca="1" si="4"/>
        <v>223</v>
      </c>
      <c r="P14" s="52">
        <f t="shared" ca="1" si="5"/>
        <v>15.330958284260614</v>
      </c>
      <c r="Q14" s="40">
        <f t="shared" ca="1" si="6"/>
        <v>3419</v>
      </c>
      <c r="R14" s="40"/>
      <c r="S14" s="47"/>
      <c r="T14" s="40"/>
      <c r="U14" s="40"/>
    </row>
    <row r="15" spans="1:21" ht="15" x14ac:dyDescent="0.25">
      <c r="A15" s="48">
        <v>13</v>
      </c>
      <c r="B15" s="49">
        <f t="shared" ca="1" si="0"/>
        <v>3419</v>
      </c>
      <c r="C15" s="50">
        <f t="shared" ca="1" si="2"/>
        <v>3435</v>
      </c>
      <c r="D15" s="51">
        <f t="shared" ca="1" si="3"/>
        <v>3412</v>
      </c>
      <c r="E15" s="54"/>
      <c r="F15" s="13">
        <v>13</v>
      </c>
      <c r="G15" s="35">
        <v>2216</v>
      </c>
      <c r="H15" s="35">
        <v>3019</v>
      </c>
      <c r="I15" s="35">
        <v>3019</v>
      </c>
      <c r="L15" s="40">
        <f t="shared" ca="1" si="1"/>
        <v>0.85438205038423698</v>
      </c>
      <c r="M15" s="43">
        <v>14</v>
      </c>
      <c r="N15" s="43">
        <v>13</v>
      </c>
      <c r="O15" s="43">
        <f t="shared" ca="1" si="4"/>
        <v>233</v>
      </c>
      <c r="P15" s="52">
        <f t="shared" ca="1" si="5"/>
        <v>14.642923459104564</v>
      </c>
      <c r="Q15" s="40">
        <f t="shared" ca="1" si="6"/>
        <v>3412</v>
      </c>
      <c r="R15" s="40"/>
      <c r="S15" s="47"/>
      <c r="T15" s="40"/>
      <c r="U15" s="40"/>
    </row>
    <row r="16" spans="1:21" ht="15" x14ac:dyDescent="0.25">
      <c r="A16" s="48">
        <v>14</v>
      </c>
      <c r="B16" s="49">
        <f t="shared" ca="1" si="0"/>
        <v>7651</v>
      </c>
      <c r="C16" s="50">
        <f t="shared" ca="1" si="2"/>
        <v>3892</v>
      </c>
      <c r="D16" s="51">
        <f t="shared" ca="1" si="3"/>
        <v>4196</v>
      </c>
      <c r="E16" s="54"/>
      <c r="F16" s="13">
        <v>14</v>
      </c>
      <c r="G16" s="35">
        <v>6894</v>
      </c>
      <c r="H16" s="35">
        <v>3498</v>
      </c>
      <c r="I16" s="35">
        <v>3498</v>
      </c>
      <c r="L16" s="40">
        <f t="shared" ca="1" si="1"/>
        <v>0.42434109433755351</v>
      </c>
      <c r="M16" s="43">
        <v>16</v>
      </c>
      <c r="N16" s="43">
        <v>14</v>
      </c>
      <c r="O16" s="43">
        <f t="shared" ca="1" si="4"/>
        <v>243</v>
      </c>
      <c r="P16" s="52">
        <f t="shared" ca="1" si="5"/>
        <v>17.267345202340849</v>
      </c>
      <c r="Q16" s="40">
        <f t="shared" ca="1" si="6"/>
        <v>4196</v>
      </c>
      <c r="R16" s="40"/>
      <c r="S16" s="47"/>
      <c r="T16" s="40"/>
      <c r="U16" s="40"/>
    </row>
    <row r="17" spans="1:21" ht="15" x14ac:dyDescent="0.25">
      <c r="A17" s="48">
        <v>15</v>
      </c>
      <c r="B17" s="49">
        <f t="shared" ca="1" si="0"/>
        <v>5009</v>
      </c>
      <c r="C17" s="50">
        <f t="shared" ca="1" si="2"/>
        <v>4196</v>
      </c>
      <c r="D17" s="51">
        <f t="shared" ca="1" si="3"/>
        <v>4297</v>
      </c>
      <c r="E17" s="54"/>
      <c r="F17" s="13">
        <v>15</v>
      </c>
      <c r="G17" s="35">
        <v>10359</v>
      </c>
      <c r="H17" s="35">
        <v>3743</v>
      </c>
      <c r="I17" s="35">
        <v>3747</v>
      </c>
      <c r="L17" s="40">
        <f t="shared" ca="1" si="1"/>
        <v>0.74616950992451081</v>
      </c>
      <c r="M17" s="43">
        <v>18</v>
      </c>
      <c r="N17" s="43">
        <v>15</v>
      </c>
      <c r="O17" s="43">
        <f t="shared" ca="1" si="4"/>
        <v>253</v>
      </c>
      <c r="P17" s="52">
        <f t="shared" ca="1" si="5"/>
        <v>16.983862212287704</v>
      </c>
      <c r="Q17" s="40">
        <f t="shared" ca="1" si="6"/>
        <v>4297</v>
      </c>
      <c r="R17" s="40"/>
      <c r="S17" s="47"/>
      <c r="T17" s="40"/>
      <c r="U17" s="40"/>
    </row>
    <row r="18" spans="1:21" ht="15" x14ac:dyDescent="0.25">
      <c r="A18" s="48">
        <v>16</v>
      </c>
      <c r="B18" s="49">
        <f t="shared" ca="1" si="0"/>
        <v>9743</v>
      </c>
      <c r="C18" s="50">
        <f t="shared" ca="1" si="2"/>
        <v>3419</v>
      </c>
      <c r="D18" s="51">
        <f t="shared" ca="1" si="3"/>
        <v>3435</v>
      </c>
      <c r="E18" s="54"/>
      <c r="F18" s="13">
        <v>16</v>
      </c>
      <c r="G18" s="35">
        <v>4421</v>
      </c>
      <c r="H18" s="35">
        <v>3018</v>
      </c>
      <c r="I18" s="35">
        <v>3099</v>
      </c>
      <c r="L18" s="40">
        <f t="shared" ca="1" si="1"/>
        <v>0.40502260726718387</v>
      </c>
      <c r="M18" s="43">
        <v>13</v>
      </c>
      <c r="N18" s="43">
        <v>16</v>
      </c>
      <c r="O18" s="43">
        <f t="shared" ca="1" si="4"/>
        <v>263</v>
      </c>
      <c r="P18" s="52">
        <f t="shared" ca="1" si="5"/>
        <v>13.06166933328713</v>
      </c>
      <c r="Q18" s="40">
        <f t="shared" ca="1" si="6"/>
        <v>3435</v>
      </c>
      <c r="R18" s="40"/>
      <c r="S18" s="47"/>
      <c r="T18" s="40"/>
      <c r="U18" s="40"/>
    </row>
    <row r="19" spans="1:21" ht="15" x14ac:dyDescent="0.25">
      <c r="A19" s="48">
        <v>17</v>
      </c>
      <c r="B19" s="49">
        <f t="shared" ca="1" si="0"/>
        <v>2343</v>
      </c>
      <c r="C19" s="50">
        <f t="shared" ca="1" si="2"/>
        <v>4018</v>
      </c>
      <c r="D19" s="51">
        <f t="shared" ca="1" si="3"/>
        <v>3892</v>
      </c>
      <c r="E19" s="54"/>
      <c r="F19" s="13">
        <v>17</v>
      </c>
      <c r="G19" s="35">
        <v>8720</v>
      </c>
      <c r="H19" s="35">
        <v>3578</v>
      </c>
      <c r="I19" s="35">
        <v>2877</v>
      </c>
      <c r="L19" s="40">
        <f t="shared" ca="1" si="1"/>
        <v>0.9384274270082329</v>
      </c>
      <c r="M19" s="43">
        <v>17</v>
      </c>
      <c r="N19" s="43">
        <v>17</v>
      </c>
      <c r="O19" s="43">
        <f t="shared" ca="1" si="4"/>
        <v>273</v>
      </c>
      <c r="P19" s="52">
        <f t="shared" ca="1" si="5"/>
        <v>14.256978527527433</v>
      </c>
      <c r="Q19" s="40">
        <f t="shared" ca="1" si="6"/>
        <v>3892</v>
      </c>
      <c r="R19" s="40"/>
      <c r="S19" s="47"/>
      <c r="T19" s="40"/>
      <c r="U19" s="40"/>
    </row>
    <row r="20" spans="1:21" ht="15" x14ac:dyDescent="0.25">
      <c r="A20" s="48">
        <v>18</v>
      </c>
      <c r="B20" s="49">
        <f t="shared" ca="1" si="0"/>
        <v>3883</v>
      </c>
      <c r="C20" s="50">
        <f t="shared" ca="1" si="2"/>
        <v>3883</v>
      </c>
      <c r="D20" s="51">
        <f t="shared" ca="1" si="3"/>
        <v>3883</v>
      </c>
      <c r="E20" s="54"/>
      <c r="F20" s="13">
        <v>18</v>
      </c>
      <c r="G20" s="35">
        <v>6526</v>
      </c>
      <c r="H20" s="35">
        <v>3099</v>
      </c>
      <c r="I20" s="35">
        <v>3779</v>
      </c>
      <c r="L20" s="40">
        <f t="shared" ca="1" si="1"/>
        <v>0.79422242852725877</v>
      </c>
      <c r="M20" s="43">
        <v>15</v>
      </c>
      <c r="N20" s="43">
        <v>18</v>
      </c>
      <c r="O20" s="43">
        <f t="shared" ca="1" si="4"/>
        <v>283</v>
      </c>
      <c r="P20" s="52">
        <f t="shared" ca="1" si="5"/>
        <v>13.719641159225395</v>
      </c>
      <c r="Q20" s="40">
        <f t="shared" ca="1" si="6"/>
        <v>3883</v>
      </c>
      <c r="R20" s="40"/>
      <c r="S20" s="47"/>
      <c r="T20" s="40"/>
      <c r="U20" s="40"/>
    </row>
    <row r="21" spans="1:21" ht="15" x14ac:dyDescent="0.25">
      <c r="A21" s="48">
        <v>19</v>
      </c>
      <c r="B21" s="49">
        <f t="shared" ca="1" si="0"/>
        <v>9103</v>
      </c>
      <c r="C21" s="50">
        <f t="shared" ca="1" si="2"/>
        <v>4297</v>
      </c>
      <c r="D21" s="51">
        <f t="shared" ca="1" si="3"/>
        <v>4786</v>
      </c>
      <c r="E21" s="54"/>
      <c r="F21" s="13">
        <v>19</v>
      </c>
      <c r="G21" s="35">
        <v>12037</v>
      </c>
      <c r="H21" s="35">
        <v>3747</v>
      </c>
      <c r="I21" s="35">
        <v>4336</v>
      </c>
      <c r="L21" s="40">
        <f t="shared" ca="1" si="1"/>
        <v>0.19069885046111468</v>
      </c>
      <c r="M21" s="43">
        <v>19</v>
      </c>
      <c r="N21" s="43">
        <v>19</v>
      </c>
      <c r="O21" s="43">
        <f t="shared" ca="1" si="4"/>
        <v>293</v>
      </c>
      <c r="P21" s="52">
        <f t="shared" ca="1" si="5"/>
        <v>16.333523793721845</v>
      </c>
      <c r="Q21" s="40">
        <f t="shared" ca="1" si="6"/>
        <v>4786</v>
      </c>
      <c r="R21" s="40"/>
      <c r="S21" s="47"/>
      <c r="T21" s="40"/>
      <c r="U21" s="40"/>
    </row>
    <row r="22" spans="1:21" ht="15" x14ac:dyDescent="0.25">
      <c r="A22" s="48">
        <v>20</v>
      </c>
      <c r="B22" s="49">
        <f t="shared" ca="1" si="0"/>
        <v>5027</v>
      </c>
      <c r="C22" s="50">
        <f t="shared" ca="1" si="2"/>
        <v>4551</v>
      </c>
      <c r="D22" s="51">
        <f t="shared" ca="1" si="3"/>
        <v>5708</v>
      </c>
      <c r="E22" s="54"/>
      <c r="F22" s="13">
        <v>20</v>
      </c>
      <c r="G22" s="35">
        <v>8593</v>
      </c>
      <c r="H22" s="35">
        <v>3779</v>
      </c>
      <c r="I22" s="35">
        <v>4492</v>
      </c>
      <c r="L22" s="40">
        <f t="shared" ca="1" si="1"/>
        <v>0.74384965772697786</v>
      </c>
      <c r="M22" s="43">
        <v>20</v>
      </c>
      <c r="N22" s="43">
        <v>20</v>
      </c>
      <c r="O22" s="43">
        <f t="shared" ca="1" si="4"/>
        <v>303</v>
      </c>
      <c r="P22" s="52">
        <f t="shared" ca="1" si="5"/>
        <v>18.838692860191369</v>
      </c>
      <c r="Q22" s="40">
        <f t="shared" ca="1" si="6"/>
        <v>5708</v>
      </c>
      <c r="R22" s="40"/>
      <c r="S22" s="47"/>
      <c r="T22" s="40"/>
      <c r="U22" s="40"/>
    </row>
    <row r="23" spans="1:21" ht="15" x14ac:dyDescent="0.25">
      <c r="A23" s="48">
        <v>21</v>
      </c>
      <c r="B23" s="49">
        <f t="shared" ca="1" si="0"/>
        <v>2094</v>
      </c>
      <c r="C23" s="50">
        <f t="shared" ca="1" si="2"/>
        <v>5027</v>
      </c>
      <c r="D23" s="51">
        <f t="shared" ca="1" si="3"/>
        <v>4018</v>
      </c>
      <c r="E23" s="54"/>
      <c r="F23" s="13">
        <v>21</v>
      </c>
      <c r="G23" s="35">
        <v>3578</v>
      </c>
      <c r="H23" s="35">
        <v>4336</v>
      </c>
      <c r="I23" s="35">
        <v>3578</v>
      </c>
      <c r="L23" s="40">
        <f t="shared" ca="1" si="1"/>
        <v>0.92534252734548361</v>
      </c>
      <c r="M23" s="43">
        <v>24</v>
      </c>
      <c r="N23" s="43">
        <v>21</v>
      </c>
      <c r="O23" s="43">
        <f t="shared" ca="1" si="4"/>
        <v>313</v>
      </c>
      <c r="P23" s="52">
        <f t="shared" ca="1" si="5"/>
        <v>12.836434860249668</v>
      </c>
      <c r="Q23" s="40">
        <f t="shared" ca="1" si="6"/>
        <v>4018</v>
      </c>
      <c r="R23" s="40"/>
      <c r="S23" s="47"/>
      <c r="T23" s="40"/>
      <c r="U23" s="40"/>
    </row>
    <row r="24" spans="1:21" ht="15" x14ac:dyDescent="0.25">
      <c r="A24" s="48">
        <v>22</v>
      </c>
      <c r="B24" s="49">
        <f t="shared" ca="1" si="0"/>
        <v>3331</v>
      </c>
      <c r="C24" s="50">
        <f t="shared" ca="1" si="2"/>
        <v>4904</v>
      </c>
      <c r="D24" s="51">
        <f t="shared" ca="1" si="3"/>
        <v>5009</v>
      </c>
      <c r="E24" s="54"/>
      <c r="F24" s="13">
        <v>22</v>
      </c>
      <c r="G24" s="35">
        <v>3018</v>
      </c>
      <c r="H24" s="35">
        <v>4185</v>
      </c>
      <c r="I24" s="35">
        <v>4185</v>
      </c>
      <c r="L24" s="40">
        <f t="shared" ca="1" si="1"/>
        <v>0.87092554168996694</v>
      </c>
      <c r="M24" s="43">
        <v>22</v>
      </c>
      <c r="N24" s="43">
        <v>22</v>
      </c>
      <c r="O24" s="43">
        <f t="shared" ca="1" si="4"/>
        <v>323</v>
      </c>
      <c r="P24" s="52">
        <f t="shared" ca="1" si="5"/>
        <v>15.509179300926617</v>
      </c>
      <c r="Q24" s="40">
        <f t="shared" ca="1" si="6"/>
        <v>5009</v>
      </c>
      <c r="R24" s="40"/>
      <c r="S24" s="47"/>
      <c r="T24" s="40"/>
      <c r="U24" s="40"/>
    </row>
    <row r="25" spans="1:21" ht="15" x14ac:dyDescent="0.25">
      <c r="A25" s="48">
        <v>23</v>
      </c>
      <c r="B25" s="49">
        <f t="shared" ca="1" si="0"/>
        <v>13285</v>
      </c>
      <c r="C25" s="50">
        <f t="shared" ca="1" si="2"/>
        <v>5009</v>
      </c>
      <c r="D25" s="51">
        <f t="shared" ca="1" si="3"/>
        <v>5027</v>
      </c>
      <c r="E25" s="54"/>
      <c r="F25" s="13">
        <v>23</v>
      </c>
      <c r="G25" s="35">
        <v>4185</v>
      </c>
      <c r="H25" s="35">
        <v>4254</v>
      </c>
      <c r="I25" s="35">
        <v>4523</v>
      </c>
      <c r="L25" s="40">
        <f t="shared" ca="1" si="1"/>
        <v>5.2412052183521851E-2</v>
      </c>
      <c r="M25" s="43">
        <v>23</v>
      </c>
      <c r="N25" s="43">
        <v>23</v>
      </c>
      <c r="O25" s="43">
        <f t="shared" ca="1" si="4"/>
        <v>333</v>
      </c>
      <c r="P25" s="52">
        <f t="shared" ca="1" si="5"/>
        <v>15.097377637677862</v>
      </c>
      <c r="Q25" s="40">
        <f t="shared" ca="1" si="6"/>
        <v>5027</v>
      </c>
      <c r="R25" s="40"/>
      <c r="S25" s="47"/>
      <c r="T25" s="40"/>
      <c r="U25" s="40"/>
    </row>
    <row r="26" spans="1:21" ht="15" x14ac:dyDescent="0.25">
      <c r="A26" s="48">
        <v>24</v>
      </c>
      <c r="B26" s="49">
        <f t="shared" ca="1" si="0"/>
        <v>6362</v>
      </c>
      <c r="C26" s="50">
        <f t="shared" ca="1" si="2"/>
        <v>5376</v>
      </c>
      <c r="D26" s="51">
        <f t="shared" ca="1" si="3"/>
        <v>5590</v>
      </c>
      <c r="E26" s="54"/>
      <c r="F26" s="13">
        <v>24</v>
      </c>
      <c r="G26" s="35">
        <v>9678</v>
      </c>
      <c r="H26" s="35">
        <v>4421</v>
      </c>
      <c r="I26" s="35">
        <v>5005</v>
      </c>
      <c r="L26" s="40">
        <f t="shared" ca="1" si="1"/>
        <v>0.49457806407035865</v>
      </c>
      <c r="M26" s="43">
        <v>25</v>
      </c>
      <c r="N26" s="43">
        <v>24</v>
      </c>
      <c r="O26" s="43">
        <f t="shared" ca="1" si="4"/>
        <v>343</v>
      </c>
      <c r="P26" s="52">
        <f t="shared" ca="1" si="5"/>
        <v>16.296475068140243</v>
      </c>
      <c r="Q26" s="40">
        <f t="shared" ca="1" si="6"/>
        <v>5590</v>
      </c>
      <c r="R26" s="40"/>
      <c r="S26" s="47"/>
      <c r="T26" s="40"/>
      <c r="U26" s="40"/>
    </row>
    <row r="27" spans="1:21" ht="15" x14ac:dyDescent="0.25">
      <c r="A27" s="48">
        <v>25</v>
      </c>
      <c r="B27" s="49">
        <f t="shared" ca="1" si="0"/>
        <v>6567</v>
      </c>
      <c r="C27" s="50">
        <f t="shared" ca="1" si="2"/>
        <v>4786</v>
      </c>
      <c r="D27" s="51">
        <f t="shared" ca="1" si="3"/>
        <v>5513</v>
      </c>
      <c r="E27" s="54"/>
      <c r="F27" s="13">
        <v>25</v>
      </c>
      <c r="G27" s="35">
        <v>9442</v>
      </c>
      <c r="H27" s="35">
        <v>3935</v>
      </c>
      <c r="I27" s="35">
        <v>5417</v>
      </c>
      <c r="L27" s="40">
        <f t="shared" ca="1" si="1"/>
        <v>0.57038383610950627</v>
      </c>
      <c r="M27" s="43">
        <v>21</v>
      </c>
      <c r="N27" s="43">
        <v>25</v>
      </c>
      <c r="O27" s="43">
        <f t="shared" ca="1" si="4"/>
        <v>353</v>
      </c>
      <c r="P27" s="52">
        <f t="shared" ca="1" si="5"/>
        <v>15.618725481966326</v>
      </c>
      <c r="Q27" s="40">
        <f t="shared" ca="1" si="6"/>
        <v>5513</v>
      </c>
      <c r="R27" s="40"/>
      <c r="S27" s="47"/>
      <c r="T27" s="40"/>
      <c r="U27" s="40"/>
    </row>
    <row r="28" spans="1:21" ht="15" x14ac:dyDescent="0.25">
      <c r="A28" s="48">
        <v>26</v>
      </c>
      <c r="B28" s="49">
        <f t="shared" ca="1" si="0"/>
        <v>3412</v>
      </c>
      <c r="C28" s="50">
        <f t="shared" ca="1" si="2"/>
        <v>5540</v>
      </c>
      <c r="D28" s="51">
        <f t="shared" ca="1" si="3"/>
        <v>4904</v>
      </c>
      <c r="E28" s="54"/>
      <c r="F28" s="13">
        <v>26</v>
      </c>
      <c r="G28" s="35">
        <v>9895</v>
      </c>
      <c r="H28" s="35">
        <v>4523</v>
      </c>
      <c r="I28" s="35">
        <v>3935</v>
      </c>
      <c r="L28" s="40">
        <f t="shared" ca="1" si="1"/>
        <v>0.84591663038035059</v>
      </c>
      <c r="M28" s="43">
        <v>27</v>
      </c>
      <c r="N28" s="43">
        <v>26</v>
      </c>
      <c r="O28" s="43">
        <f t="shared" ca="1" si="4"/>
        <v>363</v>
      </c>
      <c r="P28" s="52">
        <f t="shared" ca="1" si="5"/>
        <v>13.508460242782883</v>
      </c>
      <c r="Q28" s="40">
        <f t="shared" ca="1" si="6"/>
        <v>4904</v>
      </c>
      <c r="R28" s="40"/>
      <c r="S28" s="47"/>
      <c r="T28" s="40"/>
      <c r="U28" s="40"/>
    </row>
    <row r="29" spans="1:21" ht="15" x14ac:dyDescent="0.25">
      <c r="A29" s="48">
        <v>27</v>
      </c>
      <c r="B29" s="49">
        <f t="shared" ca="1" si="0"/>
        <v>5540</v>
      </c>
      <c r="C29" s="50">
        <f t="shared" ca="1" si="2"/>
        <v>5513</v>
      </c>
      <c r="D29" s="51">
        <f t="shared" ca="1" si="3"/>
        <v>5376</v>
      </c>
      <c r="E29" s="54"/>
      <c r="F29" s="13">
        <v>27</v>
      </c>
      <c r="G29" s="35">
        <v>5005</v>
      </c>
      <c r="H29" s="35">
        <v>4492</v>
      </c>
      <c r="I29" s="35">
        <v>4254</v>
      </c>
      <c r="L29" s="40">
        <f t="shared" ca="1" si="1"/>
        <v>0.5706269995023634</v>
      </c>
      <c r="M29" s="43">
        <v>26</v>
      </c>
      <c r="N29" s="43">
        <v>27</v>
      </c>
      <c r="O29" s="43">
        <f t="shared" ca="1" si="4"/>
        <v>373</v>
      </c>
      <c r="P29" s="52">
        <f t="shared" ca="1" si="5"/>
        <v>14.412584420192104</v>
      </c>
      <c r="Q29" s="40">
        <f t="shared" ca="1" si="6"/>
        <v>5376</v>
      </c>
      <c r="R29" s="40"/>
      <c r="S29" s="47"/>
      <c r="T29" s="40"/>
      <c r="U29" s="40"/>
    </row>
    <row r="30" spans="1:21" ht="15" x14ac:dyDescent="0.25">
      <c r="A30" s="48">
        <v>28</v>
      </c>
      <c r="B30" s="49">
        <f t="shared" ca="1" si="0"/>
        <v>1514</v>
      </c>
      <c r="C30" s="50">
        <f t="shared" ca="1" si="2"/>
        <v>6567</v>
      </c>
      <c r="D30" s="51">
        <f t="shared" ca="1" si="3"/>
        <v>5884</v>
      </c>
      <c r="E30" s="54"/>
      <c r="F30" s="13">
        <v>28</v>
      </c>
      <c r="G30" s="35">
        <v>7242</v>
      </c>
      <c r="H30" s="35">
        <v>5461</v>
      </c>
      <c r="I30" s="35">
        <v>4421</v>
      </c>
      <c r="L30" s="40">
        <f t="shared" ca="1" si="1"/>
        <v>0.96705215208203188</v>
      </c>
      <c r="M30" s="43">
        <v>33</v>
      </c>
      <c r="N30" s="43">
        <v>28</v>
      </c>
      <c r="O30" s="43">
        <f t="shared" ca="1" si="4"/>
        <v>383</v>
      </c>
      <c r="P30" s="52">
        <f t="shared" ca="1" si="5"/>
        <v>15.363373266213095</v>
      </c>
      <c r="Q30" s="40">
        <f t="shared" ca="1" si="6"/>
        <v>5884</v>
      </c>
      <c r="R30" s="40"/>
      <c r="S30" s="47"/>
      <c r="T30" s="40"/>
      <c r="U30" s="40"/>
    </row>
    <row r="31" spans="1:21" ht="15" x14ac:dyDescent="0.25">
      <c r="A31" s="48">
        <v>29</v>
      </c>
      <c r="B31" s="49">
        <f t="shared" ca="1" si="0"/>
        <v>5376</v>
      </c>
      <c r="C31" s="50">
        <f t="shared" ca="1" si="2"/>
        <v>6623</v>
      </c>
      <c r="D31" s="51">
        <f t="shared" ca="1" si="3"/>
        <v>6623</v>
      </c>
      <c r="E31" s="54"/>
      <c r="F31" s="13">
        <v>29</v>
      </c>
      <c r="G31" s="35">
        <v>5461</v>
      </c>
      <c r="H31" s="35">
        <v>5475</v>
      </c>
      <c r="I31" s="35">
        <v>5130</v>
      </c>
      <c r="L31" s="40">
        <f t="shared" ca="1" si="1"/>
        <v>0.66978683535912575</v>
      </c>
      <c r="M31" s="43">
        <v>34</v>
      </c>
      <c r="N31" s="43">
        <v>29</v>
      </c>
      <c r="O31" s="43">
        <f t="shared" ca="1" si="4"/>
        <v>393</v>
      </c>
      <c r="P31" s="52">
        <f t="shared" ca="1" si="5"/>
        <v>16.85330863154417</v>
      </c>
      <c r="Q31" s="40">
        <f t="shared" ca="1" si="6"/>
        <v>6623</v>
      </c>
      <c r="R31" s="40"/>
      <c r="S31" s="47"/>
      <c r="T31" s="40"/>
      <c r="U31" s="40"/>
    </row>
    <row r="32" spans="1:21" ht="15" x14ac:dyDescent="0.25">
      <c r="A32" s="48">
        <v>30</v>
      </c>
      <c r="B32" s="49">
        <f t="shared" ca="1" si="0"/>
        <v>10688</v>
      </c>
      <c r="C32" s="50">
        <f t="shared" ca="1" si="2"/>
        <v>5590</v>
      </c>
      <c r="D32" s="51">
        <f t="shared" ca="1" si="3"/>
        <v>6734</v>
      </c>
      <c r="E32" s="54"/>
      <c r="F32" s="13">
        <v>30</v>
      </c>
      <c r="G32" s="35">
        <v>9652</v>
      </c>
      <c r="H32" s="35">
        <v>4861</v>
      </c>
      <c r="I32" s="35">
        <v>5801</v>
      </c>
      <c r="L32" s="40">
        <f t="shared" ca="1" si="1"/>
        <v>0.18502078745711203</v>
      </c>
      <c r="M32" s="43">
        <v>28</v>
      </c>
      <c r="N32" s="43">
        <v>30</v>
      </c>
      <c r="O32" s="43">
        <f t="shared" ca="1" si="4"/>
        <v>403</v>
      </c>
      <c r="P32" s="52">
        <f t="shared" ca="1" si="5"/>
        <v>16.708482328469817</v>
      </c>
      <c r="Q32" s="40">
        <f t="shared" ca="1" si="6"/>
        <v>6734</v>
      </c>
      <c r="R32" s="40"/>
      <c r="S32" s="47"/>
      <c r="T32" s="40"/>
      <c r="U32" s="40"/>
    </row>
    <row r="33" spans="1:21" ht="15" x14ac:dyDescent="0.25">
      <c r="A33" s="48">
        <v>31</v>
      </c>
      <c r="B33" s="49">
        <f t="shared" ca="1" si="0"/>
        <v>5708</v>
      </c>
      <c r="C33" s="50">
        <f t="shared" ca="1" si="2"/>
        <v>5884</v>
      </c>
      <c r="D33" s="51">
        <f t="shared" ca="1" si="3"/>
        <v>4551</v>
      </c>
      <c r="E33" s="54"/>
      <c r="F33" s="13">
        <v>31</v>
      </c>
      <c r="G33" s="35">
        <v>1690</v>
      </c>
      <c r="H33" s="35">
        <v>5130</v>
      </c>
      <c r="I33" s="35">
        <v>3743</v>
      </c>
      <c r="L33" s="40">
        <f t="shared" ca="1" si="1"/>
        <v>0.76213273626045774</v>
      </c>
      <c r="M33" s="43">
        <v>30</v>
      </c>
      <c r="N33" s="43">
        <v>31</v>
      </c>
      <c r="O33" s="43">
        <f t="shared" ca="1" si="4"/>
        <v>413</v>
      </c>
      <c r="P33" s="52">
        <f t="shared" ca="1" si="5"/>
        <v>11.01986210175663</v>
      </c>
      <c r="Q33" s="40">
        <f t="shared" ca="1" si="6"/>
        <v>4551</v>
      </c>
      <c r="R33" s="40"/>
      <c r="S33" s="47"/>
      <c r="T33" s="40"/>
      <c r="U33" s="40"/>
    </row>
    <row r="34" spans="1:21" ht="15" x14ac:dyDescent="0.25">
      <c r="A34" s="48">
        <v>32</v>
      </c>
      <c r="B34" s="49">
        <f t="shared" ca="1" si="0"/>
        <v>10767</v>
      </c>
      <c r="C34" s="50">
        <f t="shared" ca="1" si="2"/>
        <v>5708</v>
      </c>
      <c r="D34" s="51">
        <f t="shared" ca="1" si="3"/>
        <v>5540</v>
      </c>
      <c r="E34" s="54"/>
      <c r="F34" s="13">
        <v>32</v>
      </c>
      <c r="G34" s="35">
        <v>2946</v>
      </c>
      <c r="H34" s="35">
        <v>5005</v>
      </c>
      <c r="I34" s="35">
        <v>4861</v>
      </c>
      <c r="L34" s="40">
        <f t="shared" ca="1" si="1"/>
        <v>0.12435752811059997</v>
      </c>
      <c r="M34" s="43">
        <v>29</v>
      </c>
      <c r="N34" s="43">
        <v>32</v>
      </c>
      <c r="O34" s="43">
        <f t="shared" ca="1" si="4"/>
        <v>423</v>
      </c>
      <c r="P34" s="52">
        <f t="shared" ca="1" si="5"/>
        <v>13.098046393114892</v>
      </c>
      <c r="Q34" s="40">
        <f t="shared" ca="1" si="6"/>
        <v>5540</v>
      </c>
      <c r="R34" s="40"/>
      <c r="S34" s="47"/>
      <c r="T34" s="40"/>
      <c r="U34" s="40"/>
    </row>
    <row r="35" spans="1:21" ht="15" x14ac:dyDescent="0.25">
      <c r="A35" s="48">
        <v>33</v>
      </c>
      <c r="B35" s="49">
        <f t="shared" ca="1" si="0"/>
        <v>8613</v>
      </c>
      <c r="C35" s="50">
        <f t="shared" ca="1" si="2"/>
        <v>6362</v>
      </c>
      <c r="D35" s="51">
        <f t="shared" ca="1" si="3"/>
        <v>6567</v>
      </c>
      <c r="E35" s="54"/>
      <c r="F35" s="13">
        <v>33</v>
      </c>
      <c r="G35" s="35">
        <v>2877</v>
      </c>
      <c r="H35" s="35">
        <v>5192</v>
      </c>
      <c r="I35" s="35">
        <v>5475</v>
      </c>
      <c r="L35" s="40">
        <f t="shared" ca="1" si="1"/>
        <v>0.37183944076481723</v>
      </c>
      <c r="M35" s="43">
        <v>31</v>
      </c>
      <c r="N35" s="43">
        <v>33</v>
      </c>
      <c r="O35" s="43">
        <f t="shared" ca="1" si="4"/>
        <v>433</v>
      </c>
      <c r="P35" s="52">
        <f t="shared" ca="1" si="5"/>
        <v>15.167108127750828</v>
      </c>
      <c r="Q35" s="40">
        <f t="shared" ca="1" si="6"/>
        <v>6567</v>
      </c>
      <c r="R35" s="40"/>
      <c r="S35" s="47"/>
      <c r="T35" s="40"/>
      <c r="U35" s="40"/>
    </row>
    <row r="36" spans="1:21" ht="15" x14ac:dyDescent="0.25">
      <c r="A36" s="48">
        <v>34</v>
      </c>
      <c r="B36" s="49">
        <f t="shared" ca="1" si="0"/>
        <v>13771</v>
      </c>
      <c r="C36" s="50">
        <f t="shared" ca="1" si="2"/>
        <v>6528</v>
      </c>
      <c r="D36" s="51">
        <f t="shared" ca="1" si="3"/>
        <v>7500</v>
      </c>
      <c r="E36" s="54"/>
      <c r="F36" s="13">
        <v>34</v>
      </c>
      <c r="G36" s="35">
        <v>9135</v>
      </c>
      <c r="H36" s="35">
        <v>5417</v>
      </c>
      <c r="I36" s="35">
        <v>5654</v>
      </c>
      <c r="L36" s="40">
        <f t="shared" ca="1" si="1"/>
        <v>9.9245139298828056E-3</v>
      </c>
      <c r="M36" s="43">
        <v>32</v>
      </c>
      <c r="N36" s="43">
        <v>34</v>
      </c>
      <c r="O36" s="43">
        <f t="shared" ca="1" si="4"/>
        <v>443</v>
      </c>
      <c r="P36" s="52">
        <f t="shared" ca="1" si="5"/>
        <v>16.930350584802081</v>
      </c>
      <c r="Q36" s="40">
        <f t="shared" ca="1" si="6"/>
        <v>7500</v>
      </c>
      <c r="R36" s="40"/>
      <c r="S36" s="47"/>
      <c r="T36" s="40"/>
      <c r="U36" s="40"/>
    </row>
    <row r="37" spans="1:21" ht="15" x14ac:dyDescent="0.25">
      <c r="A37" s="48">
        <v>35</v>
      </c>
      <c r="B37" s="49">
        <f t="shared" ca="1" si="0"/>
        <v>1790</v>
      </c>
      <c r="C37" s="50">
        <f t="shared" ca="1" si="2"/>
        <v>6734</v>
      </c>
      <c r="D37" s="51">
        <f t="shared" ca="1" si="3"/>
        <v>7640</v>
      </c>
      <c r="E37" s="54"/>
      <c r="F37" s="13">
        <v>35</v>
      </c>
      <c r="G37" s="35">
        <v>1984</v>
      </c>
      <c r="H37" s="35">
        <v>5561</v>
      </c>
      <c r="I37" s="35">
        <v>6532</v>
      </c>
      <c r="L37" s="40">
        <f t="shared" ca="1" si="1"/>
        <v>0.94979089588857823</v>
      </c>
      <c r="M37" s="43">
        <v>35</v>
      </c>
      <c r="N37" s="43">
        <v>35</v>
      </c>
      <c r="O37" s="43">
        <f t="shared" ca="1" si="4"/>
        <v>453</v>
      </c>
      <c r="P37" s="52">
        <f t="shared" ca="1" si="5"/>
        <v>16.86556883052808</v>
      </c>
      <c r="Q37" s="40">
        <f t="shared" ca="1" si="6"/>
        <v>7640</v>
      </c>
      <c r="R37" s="40"/>
      <c r="S37" s="47"/>
      <c r="T37" s="40"/>
      <c r="U37" s="40"/>
    </row>
    <row r="38" spans="1:21" ht="15" x14ac:dyDescent="0.25">
      <c r="A38" s="48">
        <v>36</v>
      </c>
      <c r="B38" s="49">
        <f t="shared" ca="1" si="0"/>
        <v>7741</v>
      </c>
      <c r="C38" s="50">
        <f t="shared" ca="1" si="2"/>
        <v>7500</v>
      </c>
      <c r="D38" s="51">
        <f t="shared" ca="1" si="3"/>
        <v>6528</v>
      </c>
      <c r="E38" s="54"/>
      <c r="F38" s="13">
        <v>36</v>
      </c>
      <c r="G38" s="35">
        <v>6552</v>
      </c>
      <c r="H38" s="35">
        <v>5801</v>
      </c>
      <c r="I38" s="35">
        <v>5561</v>
      </c>
      <c r="L38" s="40">
        <f t="shared" ca="1" si="1"/>
        <v>0.39946013383163592</v>
      </c>
      <c r="M38" s="43">
        <v>39</v>
      </c>
      <c r="N38" s="43">
        <v>36</v>
      </c>
      <c r="O38" s="43">
        <f t="shared" ca="1" si="4"/>
        <v>463</v>
      </c>
      <c r="P38" s="52">
        <f t="shared" ca="1" si="5"/>
        <v>14.098946817946949</v>
      </c>
      <c r="Q38" s="40">
        <f t="shared" ca="1" si="6"/>
        <v>6528</v>
      </c>
      <c r="R38" s="40"/>
      <c r="S38" s="47"/>
      <c r="T38" s="40"/>
      <c r="U38" s="40"/>
    </row>
    <row r="39" spans="1:21" ht="15" x14ac:dyDescent="0.25">
      <c r="A39" s="48">
        <v>37</v>
      </c>
      <c r="B39" s="49">
        <f t="shared" ca="1" si="0"/>
        <v>8786</v>
      </c>
      <c r="C39" s="50">
        <f t="shared" ca="1" si="2"/>
        <v>6923</v>
      </c>
      <c r="D39" s="51">
        <f t="shared" ca="1" si="3"/>
        <v>6923</v>
      </c>
      <c r="E39" s="54"/>
      <c r="F39" s="13">
        <v>37</v>
      </c>
      <c r="G39" s="35">
        <v>11930</v>
      </c>
      <c r="H39" s="35">
        <v>5654</v>
      </c>
      <c r="I39" s="35">
        <v>5461</v>
      </c>
      <c r="L39" s="40">
        <f t="shared" ca="1" si="1"/>
        <v>0.36539600668337247</v>
      </c>
      <c r="M39" s="43">
        <v>36</v>
      </c>
      <c r="N39" s="43">
        <v>37</v>
      </c>
      <c r="O39" s="43">
        <f t="shared" ca="1" si="4"/>
        <v>473</v>
      </c>
      <c r="P39" s="52">
        <f t="shared" ca="1" si="5"/>
        <v>14.637400689188691</v>
      </c>
      <c r="Q39" s="40">
        <f t="shared" ca="1" si="6"/>
        <v>6923</v>
      </c>
      <c r="R39" s="40"/>
      <c r="S39" s="47"/>
      <c r="T39" s="40"/>
      <c r="U39" s="40"/>
    </row>
    <row r="40" spans="1:21" ht="15" x14ac:dyDescent="0.25">
      <c r="A40" s="48">
        <v>38</v>
      </c>
      <c r="B40" s="49">
        <f t="shared" ca="1" si="0"/>
        <v>2321</v>
      </c>
      <c r="C40" s="50">
        <f t="shared" ca="1" si="2"/>
        <v>6928</v>
      </c>
      <c r="D40" s="51">
        <f t="shared" ca="1" si="3"/>
        <v>7304</v>
      </c>
      <c r="E40" s="54"/>
      <c r="F40" s="13">
        <v>38</v>
      </c>
      <c r="G40" s="35">
        <v>6290</v>
      </c>
      <c r="H40" s="35">
        <v>5714</v>
      </c>
      <c r="I40" s="35">
        <v>5714</v>
      </c>
      <c r="L40" s="40">
        <f t="shared" ca="1" si="1"/>
        <v>0.90772633828059823</v>
      </c>
      <c r="M40" s="43">
        <v>37</v>
      </c>
      <c r="N40" s="43">
        <v>38</v>
      </c>
      <c r="O40" s="43">
        <f t="shared" ca="1" si="4"/>
        <v>483</v>
      </c>
      <c r="P40" s="52">
        <f t="shared" ca="1" si="5"/>
        <v>15.122341437934523</v>
      </c>
      <c r="Q40" s="40">
        <f t="shared" ca="1" si="6"/>
        <v>7304</v>
      </c>
      <c r="R40" s="40"/>
      <c r="S40" s="47"/>
      <c r="T40" s="40"/>
      <c r="U40" s="40"/>
    </row>
    <row r="41" spans="1:21" ht="15" x14ac:dyDescent="0.25">
      <c r="A41" s="48">
        <v>39</v>
      </c>
      <c r="B41" s="49">
        <f t="shared" ca="1" si="0"/>
        <v>8155</v>
      </c>
      <c r="C41" s="50">
        <f t="shared" ca="1" si="2"/>
        <v>7304</v>
      </c>
      <c r="D41" s="51">
        <f t="shared" ca="1" si="3"/>
        <v>7739</v>
      </c>
      <c r="E41" s="54"/>
      <c r="F41" s="13">
        <v>39</v>
      </c>
      <c r="G41" s="35">
        <v>8783</v>
      </c>
      <c r="H41" s="35">
        <v>5761</v>
      </c>
      <c r="I41" s="35">
        <v>6032</v>
      </c>
      <c r="L41" s="40">
        <f t="shared" ca="1" si="1"/>
        <v>0.51780844754732569</v>
      </c>
      <c r="M41" s="43">
        <v>38</v>
      </c>
      <c r="N41" s="43">
        <v>39</v>
      </c>
      <c r="O41" s="43">
        <f t="shared" ca="1" si="4"/>
        <v>493</v>
      </c>
      <c r="P41" s="52">
        <f t="shared" ca="1" si="5"/>
        <v>15.697010160191358</v>
      </c>
      <c r="Q41" s="40">
        <f t="shared" ca="1" si="6"/>
        <v>7739</v>
      </c>
      <c r="R41" s="40"/>
      <c r="S41" s="47"/>
      <c r="T41" s="40"/>
      <c r="U41" s="40"/>
    </row>
    <row r="42" spans="1:21" ht="15" x14ac:dyDescent="0.25">
      <c r="A42" s="48">
        <v>40</v>
      </c>
      <c r="B42" s="49">
        <f t="shared" ca="1" si="0"/>
        <v>2197</v>
      </c>
      <c r="C42" s="50">
        <f t="shared" ca="1" si="2"/>
        <v>7651</v>
      </c>
      <c r="D42" s="51">
        <f t="shared" ca="1" si="3"/>
        <v>8155</v>
      </c>
      <c r="E42" s="54"/>
      <c r="F42" s="13">
        <v>40</v>
      </c>
      <c r="G42" s="35">
        <v>5417</v>
      </c>
      <c r="H42" s="35">
        <v>6290</v>
      </c>
      <c r="I42" s="35">
        <v>7172</v>
      </c>
      <c r="L42" s="40">
        <f t="shared" ca="1" si="1"/>
        <v>0.94088914915353927</v>
      </c>
      <c r="M42" s="43">
        <v>41</v>
      </c>
      <c r="N42" s="43">
        <v>40</v>
      </c>
      <c r="O42" s="43">
        <f t="shared" ca="1" si="4"/>
        <v>503</v>
      </c>
      <c r="P42" s="52">
        <f t="shared" ca="1" si="5"/>
        <v>16.21258244002189</v>
      </c>
      <c r="Q42" s="40">
        <f t="shared" ca="1" si="6"/>
        <v>8155</v>
      </c>
      <c r="R42" s="40"/>
      <c r="S42" s="47"/>
      <c r="T42" s="40"/>
      <c r="U42" s="40"/>
    </row>
    <row r="43" spans="1:21" ht="15" x14ac:dyDescent="0.25">
      <c r="A43" s="48">
        <v>41</v>
      </c>
      <c r="B43" s="49">
        <f t="shared" ca="1" si="0"/>
        <v>5590</v>
      </c>
      <c r="C43" s="50">
        <f t="shared" ca="1" si="2"/>
        <v>7640</v>
      </c>
      <c r="D43" s="51">
        <f t="shared" ca="1" si="3"/>
        <v>6362</v>
      </c>
      <c r="E43" s="54"/>
      <c r="F43" s="13">
        <v>41</v>
      </c>
      <c r="G43" s="35">
        <v>8751</v>
      </c>
      <c r="H43" s="35">
        <v>6032</v>
      </c>
      <c r="I43" s="35">
        <v>5192</v>
      </c>
      <c r="L43" s="40">
        <f t="shared" ca="1" si="1"/>
        <v>0.73015410528742486</v>
      </c>
      <c r="M43" s="43">
        <v>40</v>
      </c>
      <c r="N43" s="43">
        <v>41</v>
      </c>
      <c r="O43" s="43">
        <f t="shared" ca="1" si="4"/>
        <v>513</v>
      </c>
      <c r="P43" s="52">
        <f t="shared" ca="1" si="5"/>
        <v>12.401680761617206</v>
      </c>
      <c r="Q43" s="40">
        <f t="shared" ca="1" si="6"/>
        <v>6362</v>
      </c>
      <c r="R43" s="40"/>
      <c r="S43" s="47"/>
      <c r="T43" s="40"/>
      <c r="U43" s="40"/>
    </row>
    <row r="44" spans="1:21" ht="15" x14ac:dyDescent="0.25">
      <c r="A44" s="48">
        <v>42</v>
      </c>
      <c r="B44" s="49">
        <f t="shared" ca="1" si="0"/>
        <v>5884</v>
      </c>
      <c r="C44" s="50">
        <f t="shared" ca="1" si="2"/>
        <v>8539</v>
      </c>
      <c r="D44" s="51">
        <f t="shared" ca="1" si="3"/>
        <v>6928</v>
      </c>
      <c r="E44" s="54"/>
      <c r="F44" s="13">
        <v>42</v>
      </c>
      <c r="G44" s="35">
        <v>5130</v>
      </c>
      <c r="H44" s="35">
        <v>6894</v>
      </c>
      <c r="I44" s="35">
        <v>6552</v>
      </c>
      <c r="L44" s="40">
        <f t="shared" ca="1" si="1"/>
        <v>0.60574133486524884</v>
      </c>
      <c r="M44" s="43">
        <v>46</v>
      </c>
      <c r="N44" s="43">
        <v>42</v>
      </c>
      <c r="O44" s="43">
        <f t="shared" ca="1" si="4"/>
        <v>523</v>
      </c>
      <c r="P44" s="52">
        <f t="shared" ca="1" si="5"/>
        <v>13.24583213478008</v>
      </c>
      <c r="Q44" s="40">
        <f t="shared" ca="1" si="6"/>
        <v>6928</v>
      </c>
      <c r="R44" s="40"/>
      <c r="S44" s="47"/>
      <c r="T44" s="40"/>
      <c r="U44" s="40"/>
    </row>
    <row r="45" spans="1:21" ht="15" x14ac:dyDescent="0.25">
      <c r="A45" s="48">
        <v>43</v>
      </c>
      <c r="B45" s="49">
        <f t="shared" ca="1" si="0"/>
        <v>10100</v>
      </c>
      <c r="C45" s="50">
        <f t="shared" ca="1" si="2"/>
        <v>8135</v>
      </c>
      <c r="D45" s="51">
        <f t="shared" ca="1" si="3"/>
        <v>7651</v>
      </c>
      <c r="E45" s="54"/>
      <c r="F45" s="13">
        <v>43</v>
      </c>
      <c r="G45" s="35">
        <v>6754</v>
      </c>
      <c r="H45" s="35">
        <v>6552</v>
      </c>
      <c r="I45" s="35">
        <v>6290</v>
      </c>
      <c r="L45" s="40">
        <f t="shared" ca="1" si="1"/>
        <v>0.27453226604693037</v>
      </c>
      <c r="M45" s="43">
        <v>44</v>
      </c>
      <c r="N45" s="43">
        <v>43</v>
      </c>
      <c r="O45" s="43">
        <f t="shared" ca="1" si="4"/>
        <v>533</v>
      </c>
      <c r="P45" s="52">
        <f t="shared" ca="1" si="5"/>
        <v>14.35547542586486</v>
      </c>
      <c r="Q45" s="40">
        <f t="shared" ca="1" si="6"/>
        <v>7651</v>
      </c>
      <c r="R45" s="40"/>
      <c r="S45" s="47"/>
      <c r="T45" s="40"/>
      <c r="U45" s="40"/>
    </row>
    <row r="46" spans="1:21" ht="15" x14ac:dyDescent="0.25">
      <c r="A46" s="48">
        <v>44</v>
      </c>
      <c r="B46" s="49">
        <f t="shared" ca="1" si="0"/>
        <v>4786</v>
      </c>
      <c r="C46" s="50">
        <f t="shared" ca="1" si="2"/>
        <v>8155</v>
      </c>
      <c r="D46" s="51">
        <f t="shared" ca="1" si="3"/>
        <v>8539</v>
      </c>
      <c r="E46" s="54"/>
      <c r="F46" s="13">
        <v>44</v>
      </c>
      <c r="G46" s="35">
        <v>1436</v>
      </c>
      <c r="H46" s="35">
        <v>6754</v>
      </c>
      <c r="I46" s="35">
        <v>7538</v>
      </c>
      <c r="L46" s="40">
        <f t="shared" ca="1" si="1"/>
        <v>0.7829516249915538</v>
      </c>
      <c r="M46" s="2">
        <v>45</v>
      </c>
      <c r="N46" s="43">
        <v>44</v>
      </c>
      <c r="O46" s="43">
        <f t="shared" ca="1" si="4"/>
        <v>543</v>
      </c>
      <c r="P46" s="52">
        <f t="shared" ca="1" si="5"/>
        <v>15.726054414124375</v>
      </c>
      <c r="Q46" s="40">
        <f t="shared" ca="1" si="6"/>
        <v>8539</v>
      </c>
      <c r="R46" s="40"/>
      <c r="S46" s="47"/>
      <c r="T46" s="40"/>
      <c r="U46" s="40"/>
    </row>
    <row r="47" spans="1:21" ht="15" x14ac:dyDescent="0.25">
      <c r="A47" s="48">
        <v>45</v>
      </c>
      <c r="B47" s="49">
        <f t="shared" ca="1" si="0"/>
        <v>9053</v>
      </c>
      <c r="C47" s="50">
        <f t="shared" ca="1" si="2"/>
        <v>8613</v>
      </c>
      <c r="D47" s="51">
        <f t="shared" ca="1" si="3"/>
        <v>9743</v>
      </c>
      <c r="E47" s="54"/>
      <c r="F47" s="13">
        <v>45</v>
      </c>
      <c r="G47" s="35">
        <v>7787</v>
      </c>
      <c r="H47" s="35">
        <v>6983</v>
      </c>
      <c r="I47" s="35">
        <v>7226</v>
      </c>
      <c r="L47" s="40">
        <f t="shared" ca="1" si="1"/>
        <v>0.2756322145967921</v>
      </c>
      <c r="M47" s="43">
        <v>47</v>
      </c>
      <c r="N47" s="43">
        <v>45</v>
      </c>
      <c r="O47" s="43">
        <f t="shared" ca="1" si="4"/>
        <v>553</v>
      </c>
      <c r="P47" s="52">
        <f t="shared" ca="1" si="5"/>
        <v>17.618342463561707</v>
      </c>
      <c r="Q47" s="40">
        <f t="shared" ca="1" si="6"/>
        <v>9743</v>
      </c>
      <c r="R47" s="40"/>
      <c r="S47" s="47"/>
      <c r="T47" s="40"/>
      <c r="U47" s="40"/>
    </row>
    <row r="48" spans="1:21" ht="15" x14ac:dyDescent="0.25">
      <c r="A48" s="48">
        <v>46</v>
      </c>
      <c r="B48" s="49">
        <f t="shared" ca="1" si="0"/>
        <v>7739</v>
      </c>
      <c r="C48" s="50">
        <f t="shared" ca="1" si="2"/>
        <v>8786</v>
      </c>
      <c r="D48" s="51">
        <f t="shared" ca="1" si="3"/>
        <v>7741</v>
      </c>
      <c r="E48" s="54"/>
      <c r="F48" s="13">
        <v>46</v>
      </c>
      <c r="G48" s="35">
        <v>9099</v>
      </c>
      <c r="H48" s="35">
        <v>7001</v>
      </c>
      <c r="I48" s="35">
        <v>6526</v>
      </c>
      <c r="L48" s="40">
        <f t="shared" ca="1" si="1"/>
        <v>0.52459210929540778</v>
      </c>
      <c r="M48" s="43">
        <v>48</v>
      </c>
      <c r="N48" s="43">
        <v>46</v>
      </c>
      <c r="O48" s="43">
        <f t="shared" ca="1" si="4"/>
        <v>563</v>
      </c>
      <c r="P48" s="52">
        <f t="shared" ca="1" si="5"/>
        <v>13.748849528210879</v>
      </c>
      <c r="Q48" s="40">
        <f t="shared" ca="1" si="6"/>
        <v>7741</v>
      </c>
      <c r="R48" s="40"/>
      <c r="S48" s="47"/>
      <c r="T48" s="40"/>
      <c r="U48" s="40"/>
    </row>
    <row r="49" spans="1:21" ht="15" x14ac:dyDescent="0.25">
      <c r="A49" s="48">
        <v>47</v>
      </c>
      <c r="B49" s="49">
        <f t="shared" ca="1" si="0"/>
        <v>2687</v>
      </c>
      <c r="C49" s="50">
        <f t="shared" ca="1" si="2"/>
        <v>7739</v>
      </c>
      <c r="D49" s="51">
        <f t="shared" ca="1" si="3"/>
        <v>8135</v>
      </c>
      <c r="E49" s="54"/>
      <c r="F49" s="13">
        <v>47</v>
      </c>
      <c r="G49" s="35">
        <v>7001</v>
      </c>
      <c r="H49" s="35">
        <v>6526</v>
      </c>
      <c r="I49" s="35">
        <v>7472</v>
      </c>
      <c r="L49" s="40">
        <f t="shared" ca="1" si="1"/>
        <v>0.86777545588818095</v>
      </c>
      <c r="M49" s="43">
        <v>42</v>
      </c>
      <c r="N49" s="43">
        <v>47</v>
      </c>
      <c r="O49" s="43">
        <f t="shared" ca="1" si="4"/>
        <v>573</v>
      </c>
      <c r="P49" s="52">
        <f t="shared" ca="1" si="5"/>
        <v>14.197238324425406</v>
      </c>
      <c r="Q49" s="40">
        <f t="shared" ca="1" si="6"/>
        <v>8135</v>
      </c>
      <c r="R49" s="40"/>
      <c r="S49" s="47"/>
      <c r="T49" s="40"/>
      <c r="U49" s="40"/>
    </row>
    <row r="50" spans="1:21" ht="15" x14ac:dyDescent="0.25">
      <c r="A50" s="48">
        <v>48</v>
      </c>
      <c r="B50" s="49">
        <f t="shared" ca="1" si="0"/>
        <v>12876</v>
      </c>
      <c r="C50" s="50">
        <f t="shared" ca="1" si="2"/>
        <v>7741</v>
      </c>
      <c r="D50" s="51">
        <f t="shared" ca="1" si="3"/>
        <v>8613</v>
      </c>
      <c r="E50" s="54"/>
      <c r="F50" s="13">
        <v>48</v>
      </c>
      <c r="G50" s="35">
        <v>9499</v>
      </c>
      <c r="H50" s="35">
        <v>6532</v>
      </c>
      <c r="I50" s="35">
        <v>7242</v>
      </c>
      <c r="L50" s="40">
        <f t="shared" ca="1" si="1"/>
        <v>0.10266522652377053</v>
      </c>
      <c r="M50" s="43">
        <v>43</v>
      </c>
      <c r="N50" s="43">
        <v>48</v>
      </c>
      <c r="O50" s="43">
        <f t="shared" ca="1" si="4"/>
        <v>583</v>
      </c>
      <c r="P50" s="52">
        <f t="shared" ca="1" si="5"/>
        <v>14.773528571630383</v>
      </c>
      <c r="Q50" s="40">
        <f t="shared" ca="1" si="6"/>
        <v>8613</v>
      </c>
      <c r="R50" s="40"/>
      <c r="S50" s="47"/>
      <c r="T50" s="40"/>
      <c r="U50" s="40"/>
    </row>
    <row r="51" spans="1:21" ht="15" x14ac:dyDescent="0.25">
      <c r="A51" s="48">
        <v>49</v>
      </c>
      <c r="B51" s="49">
        <f t="shared" ca="1" si="0"/>
        <v>9088</v>
      </c>
      <c r="C51" s="50">
        <f t="shared" ca="1" si="2"/>
        <v>8902</v>
      </c>
      <c r="D51" s="51">
        <f t="shared" ca="1" si="3"/>
        <v>8786</v>
      </c>
      <c r="E51" s="54"/>
      <c r="F51" s="13">
        <v>49</v>
      </c>
      <c r="G51" s="35">
        <v>2078</v>
      </c>
      <c r="H51" s="35">
        <v>7226</v>
      </c>
      <c r="I51" s="35">
        <v>7583</v>
      </c>
      <c r="L51" s="40">
        <f t="shared" ca="1" si="1"/>
        <v>0.3580548801852893</v>
      </c>
      <c r="M51" s="43">
        <v>50</v>
      </c>
      <c r="N51" s="43">
        <v>49</v>
      </c>
      <c r="O51" s="43">
        <f t="shared" ca="1" si="4"/>
        <v>593</v>
      </c>
      <c r="P51" s="52">
        <f t="shared" ca="1" si="5"/>
        <v>14.816892894990657</v>
      </c>
      <c r="Q51" s="40">
        <f t="shared" ca="1" si="6"/>
        <v>8786</v>
      </c>
      <c r="R51" s="40"/>
      <c r="S51" s="47"/>
      <c r="T51" s="40"/>
      <c r="U51" s="40"/>
    </row>
    <row r="52" spans="1:21" ht="15" x14ac:dyDescent="0.25">
      <c r="A52" s="48">
        <v>50</v>
      </c>
      <c r="B52" s="49">
        <f t="shared" ca="1" si="0"/>
        <v>10671</v>
      </c>
      <c r="C52" s="50">
        <f t="shared" ca="1" si="2"/>
        <v>8791</v>
      </c>
      <c r="D52" s="51">
        <f t="shared" ca="1" si="3"/>
        <v>10747</v>
      </c>
      <c r="E52" s="54"/>
      <c r="F52" s="13">
        <v>50</v>
      </c>
      <c r="G52" s="35">
        <v>4336</v>
      </c>
      <c r="H52" s="35">
        <v>7172</v>
      </c>
      <c r="I52" s="35">
        <v>9442</v>
      </c>
      <c r="L52" s="40">
        <f t="shared" ca="1" si="1"/>
        <v>0.19338595121300362</v>
      </c>
      <c r="M52" s="43">
        <v>49</v>
      </c>
      <c r="N52" s="43">
        <v>50</v>
      </c>
      <c r="O52" s="43">
        <f t="shared" ca="1" si="4"/>
        <v>603</v>
      </c>
      <c r="P52" s="52">
        <f t="shared" ca="1" si="5"/>
        <v>17.822204679765189</v>
      </c>
      <c r="Q52" s="40">
        <f t="shared" ca="1" si="6"/>
        <v>10747</v>
      </c>
      <c r="R52" s="40"/>
      <c r="S52" s="47"/>
      <c r="T52" s="40"/>
      <c r="U52" s="40"/>
    </row>
    <row r="53" spans="1:21" ht="15" x14ac:dyDescent="0.25">
      <c r="A53" s="48">
        <v>51</v>
      </c>
      <c r="B53" s="49">
        <f t="shared" ca="1" si="0"/>
        <v>8791</v>
      </c>
      <c r="C53" s="50">
        <f t="shared" ca="1" si="2"/>
        <v>8986</v>
      </c>
      <c r="D53" s="51">
        <f t="shared" ca="1" si="3"/>
        <v>9088</v>
      </c>
      <c r="E53" s="54"/>
      <c r="F53" s="13">
        <v>51</v>
      </c>
      <c r="G53" s="35">
        <v>2528</v>
      </c>
      <c r="H53" s="35">
        <v>7242</v>
      </c>
      <c r="I53" s="35">
        <v>6983</v>
      </c>
      <c r="L53" s="40">
        <f t="shared" ca="1" si="1"/>
        <v>0.15585965854973294</v>
      </c>
      <c r="M53" s="43">
        <v>51</v>
      </c>
      <c r="N53" s="43">
        <v>51</v>
      </c>
      <c r="O53" s="43">
        <f t="shared" ca="1" si="4"/>
        <v>613</v>
      </c>
      <c r="P53" s="52">
        <f t="shared" ca="1" si="5"/>
        <v>14.824939145742887</v>
      </c>
      <c r="Q53" s="40">
        <f t="shared" ca="1" si="6"/>
        <v>9088</v>
      </c>
      <c r="R53" s="40"/>
      <c r="S53" s="47"/>
      <c r="T53" s="40"/>
      <c r="U53" s="40"/>
    </row>
    <row r="54" spans="1:21" ht="15" x14ac:dyDescent="0.25">
      <c r="A54" s="48">
        <v>52</v>
      </c>
      <c r="B54" s="49">
        <f t="shared" ca="1" si="0"/>
        <v>10042</v>
      </c>
      <c r="C54" s="50">
        <f t="shared" ca="1" si="2"/>
        <v>9103</v>
      </c>
      <c r="D54" s="51">
        <f t="shared" ca="1" si="3"/>
        <v>8902</v>
      </c>
      <c r="E54" s="54"/>
      <c r="F54" s="13">
        <v>52</v>
      </c>
      <c r="G54" s="35">
        <v>5761</v>
      </c>
      <c r="H54" s="35">
        <v>7583</v>
      </c>
      <c r="I54" s="35">
        <v>6894</v>
      </c>
      <c r="L54" s="40">
        <f t="shared" ca="1" si="1"/>
        <v>7.0596753292397119E-2</v>
      </c>
      <c r="M54" s="43">
        <v>54</v>
      </c>
      <c r="N54" s="43">
        <v>52</v>
      </c>
      <c r="O54" s="43">
        <f t="shared" ca="1" si="4"/>
        <v>623</v>
      </c>
      <c r="P54" s="52">
        <f t="shared" ca="1" si="5"/>
        <v>14.288147516565276</v>
      </c>
      <c r="Q54" s="40">
        <f t="shared" ca="1" si="6"/>
        <v>8902</v>
      </c>
      <c r="R54" s="40"/>
      <c r="S54" s="47"/>
      <c r="T54" s="40"/>
      <c r="U54" s="40"/>
    </row>
    <row r="55" spans="1:21" ht="15" x14ac:dyDescent="0.25">
      <c r="A55" s="48">
        <v>53</v>
      </c>
      <c r="B55" s="49">
        <f t="shared" ca="1" si="0"/>
        <v>8902</v>
      </c>
      <c r="C55" s="50">
        <f t="shared" ca="1" si="2"/>
        <v>9088</v>
      </c>
      <c r="D55" s="51">
        <f t="shared" ca="1" si="3"/>
        <v>9326</v>
      </c>
      <c r="E55" s="54"/>
      <c r="F55" s="13">
        <v>53</v>
      </c>
      <c r="G55" s="35">
        <v>8721</v>
      </c>
      <c r="H55" s="35">
        <v>7538</v>
      </c>
      <c r="I55" s="35">
        <v>7001</v>
      </c>
      <c r="L55" s="40">
        <f t="shared" ca="1" si="1"/>
        <v>0.3445719803428533</v>
      </c>
      <c r="M55" s="43">
        <v>53</v>
      </c>
      <c r="N55" s="43">
        <v>53</v>
      </c>
      <c r="O55" s="43">
        <f t="shared" ca="1" si="4"/>
        <v>633</v>
      </c>
      <c r="P55" s="52">
        <f t="shared" ca="1" si="5"/>
        <v>14.732690656580194</v>
      </c>
      <c r="Q55" s="40">
        <f t="shared" ca="1" si="6"/>
        <v>9326</v>
      </c>
      <c r="R55" s="40"/>
      <c r="S55" s="40"/>
      <c r="T55" s="40"/>
      <c r="U55" s="40"/>
    </row>
    <row r="56" spans="1:21" ht="15" x14ac:dyDescent="0.25">
      <c r="A56" s="48">
        <v>54</v>
      </c>
      <c r="B56" s="49">
        <f t="shared" ca="1" si="0"/>
        <v>12169</v>
      </c>
      <c r="C56" s="50">
        <f t="shared" ca="1" si="2"/>
        <v>9053</v>
      </c>
      <c r="D56" s="51">
        <f t="shared" ca="1" si="3"/>
        <v>10188</v>
      </c>
      <c r="E56" s="54"/>
      <c r="F56" s="13">
        <v>54</v>
      </c>
      <c r="G56" s="35">
        <v>5561</v>
      </c>
      <c r="H56" s="35">
        <v>7472</v>
      </c>
      <c r="I56" s="35">
        <v>9135</v>
      </c>
      <c r="L56" s="40">
        <f t="shared" ca="1" si="1"/>
        <v>5.7464734885334767E-2</v>
      </c>
      <c r="M56" s="43">
        <v>52</v>
      </c>
      <c r="N56" s="43">
        <v>54</v>
      </c>
      <c r="O56" s="43">
        <f t="shared" ca="1" si="4"/>
        <v>643</v>
      </c>
      <c r="P56" s="52">
        <f t="shared" ca="1" si="5"/>
        <v>15.84492813036994</v>
      </c>
      <c r="Q56" s="40">
        <f t="shared" ca="1" si="6"/>
        <v>10188</v>
      </c>
      <c r="R56" s="40"/>
      <c r="S56" s="40"/>
      <c r="T56" s="40"/>
      <c r="U56" s="40"/>
    </row>
    <row r="57" spans="1:21" ht="15" x14ac:dyDescent="0.25">
      <c r="A57" s="48">
        <v>55</v>
      </c>
      <c r="B57" s="49">
        <f t="shared" ca="1" si="0"/>
        <v>12400</v>
      </c>
      <c r="C57" s="50">
        <f t="shared" ca="1" si="2"/>
        <v>9326</v>
      </c>
      <c r="D57" s="51">
        <f t="shared" ca="1" si="3"/>
        <v>12134</v>
      </c>
      <c r="E57" s="54"/>
      <c r="F57" s="13">
        <v>55</v>
      </c>
      <c r="G57" s="35">
        <v>3935</v>
      </c>
      <c r="H57" s="35">
        <v>7787</v>
      </c>
      <c r="I57" s="35">
        <v>9895</v>
      </c>
      <c r="L57" s="40">
        <f t="shared" ca="1" si="1"/>
        <v>0.17872802630669049</v>
      </c>
      <c r="M57" s="43">
        <v>55</v>
      </c>
      <c r="N57" s="43">
        <v>55</v>
      </c>
      <c r="O57" s="43">
        <f t="shared" ca="1" si="4"/>
        <v>653</v>
      </c>
      <c r="P57" s="52">
        <f t="shared" ca="1" si="5"/>
        <v>18.58131372148106</v>
      </c>
      <c r="Q57" s="40">
        <f t="shared" ca="1" si="6"/>
        <v>12134</v>
      </c>
      <c r="R57" s="40"/>
      <c r="S57" s="40"/>
      <c r="T57" s="40"/>
      <c r="U57" s="40"/>
    </row>
    <row r="58" spans="1:21" ht="15" x14ac:dyDescent="0.25">
      <c r="A58" s="48">
        <v>56</v>
      </c>
      <c r="B58" s="49">
        <f t="shared" ca="1" si="0"/>
        <v>6623</v>
      </c>
      <c r="C58" s="50">
        <f t="shared" ca="1" si="2"/>
        <v>9743</v>
      </c>
      <c r="D58" s="51">
        <f t="shared" ca="1" si="3"/>
        <v>9053</v>
      </c>
      <c r="E58" s="54"/>
      <c r="F58" s="13">
        <v>56</v>
      </c>
      <c r="G58" s="35">
        <v>3019</v>
      </c>
      <c r="H58" s="35">
        <v>8593</v>
      </c>
      <c r="I58" s="35">
        <v>5761</v>
      </c>
      <c r="L58" s="40">
        <f t="shared" ca="1" si="1"/>
        <v>0.59851885637132052</v>
      </c>
      <c r="M58" s="43">
        <v>56</v>
      </c>
      <c r="N58" s="43">
        <v>56</v>
      </c>
      <c r="O58" s="43">
        <f t="shared" ca="1" si="4"/>
        <v>663</v>
      </c>
      <c r="P58" s="52">
        <f t="shared" ca="1" si="5"/>
        <v>13.654966318014514</v>
      </c>
      <c r="Q58" s="40">
        <f t="shared" ca="1" si="6"/>
        <v>9053</v>
      </c>
      <c r="R58" s="40"/>
      <c r="S58" s="40"/>
      <c r="T58" s="40"/>
      <c r="U58" s="40"/>
    </row>
    <row r="59" spans="1:21" ht="15" x14ac:dyDescent="0.25">
      <c r="A59" s="48">
        <v>57</v>
      </c>
      <c r="B59" s="49">
        <f t="shared" ca="1" si="0"/>
        <v>12086</v>
      </c>
      <c r="C59" s="50">
        <f t="shared" ca="1" si="2"/>
        <v>10100</v>
      </c>
      <c r="D59" s="51">
        <f t="shared" ca="1" si="3"/>
        <v>10100</v>
      </c>
      <c r="E59" s="54"/>
      <c r="F59" s="13">
        <v>57</v>
      </c>
      <c r="G59" s="35">
        <v>5801</v>
      </c>
      <c r="H59" s="35">
        <v>8720</v>
      </c>
      <c r="I59" s="35">
        <v>6754</v>
      </c>
      <c r="L59" s="40">
        <f t="shared" ca="1" si="1"/>
        <v>0.11171640635413016</v>
      </c>
      <c r="M59" s="43">
        <v>58</v>
      </c>
      <c r="N59" s="43">
        <v>57</v>
      </c>
      <c r="O59" s="43">
        <f t="shared" ca="1" si="4"/>
        <v>673</v>
      </c>
      <c r="P59" s="52">
        <f t="shared" ca="1" si="5"/>
        <v>15.006849222210041</v>
      </c>
      <c r="Q59" s="40">
        <f t="shared" ca="1" si="6"/>
        <v>10100</v>
      </c>
      <c r="R59" s="40"/>
      <c r="S59" s="40"/>
      <c r="T59" s="40"/>
      <c r="U59" s="40"/>
    </row>
    <row r="60" spans="1:21" ht="15" x14ac:dyDescent="0.25">
      <c r="A60" s="48">
        <v>58</v>
      </c>
      <c r="B60" s="49">
        <f t="shared" ca="1" si="0"/>
        <v>3892</v>
      </c>
      <c r="C60" s="50">
        <f t="shared" ca="1" si="2"/>
        <v>10747</v>
      </c>
      <c r="D60" s="51">
        <f t="shared" ca="1" si="3"/>
        <v>8986</v>
      </c>
      <c r="E60" s="54"/>
      <c r="F60" s="13">
        <v>58</v>
      </c>
      <c r="G60" s="35">
        <v>3099</v>
      </c>
      <c r="H60" s="35">
        <v>9099</v>
      </c>
      <c r="I60" s="35">
        <v>7787</v>
      </c>
      <c r="L60" s="40">
        <f t="shared" ca="1" si="1"/>
        <v>0.80891880424130691</v>
      </c>
      <c r="M60" s="43">
        <v>62</v>
      </c>
      <c r="N60" s="43">
        <v>58</v>
      </c>
      <c r="O60" s="43">
        <f t="shared" ca="1" si="4"/>
        <v>683</v>
      </c>
      <c r="P60" s="52">
        <f t="shared" ca="1" si="5"/>
        <v>13.156873526930694</v>
      </c>
      <c r="Q60" s="40">
        <f t="shared" ca="1" si="6"/>
        <v>8986</v>
      </c>
      <c r="R60" s="40"/>
      <c r="S60" s="40"/>
      <c r="T60" s="40"/>
      <c r="U60" s="40"/>
    </row>
    <row r="61" spans="1:21" ht="15" x14ac:dyDescent="0.25">
      <c r="A61" s="48">
        <v>59</v>
      </c>
      <c r="B61" s="49">
        <f t="shared" ca="1" si="0"/>
        <v>8986</v>
      </c>
      <c r="C61" s="50">
        <f t="shared" ca="1" si="2"/>
        <v>10042</v>
      </c>
      <c r="D61" s="51">
        <f t="shared" ca="1" si="3"/>
        <v>11222</v>
      </c>
      <c r="E61" s="54"/>
      <c r="F61" s="13">
        <v>59</v>
      </c>
      <c r="G61" s="35">
        <v>4861</v>
      </c>
      <c r="H61" s="35">
        <v>8705</v>
      </c>
      <c r="I61" s="35">
        <v>10108</v>
      </c>
      <c r="L61" s="40">
        <f t="shared" ca="1" si="1"/>
        <v>0.25347977814067835</v>
      </c>
      <c r="M61" s="43">
        <v>57</v>
      </c>
      <c r="N61" s="43">
        <v>59</v>
      </c>
      <c r="O61" s="43">
        <f t="shared" ca="1" si="4"/>
        <v>693</v>
      </c>
      <c r="P61" s="52">
        <f t="shared" ca="1" si="5"/>
        <v>16.193482246304669</v>
      </c>
      <c r="Q61" s="40">
        <f t="shared" ca="1" si="6"/>
        <v>11222</v>
      </c>
      <c r="R61" s="40"/>
      <c r="S61" s="40"/>
      <c r="T61" s="40"/>
      <c r="U61" s="40"/>
    </row>
    <row r="62" spans="1:21" ht="15" x14ac:dyDescent="0.25">
      <c r="A62" s="48">
        <v>60</v>
      </c>
      <c r="B62" s="49">
        <f t="shared" ca="1" si="0"/>
        <v>8135</v>
      </c>
      <c r="C62" s="50">
        <f t="shared" ca="1" si="2"/>
        <v>10188</v>
      </c>
      <c r="D62" s="51">
        <f t="shared" ca="1" si="3"/>
        <v>12135</v>
      </c>
      <c r="E62" s="54"/>
      <c r="F62" s="13">
        <v>60</v>
      </c>
      <c r="G62" s="35">
        <v>7538</v>
      </c>
      <c r="H62" s="35">
        <v>8721</v>
      </c>
      <c r="I62" s="35">
        <v>8783</v>
      </c>
      <c r="L62" s="40">
        <f t="shared" ca="1" si="1"/>
        <v>0.38141320819408409</v>
      </c>
      <c r="M62" s="43">
        <v>59</v>
      </c>
      <c r="N62" s="43">
        <v>60</v>
      </c>
      <c r="O62" s="43">
        <f t="shared" ca="1" si="4"/>
        <v>703</v>
      </c>
      <c r="P62" s="52">
        <f t="shared" ca="1" si="5"/>
        <v>17.261168757320512</v>
      </c>
      <c r="Q62" s="40">
        <f t="shared" ca="1" si="6"/>
        <v>12135</v>
      </c>
      <c r="R62" s="40"/>
      <c r="S62" s="40"/>
      <c r="T62" s="40"/>
      <c r="U62" s="40"/>
    </row>
    <row r="63" spans="1:21" ht="15" x14ac:dyDescent="0.25">
      <c r="A63" s="48">
        <v>61</v>
      </c>
      <c r="B63" s="49">
        <f t="shared" ca="1" si="0"/>
        <v>4018</v>
      </c>
      <c r="C63" s="50">
        <f t="shared" ca="1" si="2"/>
        <v>10671</v>
      </c>
      <c r="D63" s="51">
        <f t="shared" ca="1" si="3"/>
        <v>10671</v>
      </c>
      <c r="E63" s="54"/>
      <c r="F63" s="13">
        <v>61</v>
      </c>
      <c r="G63" s="35">
        <v>7583</v>
      </c>
      <c r="H63" s="35">
        <v>8751</v>
      </c>
      <c r="I63" s="35">
        <v>8705</v>
      </c>
      <c r="L63" s="40">
        <f t="shared" ca="1" si="1"/>
        <v>0.74676333288216368</v>
      </c>
      <c r="M63" s="43">
        <v>60</v>
      </c>
      <c r="N63" s="43">
        <v>61</v>
      </c>
      <c r="O63" s="43">
        <f t="shared" ca="1" si="4"/>
        <v>713</v>
      </c>
      <c r="P63" s="52">
        <f t="shared" ca="1" si="5"/>
        <v>14.96701734979505</v>
      </c>
      <c r="Q63" s="40">
        <f t="shared" ca="1" si="6"/>
        <v>10671</v>
      </c>
      <c r="R63" s="40"/>
      <c r="S63" s="40"/>
      <c r="T63" s="40"/>
      <c r="U63" s="40"/>
    </row>
    <row r="64" spans="1:21" ht="15" x14ac:dyDescent="0.25">
      <c r="A64" s="48">
        <v>62</v>
      </c>
      <c r="B64" s="49">
        <f t="shared" ca="1" si="0"/>
        <v>6528</v>
      </c>
      <c r="C64" s="50">
        <f t="shared" ca="1" si="2"/>
        <v>10688</v>
      </c>
      <c r="D64" s="51">
        <f t="shared" ca="1" si="3"/>
        <v>9103</v>
      </c>
      <c r="E64" s="54"/>
      <c r="F64" s="13">
        <v>62</v>
      </c>
      <c r="G64" s="35">
        <v>3779</v>
      </c>
      <c r="H64" s="35">
        <v>8783</v>
      </c>
      <c r="I64" s="35">
        <v>8721</v>
      </c>
      <c r="L64" s="40">
        <f t="shared" ca="1" si="1"/>
        <v>0.54188104765414657</v>
      </c>
      <c r="M64" s="43">
        <v>61</v>
      </c>
      <c r="N64" s="43">
        <v>62</v>
      </c>
      <c r="O64" s="43">
        <f t="shared" ca="1" si="4"/>
        <v>723</v>
      </c>
      <c r="P64" s="52">
        <f t="shared" ca="1" si="5"/>
        <v>12.590680083345386</v>
      </c>
      <c r="Q64" s="40">
        <f t="shared" ca="1" si="6"/>
        <v>9103</v>
      </c>
      <c r="R64" s="40"/>
      <c r="S64" s="40"/>
      <c r="T64" s="40"/>
      <c r="U64" s="40"/>
    </row>
    <row r="65" spans="1:22" ht="15" x14ac:dyDescent="0.25">
      <c r="A65" s="48">
        <v>63</v>
      </c>
      <c r="B65" s="49">
        <f t="shared" ca="1" si="0"/>
        <v>10188</v>
      </c>
      <c r="C65" s="50">
        <f t="shared" ca="1" si="2"/>
        <v>11222</v>
      </c>
      <c r="D65" s="51">
        <f t="shared" ca="1" si="3"/>
        <v>10688</v>
      </c>
      <c r="E65" s="54"/>
      <c r="F65" s="13">
        <v>63</v>
      </c>
      <c r="G65" s="35">
        <v>4523</v>
      </c>
      <c r="H65" s="35">
        <v>9442</v>
      </c>
      <c r="I65" s="35">
        <v>8593</v>
      </c>
      <c r="L65" s="40">
        <f t="shared" ca="1" si="1"/>
        <v>0.31724733874791045</v>
      </c>
      <c r="M65" s="43">
        <v>64</v>
      </c>
      <c r="N65" s="43">
        <v>63</v>
      </c>
      <c r="O65" s="43">
        <f t="shared" ca="1" si="4"/>
        <v>733</v>
      </c>
      <c r="P65" s="52">
        <f t="shared" ca="1" si="5"/>
        <v>14.581543894141173</v>
      </c>
      <c r="Q65" s="40">
        <f t="shared" ca="1" si="6"/>
        <v>10688</v>
      </c>
      <c r="R65" s="40"/>
      <c r="S65" s="40"/>
      <c r="T65" s="40"/>
      <c r="U65" s="40"/>
    </row>
    <row r="66" spans="1:22" ht="15" x14ac:dyDescent="0.25">
      <c r="A66" s="48">
        <v>64</v>
      </c>
      <c r="B66" s="49">
        <f t="shared" ca="1" si="0"/>
        <v>13723</v>
      </c>
      <c r="C66" s="50">
        <f t="shared" ca="1" si="2"/>
        <v>10767</v>
      </c>
      <c r="D66" s="51">
        <f t="shared" ca="1" si="3"/>
        <v>12426</v>
      </c>
      <c r="E66" s="54"/>
      <c r="F66" s="13">
        <v>64</v>
      </c>
      <c r="G66" s="35">
        <v>5475</v>
      </c>
      <c r="H66" s="35">
        <v>9135</v>
      </c>
      <c r="I66" s="35">
        <v>9499</v>
      </c>
      <c r="L66" s="40">
        <f t="shared" ca="1" si="1"/>
        <v>9.0349654234994969E-2</v>
      </c>
      <c r="M66" s="43">
        <v>63</v>
      </c>
      <c r="N66" s="43">
        <v>64</v>
      </c>
      <c r="O66" s="43">
        <f t="shared" ca="1" si="4"/>
        <v>743</v>
      </c>
      <c r="P66" s="52">
        <f t="shared" ca="1" si="5"/>
        <v>16.723492878090269</v>
      </c>
      <c r="Q66" s="40">
        <f t="shared" ca="1" si="6"/>
        <v>12426</v>
      </c>
      <c r="R66" s="40"/>
      <c r="S66" s="40"/>
      <c r="T66" s="40"/>
      <c r="U66" s="40"/>
    </row>
    <row r="67" spans="1:22" ht="15" x14ac:dyDescent="0.25">
      <c r="A67" s="48">
        <v>65</v>
      </c>
      <c r="B67" s="49">
        <f t="shared" ref="B67:B77" ca="1" si="7">INDEX($Q$3:$Q$77,RANK(L67,$L$3:$L$77))</f>
        <v>12135</v>
      </c>
      <c r="C67" s="50">
        <f t="shared" ca="1" si="2"/>
        <v>12169</v>
      </c>
      <c r="D67" s="51">
        <f t="shared" ca="1" si="3"/>
        <v>12400</v>
      </c>
      <c r="E67" s="54"/>
      <c r="F67" s="13">
        <v>65</v>
      </c>
      <c r="G67" s="35">
        <v>1909</v>
      </c>
      <c r="H67" s="35">
        <v>9895</v>
      </c>
      <c r="I67" s="35">
        <v>10367</v>
      </c>
      <c r="L67" s="40">
        <f t="shared" ref="L67:L77" ca="1" si="8">RAND()</f>
        <v>0.20279456474228619</v>
      </c>
      <c r="M67" s="43">
        <v>68</v>
      </c>
      <c r="N67" s="43">
        <v>65</v>
      </c>
      <c r="O67" s="43">
        <f t="shared" ca="1" si="4"/>
        <v>753</v>
      </c>
      <c r="P67" s="52">
        <f t="shared" ca="1" si="5"/>
        <v>16.467567973544607</v>
      </c>
      <c r="Q67" s="40">
        <f t="shared" ca="1" si="6"/>
        <v>12400</v>
      </c>
      <c r="R67" s="40"/>
      <c r="S67" s="40"/>
      <c r="T67" s="40"/>
      <c r="U67" s="40"/>
    </row>
    <row r="68" spans="1:22" ht="15" x14ac:dyDescent="0.25">
      <c r="A68" s="48">
        <v>66</v>
      </c>
      <c r="B68" s="49">
        <f t="shared" ca="1" si="7"/>
        <v>4196</v>
      </c>
      <c r="C68" s="50">
        <f t="shared" ref="C68:C77" ca="1" si="9">SMALL($Q$3:$Q$77,M68)</f>
        <v>12134</v>
      </c>
      <c r="D68" s="51">
        <f t="shared" ref="D68:D77" ca="1" si="10">Q68</f>
        <v>8791</v>
      </c>
      <c r="E68" s="54"/>
      <c r="F68" s="13">
        <v>66</v>
      </c>
      <c r="G68" s="35">
        <v>10108</v>
      </c>
      <c r="H68" s="35">
        <v>9652</v>
      </c>
      <c r="I68" s="35">
        <v>8720</v>
      </c>
      <c r="L68" s="40">
        <f t="shared" ca="1" si="8"/>
        <v>0.83836181985580915</v>
      </c>
      <c r="M68" s="43">
        <v>66</v>
      </c>
      <c r="N68" s="43">
        <v>66</v>
      </c>
      <c r="O68" s="43">
        <f t="shared" ref="O68:O77" ca="1" si="11">INT($R$1+$S$1*N68)</f>
        <v>763</v>
      </c>
      <c r="P68" s="52">
        <f t="shared" ref="P68:P77" ca="1" si="12">(((IF(MOD(N68,5)&lt;&gt;0,MOD(N68,5),5))+12)+_xlfn.NORM.S.INV(RAND()))</f>
        <v>11.521407757529063</v>
      </c>
      <c r="Q68" s="40">
        <f t="shared" ref="Q68:Q76" ca="1" si="13">ROUND(O68*P68,0)</f>
        <v>8791</v>
      </c>
      <c r="R68" s="40"/>
      <c r="S68" s="40"/>
      <c r="T68" s="40"/>
      <c r="U68" s="40"/>
    </row>
    <row r="69" spans="1:22" ht="15" x14ac:dyDescent="0.25">
      <c r="A69" s="48">
        <v>67</v>
      </c>
      <c r="B69" s="49">
        <f t="shared" ca="1" si="7"/>
        <v>10747</v>
      </c>
      <c r="C69" s="50">
        <f t="shared" ca="1" si="9"/>
        <v>12135</v>
      </c>
      <c r="D69" s="51">
        <f t="shared" ca="1" si="10"/>
        <v>10767</v>
      </c>
      <c r="E69" s="54"/>
      <c r="F69" s="13">
        <v>67</v>
      </c>
      <c r="G69" s="35">
        <v>4492</v>
      </c>
      <c r="H69" s="35">
        <v>9678</v>
      </c>
      <c r="I69" s="35">
        <v>9099</v>
      </c>
      <c r="L69" s="40">
        <f t="shared" ca="1" si="8"/>
        <v>0.36082195519927074</v>
      </c>
      <c r="M69" s="43">
        <v>67</v>
      </c>
      <c r="N69" s="43">
        <v>67</v>
      </c>
      <c r="O69" s="43">
        <f t="shared" ca="1" si="11"/>
        <v>773</v>
      </c>
      <c r="P69" s="52">
        <f t="shared" ca="1" si="12"/>
        <v>13.928668107793655</v>
      </c>
      <c r="Q69" s="40">
        <f t="shared" ca="1" si="13"/>
        <v>10767</v>
      </c>
      <c r="R69" s="40"/>
      <c r="S69" s="40"/>
      <c r="T69" s="40"/>
      <c r="U69" s="40"/>
    </row>
    <row r="70" spans="1:22" ht="15" x14ac:dyDescent="0.25">
      <c r="A70" s="48">
        <v>68</v>
      </c>
      <c r="B70" s="49">
        <f t="shared" ca="1" si="7"/>
        <v>14280</v>
      </c>
      <c r="C70" s="50">
        <f t="shared" ca="1" si="9"/>
        <v>12086</v>
      </c>
      <c r="D70" s="51">
        <f t="shared" ca="1" si="10"/>
        <v>12086</v>
      </c>
      <c r="E70" s="54"/>
      <c r="F70" s="13">
        <v>68</v>
      </c>
      <c r="G70" s="35">
        <v>8705</v>
      </c>
      <c r="H70" s="35">
        <v>9499</v>
      </c>
      <c r="I70" s="35">
        <v>9652</v>
      </c>
      <c r="L70" s="40">
        <f t="shared" ca="1" si="8"/>
        <v>4.6261769237732731E-2</v>
      </c>
      <c r="M70" s="43">
        <v>65</v>
      </c>
      <c r="N70" s="43">
        <v>68</v>
      </c>
      <c r="O70" s="43">
        <f t="shared" ca="1" si="11"/>
        <v>783</v>
      </c>
      <c r="P70" s="52">
        <f t="shared" ca="1" si="12"/>
        <v>15.434962616670765</v>
      </c>
      <c r="Q70" s="40">
        <f t="shared" ca="1" si="13"/>
        <v>12086</v>
      </c>
      <c r="R70" s="40"/>
      <c r="S70" s="40"/>
      <c r="T70" s="40"/>
      <c r="U70" s="40"/>
    </row>
    <row r="71" spans="1:22" ht="15" x14ac:dyDescent="0.25">
      <c r="A71" s="48">
        <v>69</v>
      </c>
      <c r="B71" s="49">
        <f t="shared" ca="1" si="7"/>
        <v>4904</v>
      </c>
      <c r="C71" s="50">
        <f t="shared" ca="1" si="9"/>
        <v>12400</v>
      </c>
      <c r="D71" s="51">
        <f t="shared" ca="1" si="10"/>
        <v>12876</v>
      </c>
      <c r="E71" s="54"/>
      <c r="F71" s="13">
        <v>69</v>
      </c>
      <c r="G71" s="35">
        <v>5192</v>
      </c>
      <c r="H71" s="35">
        <v>10108</v>
      </c>
      <c r="I71" s="35">
        <v>10359</v>
      </c>
      <c r="L71" s="40">
        <f t="shared" ca="1" si="8"/>
        <v>0.67617583025922545</v>
      </c>
      <c r="M71" s="43">
        <v>69</v>
      </c>
      <c r="N71" s="43">
        <v>69</v>
      </c>
      <c r="O71" s="43">
        <f t="shared" ca="1" si="11"/>
        <v>793</v>
      </c>
      <c r="P71" s="52">
        <f t="shared" ca="1" si="12"/>
        <v>16.236965569077075</v>
      </c>
      <c r="Q71" s="40">
        <f t="shared" ca="1" si="13"/>
        <v>12876</v>
      </c>
      <c r="R71" s="40"/>
      <c r="S71" s="40"/>
      <c r="T71" s="40"/>
      <c r="U71" s="40"/>
    </row>
    <row r="72" spans="1:22" ht="15" x14ac:dyDescent="0.25">
      <c r="A72" s="48">
        <v>70</v>
      </c>
      <c r="B72" s="49">
        <f t="shared" ca="1" si="7"/>
        <v>4297</v>
      </c>
      <c r="C72" s="50">
        <f t="shared" ca="1" si="9"/>
        <v>12426</v>
      </c>
      <c r="D72" s="51">
        <f t="shared" ca="1" si="10"/>
        <v>13723</v>
      </c>
      <c r="E72" s="54"/>
      <c r="F72" s="13">
        <v>70</v>
      </c>
      <c r="G72" s="35">
        <v>3743</v>
      </c>
      <c r="H72" s="35">
        <v>10208</v>
      </c>
      <c r="I72" s="35">
        <v>11930</v>
      </c>
      <c r="L72" s="40">
        <f t="shared" ca="1" si="8"/>
        <v>0.82855561779682263</v>
      </c>
      <c r="M72" s="43">
        <v>70</v>
      </c>
      <c r="N72" s="43">
        <v>70</v>
      </c>
      <c r="O72" s="43">
        <f t="shared" ca="1" si="11"/>
        <v>803</v>
      </c>
      <c r="P72" s="52">
        <f t="shared" ca="1" si="12"/>
        <v>17.089341138758556</v>
      </c>
      <c r="Q72" s="40">
        <f t="shared" ca="1" si="13"/>
        <v>13723</v>
      </c>
      <c r="R72" s="40"/>
      <c r="S72" s="40"/>
      <c r="T72" s="40"/>
      <c r="U72" s="40"/>
    </row>
    <row r="73" spans="1:22" ht="15" x14ac:dyDescent="0.25">
      <c r="A73" s="48">
        <v>71</v>
      </c>
      <c r="B73" s="49">
        <f t="shared" ca="1" si="7"/>
        <v>11222</v>
      </c>
      <c r="C73" s="50">
        <f t="shared" ca="1" si="9"/>
        <v>13285</v>
      </c>
      <c r="D73" s="51">
        <f t="shared" ca="1" si="10"/>
        <v>10042</v>
      </c>
      <c r="E73" s="54"/>
      <c r="F73" s="13">
        <v>71</v>
      </c>
      <c r="G73" s="35">
        <v>10367</v>
      </c>
      <c r="H73" s="35">
        <v>10367</v>
      </c>
      <c r="I73" s="35">
        <v>8751</v>
      </c>
      <c r="L73" s="40">
        <f t="shared" ca="1" si="8"/>
        <v>0.2177481917733739</v>
      </c>
      <c r="M73" s="43">
        <v>72</v>
      </c>
      <c r="N73" s="43">
        <v>71</v>
      </c>
      <c r="O73" s="43">
        <f t="shared" ca="1" si="11"/>
        <v>813</v>
      </c>
      <c r="P73" s="52">
        <f t="shared" ca="1" si="12"/>
        <v>12.352336723508964</v>
      </c>
      <c r="Q73" s="40">
        <f t="shared" ca="1" si="13"/>
        <v>10042</v>
      </c>
      <c r="R73" s="40"/>
      <c r="S73" s="40"/>
      <c r="T73" s="40"/>
      <c r="U73" s="40"/>
    </row>
    <row r="74" spans="1:22" ht="15" x14ac:dyDescent="0.25">
      <c r="A74" s="48">
        <v>72</v>
      </c>
      <c r="B74" s="49">
        <f t="shared" ca="1" si="7"/>
        <v>4551</v>
      </c>
      <c r="C74" s="50">
        <f t="shared" ca="1" si="9"/>
        <v>14280</v>
      </c>
      <c r="D74" s="51">
        <f t="shared" ca="1" si="10"/>
        <v>12169</v>
      </c>
      <c r="E74" s="54"/>
      <c r="F74" s="13">
        <v>72</v>
      </c>
      <c r="G74" s="35">
        <v>4254</v>
      </c>
      <c r="H74" s="35">
        <v>12275</v>
      </c>
      <c r="I74" s="35">
        <v>9678</v>
      </c>
      <c r="L74" s="40">
        <f t="shared" ca="1" si="8"/>
        <v>0.58727976476068333</v>
      </c>
      <c r="M74" s="43">
        <v>75</v>
      </c>
      <c r="N74" s="43">
        <v>72</v>
      </c>
      <c r="O74" s="43">
        <f t="shared" ca="1" si="11"/>
        <v>823</v>
      </c>
      <c r="P74" s="52">
        <f t="shared" ca="1" si="12"/>
        <v>14.786531353513775</v>
      </c>
      <c r="Q74" s="40">
        <f t="shared" ca="1" si="13"/>
        <v>12169</v>
      </c>
      <c r="R74" s="40"/>
      <c r="S74" s="40"/>
      <c r="T74" s="40"/>
      <c r="U74" s="40"/>
    </row>
    <row r="75" spans="1:22" ht="15" x14ac:dyDescent="0.25">
      <c r="A75" s="48">
        <v>73</v>
      </c>
      <c r="B75" s="49">
        <f t="shared" ca="1" si="7"/>
        <v>6734</v>
      </c>
      <c r="C75" s="50">
        <f t="shared" ca="1" si="9"/>
        <v>12876</v>
      </c>
      <c r="D75" s="51">
        <f t="shared" ca="1" si="10"/>
        <v>13285</v>
      </c>
      <c r="E75" s="54"/>
      <c r="F75" s="13">
        <v>73</v>
      </c>
      <c r="G75" s="35">
        <v>6983</v>
      </c>
      <c r="H75" s="35">
        <v>10359</v>
      </c>
      <c r="I75" s="35">
        <v>10208</v>
      </c>
      <c r="L75" s="40">
        <f t="shared" ca="1" si="8"/>
        <v>0.59591597013190845</v>
      </c>
      <c r="M75" s="43">
        <v>71</v>
      </c>
      <c r="N75" s="43">
        <v>73</v>
      </c>
      <c r="O75" s="43">
        <f t="shared" ca="1" si="11"/>
        <v>833</v>
      </c>
      <c r="P75" s="52">
        <f t="shared" ca="1" si="12"/>
        <v>15.948754421505104</v>
      </c>
      <c r="Q75" s="40">
        <f t="shared" ca="1" si="13"/>
        <v>13285</v>
      </c>
      <c r="R75" s="40"/>
      <c r="S75" s="40"/>
      <c r="T75" s="40"/>
      <c r="U75" s="40"/>
    </row>
    <row r="76" spans="1:22" ht="15" x14ac:dyDescent="0.25">
      <c r="A76" s="48">
        <v>74</v>
      </c>
      <c r="B76" s="49">
        <f t="shared" ca="1" si="7"/>
        <v>2980</v>
      </c>
      <c r="C76" s="50">
        <f t="shared" ca="1" si="9"/>
        <v>13723</v>
      </c>
      <c r="D76" s="51">
        <f t="shared" ca="1" si="10"/>
        <v>14280</v>
      </c>
      <c r="E76" s="54"/>
      <c r="F76" s="13">
        <v>74</v>
      </c>
      <c r="G76" s="35">
        <v>2490</v>
      </c>
      <c r="H76" s="35">
        <v>11930</v>
      </c>
      <c r="I76" s="35">
        <v>12037</v>
      </c>
      <c r="L76" s="40">
        <f t="shared" ca="1" si="8"/>
        <v>0.87108163401929917</v>
      </c>
      <c r="M76" s="43">
        <v>73</v>
      </c>
      <c r="N76" s="43">
        <v>74</v>
      </c>
      <c r="O76" s="43">
        <f t="shared" ca="1" si="11"/>
        <v>843</v>
      </c>
      <c r="P76" s="52">
        <f t="shared" ca="1" si="12"/>
        <v>16.939370472298567</v>
      </c>
      <c r="Q76" s="40">
        <f t="shared" ca="1" si="13"/>
        <v>14280</v>
      </c>
      <c r="R76" s="40"/>
      <c r="S76" s="40"/>
      <c r="T76" s="40"/>
      <c r="U76" s="40"/>
    </row>
    <row r="77" spans="1:22" ht="15" x14ac:dyDescent="0.25">
      <c r="A77" s="48">
        <v>75</v>
      </c>
      <c r="B77" s="49">
        <f t="shared" ca="1" si="7"/>
        <v>9326</v>
      </c>
      <c r="C77" s="50">
        <f t="shared" ca="1" si="9"/>
        <v>13771</v>
      </c>
      <c r="D77" s="51">
        <f t="shared" ca="1" si="10"/>
        <v>13771</v>
      </c>
      <c r="E77" s="54"/>
      <c r="F77" s="13">
        <v>75</v>
      </c>
      <c r="G77" s="35">
        <v>2452</v>
      </c>
      <c r="H77" s="35">
        <v>12037</v>
      </c>
      <c r="I77" s="35">
        <v>12275</v>
      </c>
      <c r="L77" s="40">
        <f t="shared" ca="1" si="8"/>
        <v>0.32703426156673188</v>
      </c>
      <c r="M77" s="43">
        <v>74</v>
      </c>
      <c r="N77" s="43">
        <v>75</v>
      </c>
      <c r="O77" s="43">
        <f t="shared" ca="1" si="11"/>
        <v>853</v>
      </c>
      <c r="P77" s="52">
        <f t="shared" ca="1" si="12"/>
        <v>16.144137254017</v>
      </c>
      <c r="Q77" s="40">
        <f ca="1">ROUND(O77*P77,0)</f>
        <v>13771</v>
      </c>
      <c r="R77" s="40"/>
      <c r="S77" s="40"/>
      <c r="T77" s="40"/>
      <c r="U77" s="40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E80" s="56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8"/>
  <sheetViews>
    <sheetView zoomScale="98" zoomScaleNormal="98" workbookViewId="0">
      <selection activeCell="P69" sqref="P69"/>
    </sheetView>
  </sheetViews>
  <sheetFormatPr defaultRowHeight="12.75" x14ac:dyDescent="0.2"/>
  <cols>
    <col min="1" max="1" width="4.42578125" style="2" bestFit="1" customWidth="1"/>
    <col min="2" max="2" width="9.5703125" style="2" bestFit="1" customWidth="1"/>
    <col min="3" max="3" width="6.28515625" style="2" bestFit="1" customWidth="1"/>
    <col min="4" max="4" width="8.42578125" style="2" bestFit="1" customWidth="1"/>
    <col min="5" max="5" width="6.28515625" style="2" customWidth="1"/>
    <col min="6" max="7" width="8" style="2" bestFit="1" customWidth="1"/>
    <col min="8" max="8" width="7.140625" style="2" bestFit="1" customWidth="1"/>
    <col min="9" max="9" width="6.28515625" style="2" bestFit="1" customWidth="1"/>
    <col min="10" max="10" width="6.28515625" style="2" customWidth="1"/>
    <col min="11" max="11" width="11.5703125" style="2" bestFit="1" customWidth="1"/>
    <col min="12" max="12" width="8" style="2" bestFit="1" customWidth="1"/>
    <col min="13" max="13" width="9.140625" style="2"/>
    <col min="14" max="14" width="6.42578125" style="2" customWidth="1"/>
    <col min="15" max="23" width="4" style="2" customWidth="1"/>
    <col min="24" max="16384" width="9.140625" style="2"/>
  </cols>
  <sheetData>
    <row r="1" spans="1:24" x14ac:dyDescent="0.2">
      <c r="A1" s="1" t="str">
        <f>[2]ArdiData!A2</f>
        <v>Per.</v>
      </c>
      <c r="B1" s="73" t="s">
        <v>37</v>
      </c>
      <c r="C1" s="18" t="s">
        <v>27</v>
      </c>
      <c r="D1" s="72" t="s">
        <v>43</v>
      </c>
      <c r="E1" s="78" t="s">
        <v>42</v>
      </c>
      <c r="F1" s="78" t="s">
        <v>41</v>
      </c>
      <c r="G1" s="70" t="s">
        <v>3</v>
      </c>
      <c r="H1" s="70" t="s">
        <v>2</v>
      </c>
      <c r="I1" s="71" t="s">
        <v>1</v>
      </c>
      <c r="J1" s="71" t="s">
        <v>40</v>
      </c>
      <c r="K1" s="70" t="s">
        <v>36</v>
      </c>
      <c r="L1" s="70" t="s">
        <v>35</v>
      </c>
      <c r="M1" s="76" t="s">
        <v>39</v>
      </c>
      <c r="N1" s="69">
        <f>0.2</f>
        <v>0.2</v>
      </c>
      <c r="O1" s="2" t="str">
        <f>" F(next) ~ N ( "&amp;ROUND(F78,0)&amp;", "&amp;ROUND(1.25*I77,0)&amp;")"</f>
        <v xml:space="preserve"> F(next) ~ N ( 11080, 664)</v>
      </c>
      <c r="R1" s="68"/>
    </row>
    <row r="2" spans="1:24" x14ac:dyDescent="0.2">
      <c r="A2" s="1">
        <v>0</v>
      </c>
      <c r="B2" s="77"/>
      <c r="C2" s="18"/>
      <c r="D2" s="18">
        <f>INTERCEPT(C3:C77,A3:A77)</f>
        <v>971.1200942372725</v>
      </c>
      <c r="E2" s="18">
        <f>SLOPE(C3:C77,A3:A77)</f>
        <v>101.48836362296417</v>
      </c>
      <c r="F2" s="18"/>
      <c r="G2" s="70"/>
      <c r="H2" s="70"/>
      <c r="I2" s="71"/>
      <c r="J2" s="71"/>
      <c r="K2" s="70"/>
      <c r="L2" s="70"/>
      <c r="M2" s="76" t="s">
        <v>38</v>
      </c>
      <c r="N2" s="69">
        <v>0.6</v>
      </c>
      <c r="R2" s="68"/>
    </row>
    <row r="3" spans="1:24" x14ac:dyDescent="0.2">
      <c r="A3" s="1">
        <f>[2]ArdiData!A3</f>
        <v>1</v>
      </c>
      <c r="B3" s="67">
        <f ca="1">'0.ArdiData'!C3</f>
        <v>1717</v>
      </c>
      <c r="C3" s="66">
        <v>1113.3499253558266</v>
      </c>
      <c r="D3" s="2">
        <f t="shared" ref="D3:D34" si="0">$N$1*C3+(1-$N$1)*F3</f>
        <v>1080.7567513593549</v>
      </c>
      <c r="E3" s="66">
        <f t="shared" ref="E3:E34" si="1">$N$2*(D3-D2)+(1-$N$2)*E2</f>
        <v>106.37733972243511</v>
      </c>
      <c r="F3" s="66">
        <f t="shared" ref="F3:F34" si="2">D2+E2</f>
        <v>1072.6084578602367</v>
      </c>
      <c r="G3" s="65">
        <f t="shared" ref="G3:G34" si="3">C3-F3</f>
        <v>40.741467495589859</v>
      </c>
      <c r="H3" s="65">
        <f t="shared" ref="H3:H34" si="4">ABS(G3)</f>
        <v>40.741467495589859</v>
      </c>
      <c r="I3" s="63">
        <f>SUM(H$3:H3)/COUNT(H$3:H3)</f>
        <v>40.741467495589859</v>
      </c>
      <c r="J3" s="63">
        <f>SUM(G$3:G3)/I3</f>
        <v>1</v>
      </c>
      <c r="K3" s="64">
        <f t="shared" ref="K3:K34" si="5">(G3-$G$78)^2</f>
        <v>30.869763613761691</v>
      </c>
      <c r="L3" s="63" t="e">
        <f>SQRT(SUM(K$3:K3)/(COUNT(K$3:K3)-1))</f>
        <v>#DIV/0!</v>
      </c>
    </row>
    <row r="4" spans="1:24" x14ac:dyDescent="0.2">
      <c r="A4" s="1">
        <f>[2]ArdiData!A4</f>
        <v>2</v>
      </c>
      <c r="B4" s="67">
        <f ca="1">'0.ArdiData'!C4</f>
        <v>1916</v>
      </c>
      <c r="C4" s="66">
        <v>1222.4509615075469</v>
      </c>
      <c r="D4" s="2">
        <f t="shared" si="0"/>
        <v>1194.1974651669416</v>
      </c>
      <c r="E4" s="66">
        <f t="shared" si="1"/>
        <v>110.61536417352605</v>
      </c>
      <c r="F4" s="66">
        <f t="shared" si="2"/>
        <v>1187.1340910817901</v>
      </c>
      <c r="G4" s="65">
        <f t="shared" si="3"/>
        <v>35.316870425756861</v>
      </c>
      <c r="H4" s="65">
        <f t="shared" si="4"/>
        <v>35.316870425756861</v>
      </c>
      <c r="I4" s="63">
        <f>SUM(H$3:H4)/COUNT(H$3:H4)</f>
        <v>38.02916896067336</v>
      </c>
      <c r="J4" s="63">
        <f>SUM(G$3:G4)/I4</f>
        <v>2</v>
      </c>
      <c r="K4" s="64">
        <f t="shared" si="5"/>
        <v>1.7281576635303535E-2</v>
      </c>
      <c r="L4" s="63">
        <f>SQRT(SUM(K$3:K4)/(COUNT(K$3:K4)-1))</f>
        <v>5.5576114645049621</v>
      </c>
    </row>
    <row r="5" spans="1:24" x14ac:dyDescent="0.2">
      <c r="A5" s="1">
        <f>[2]ArdiData!A5</f>
        <v>3</v>
      </c>
      <c r="B5" s="67">
        <f ca="1">'0.ArdiData'!C5</f>
        <v>2125</v>
      </c>
      <c r="C5" s="66">
        <v>1815.9308993190284</v>
      </c>
      <c r="D5" s="2">
        <f t="shared" si="0"/>
        <v>1407.0364433361801</v>
      </c>
      <c r="E5" s="66">
        <f t="shared" si="1"/>
        <v>171.94953257095355</v>
      </c>
      <c r="F5" s="66">
        <f t="shared" si="2"/>
        <v>1304.8128293404677</v>
      </c>
      <c r="G5" s="65">
        <f t="shared" si="3"/>
        <v>511.1180699785607</v>
      </c>
      <c r="H5" s="65">
        <f t="shared" si="4"/>
        <v>511.1180699785607</v>
      </c>
      <c r="I5" s="63">
        <f>SUM(H$3:H5)/COUNT(H$3:H5)</f>
        <v>195.72546929996915</v>
      </c>
      <c r="J5" s="63">
        <f>SUM(G$3:G5)/I5</f>
        <v>3</v>
      </c>
      <c r="K5" s="64">
        <f t="shared" si="5"/>
        <v>226511.89586797569</v>
      </c>
      <c r="L5" s="63">
        <f>SQRT(SUM(K$3:K5)/(COUNT(K$3:K5)-1))</f>
        <v>336.55815464282404</v>
      </c>
      <c r="M5" s="68">
        <f>I77</f>
        <v>531.10353796997686</v>
      </c>
      <c r="N5" s="2">
        <v>0.1</v>
      </c>
      <c r="O5" s="2">
        <v>0.2</v>
      </c>
      <c r="P5" s="2">
        <v>0.30000000000000004</v>
      </c>
      <c r="Q5" s="2">
        <v>0.4</v>
      </c>
      <c r="R5" s="2">
        <v>0.5</v>
      </c>
      <c r="S5" s="2">
        <v>0.6</v>
      </c>
      <c r="T5" s="2">
        <v>0.70000000000000007</v>
      </c>
      <c r="U5" s="2">
        <v>0.8</v>
      </c>
      <c r="V5" s="2">
        <v>0.9</v>
      </c>
      <c r="W5" s="2">
        <v>1</v>
      </c>
    </row>
    <row r="6" spans="1:24" x14ac:dyDescent="0.2">
      <c r="A6" s="1">
        <f>[2]ArdiData!A6</f>
        <v>4</v>
      </c>
      <c r="B6" s="67">
        <f ca="1">'0.ArdiData'!C6</f>
        <v>2379</v>
      </c>
      <c r="C6" s="66">
        <v>1877.6018297269898</v>
      </c>
      <c r="D6" s="2">
        <f t="shared" si="0"/>
        <v>1638.7091466711051</v>
      </c>
      <c r="E6" s="66">
        <f t="shared" si="1"/>
        <v>207.78343502933643</v>
      </c>
      <c r="F6" s="66">
        <f t="shared" si="2"/>
        <v>1578.9859759071337</v>
      </c>
      <c r="G6" s="65">
        <f t="shared" si="3"/>
        <v>298.61585381985606</v>
      </c>
      <c r="H6" s="65">
        <f t="shared" si="4"/>
        <v>298.61585381985606</v>
      </c>
      <c r="I6" s="63">
        <f>SUM(H$3:H6)/COUNT(H$3:H6)</f>
        <v>221.44806542994087</v>
      </c>
      <c r="J6" s="63">
        <f>SUM(G$3:G6)/I6</f>
        <v>4</v>
      </c>
      <c r="K6" s="64">
        <f t="shared" si="5"/>
        <v>69395.598196279912</v>
      </c>
      <c r="L6" s="63">
        <f>SQRT(SUM(K$3:K6)/(COUNT(K$3:K6)-1))</f>
        <v>314.07980997905929</v>
      </c>
      <c r="M6" s="2">
        <v>0.1</v>
      </c>
      <c r="N6" s="2">
        <f t="dataTable" ref="N6:W15" dt2D="1" dtr="1" r1="N2" r2="N1"/>
        <v>550.7351753519049</v>
      </c>
      <c r="O6" s="2">
        <v>545.92424087700158</v>
      </c>
      <c r="P6" s="2">
        <v>557.43466902979628</v>
      </c>
      <c r="Q6" s="2">
        <v>557.64236708057092</v>
      </c>
      <c r="R6" s="2">
        <v>563.28649969006585</v>
      </c>
      <c r="S6" s="2">
        <v>562.22811808778431</v>
      </c>
      <c r="T6" s="2">
        <v>559.16896274797932</v>
      </c>
      <c r="U6" s="2">
        <v>559.83016439210871</v>
      </c>
      <c r="V6" s="2">
        <v>558.71107452289846</v>
      </c>
      <c r="W6" s="2">
        <v>560.03685164011904</v>
      </c>
    </row>
    <row r="7" spans="1:24" x14ac:dyDescent="0.2">
      <c r="A7" s="1">
        <f>[2]ArdiData!A7</f>
        <v>5</v>
      </c>
      <c r="B7" s="67">
        <f ca="1">'0.ArdiData'!C7</f>
        <v>2468</v>
      </c>
      <c r="C7" s="66">
        <v>1437.7413264412648</v>
      </c>
      <c r="D7" s="2">
        <f t="shared" si="0"/>
        <v>1764.7423306486062</v>
      </c>
      <c r="E7" s="66">
        <f t="shared" si="1"/>
        <v>158.73328439823518</v>
      </c>
      <c r="F7" s="66">
        <f t="shared" si="2"/>
        <v>1846.4925817004416</v>
      </c>
      <c r="G7" s="65">
        <f t="shared" si="3"/>
        <v>-408.75125525917679</v>
      </c>
      <c r="H7" s="65">
        <f t="shared" si="4"/>
        <v>408.75125525917679</v>
      </c>
      <c r="I7" s="63">
        <f>SUM(H$3:H7)/COUNT(H$3:H7)</f>
        <v>258.90870339578805</v>
      </c>
      <c r="J7" s="63">
        <f>SUM(G$3:G7)/I7</f>
        <v>1.8425066450212937</v>
      </c>
      <c r="K7" s="64">
        <f t="shared" si="5"/>
        <v>197079.76366276905</v>
      </c>
      <c r="L7" s="63">
        <f>SQRT(SUM(K$3:K7)/(COUNT(K$3:K7)-1))</f>
        <v>351.07625410023638</v>
      </c>
      <c r="M7" s="2">
        <v>0.2</v>
      </c>
      <c r="N7" s="2">
        <v>535.15569294378122</v>
      </c>
      <c r="O7" s="2">
        <v>535.63744464342676</v>
      </c>
      <c r="P7" s="2">
        <v>536.08731976931813</v>
      </c>
      <c r="Q7" s="2">
        <v>533.70413206458261</v>
      </c>
      <c r="R7" s="2">
        <v>532.62367141195762</v>
      </c>
      <c r="S7" s="2">
        <v>531.10353796997686</v>
      </c>
      <c r="T7" s="2">
        <v>533.24287404987786</v>
      </c>
      <c r="U7" s="2">
        <v>541.94221086328184</v>
      </c>
      <c r="V7" s="2">
        <v>549.46128033252398</v>
      </c>
      <c r="W7" s="2">
        <v>556.6429050993919</v>
      </c>
    </row>
    <row r="8" spans="1:24" x14ac:dyDescent="0.2">
      <c r="A8" s="1">
        <f>[2]ArdiData!A8</f>
        <v>6</v>
      </c>
      <c r="B8" s="67">
        <f ca="1">'0.ArdiData'!C8</f>
        <v>2720</v>
      </c>
      <c r="C8" s="66">
        <v>1885.961866319813</v>
      </c>
      <c r="D8" s="2">
        <f t="shared" si="0"/>
        <v>1915.9728653014358</v>
      </c>
      <c r="E8" s="66">
        <f t="shared" si="1"/>
        <v>154.23163455099186</v>
      </c>
      <c r="F8" s="66">
        <f t="shared" si="2"/>
        <v>1923.4756150468413</v>
      </c>
      <c r="G8" s="65">
        <f t="shared" si="3"/>
        <v>-37.513748727028315</v>
      </c>
      <c r="H8" s="65">
        <f t="shared" si="4"/>
        <v>37.513748727028315</v>
      </c>
      <c r="I8" s="63">
        <f>SUM(H$3:H8)/COUNT(H$3:H8)</f>
        <v>222.00954428432809</v>
      </c>
      <c r="J8" s="63">
        <f>SUM(G$3:G8)/I8</f>
        <v>1.9797673976153696</v>
      </c>
      <c r="K8" s="64">
        <f t="shared" si="5"/>
        <v>5285.1678272197551</v>
      </c>
      <c r="L8" s="63">
        <f>SQRT(SUM(K$3:K8)/(COUNT(K$3:K8)-1))</f>
        <v>315.69077040655935</v>
      </c>
      <c r="M8" s="2">
        <v>0.30000000000000004</v>
      </c>
      <c r="N8" s="2">
        <v>543.09520094814889</v>
      </c>
      <c r="O8" s="2">
        <v>545.62183608204646</v>
      </c>
      <c r="P8" s="2">
        <v>544.97823929704634</v>
      </c>
      <c r="Q8" s="2">
        <v>544.51515839904062</v>
      </c>
      <c r="R8" s="2">
        <v>549.41713333705309</v>
      </c>
      <c r="S8" s="2">
        <v>556.07135002363407</v>
      </c>
      <c r="T8" s="2">
        <v>563.47059380355847</v>
      </c>
      <c r="U8" s="2">
        <v>570.83209042353212</v>
      </c>
      <c r="V8" s="2">
        <v>577.72406314779971</v>
      </c>
      <c r="W8" s="2">
        <v>586.8231899195498</v>
      </c>
    </row>
    <row r="9" spans="1:24" x14ac:dyDescent="0.2">
      <c r="A9" s="1">
        <f>[2]ArdiData!A9</f>
        <v>7</v>
      </c>
      <c r="B9" s="67">
        <f ca="1">'0.ArdiData'!C9</f>
        <v>3017</v>
      </c>
      <c r="C9" s="66">
        <v>1911.083953307721</v>
      </c>
      <c r="D9" s="2">
        <f t="shared" si="0"/>
        <v>2038.3803905434861</v>
      </c>
      <c r="E9" s="66">
        <f t="shared" si="1"/>
        <v>135.1371689656269</v>
      </c>
      <c r="F9" s="66">
        <f t="shared" si="2"/>
        <v>2070.2044998524275</v>
      </c>
      <c r="G9" s="65">
        <f t="shared" si="3"/>
        <v>-159.12054654470649</v>
      </c>
      <c r="H9" s="65">
        <f t="shared" si="4"/>
        <v>159.12054654470649</v>
      </c>
      <c r="I9" s="63">
        <f>SUM(H$3:H9)/COUNT(H$3:H9)</f>
        <v>213.02540175009645</v>
      </c>
      <c r="J9" s="63">
        <f>SUM(G$3:G9)/I9</f>
        <v>1.3163064539965124</v>
      </c>
      <c r="K9" s="64">
        <f t="shared" si="5"/>
        <v>37754.805143255406</v>
      </c>
      <c r="L9" s="63">
        <f>SQRT(SUM(K$3:K9)/(COUNT(K$3:K9)-1))</f>
        <v>298.90302712381771</v>
      </c>
      <c r="M9" s="2">
        <v>0.4</v>
      </c>
      <c r="N9" s="2">
        <v>558.65323450126266</v>
      </c>
      <c r="O9" s="2">
        <v>561.80994985932932</v>
      </c>
      <c r="P9" s="2">
        <v>566.39400245287607</v>
      </c>
      <c r="Q9" s="2">
        <v>574.24017901531715</v>
      </c>
      <c r="R9" s="2">
        <v>583.58322170256224</v>
      </c>
      <c r="S9" s="2">
        <v>593.96115376378646</v>
      </c>
      <c r="T9" s="2">
        <v>605.19374642730793</v>
      </c>
      <c r="U9" s="2">
        <v>618.61964959320846</v>
      </c>
      <c r="V9" s="2">
        <v>632.57372870409756</v>
      </c>
      <c r="W9" s="2">
        <v>647.86278321228087</v>
      </c>
    </row>
    <row r="10" spans="1:24" x14ac:dyDescent="0.2">
      <c r="A10" s="1">
        <f>[2]ArdiData!A10</f>
        <v>8</v>
      </c>
      <c r="B10" s="67">
        <f ca="1">'0.ArdiData'!C10</f>
        <v>2807</v>
      </c>
      <c r="C10" s="66">
        <v>1960.2999710554132</v>
      </c>
      <c r="D10" s="2">
        <f t="shared" si="0"/>
        <v>2130.8740418183734</v>
      </c>
      <c r="E10" s="66">
        <f t="shared" si="1"/>
        <v>109.55105835118312</v>
      </c>
      <c r="F10" s="66">
        <f t="shared" si="2"/>
        <v>2173.5175595091132</v>
      </c>
      <c r="G10" s="65">
        <f t="shared" si="3"/>
        <v>-213.21758845370005</v>
      </c>
      <c r="H10" s="65">
        <f t="shared" si="4"/>
        <v>213.21758845370005</v>
      </c>
      <c r="I10" s="63">
        <f>SUM(H$3:H10)/COUNT(H$3:H10)</f>
        <v>213.04942508804689</v>
      </c>
      <c r="J10" s="63">
        <f>SUM(G$3:G10)/I10</f>
        <v>0.31536871177842701</v>
      </c>
      <c r="K10" s="64">
        <f t="shared" si="5"/>
        <v>61704.050145124907</v>
      </c>
      <c r="L10" s="63">
        <f>SQRT(SUM(K$3:K10)/(COUNT(K$3:K10)-1))</f>
        <v>292.22353671897309</v>
      </c>
      <c r="M10" s="2">
        <v>0.5</v>
      </c>
      <c r="N10" s="2">
        <v>576.55067189184354</v>
      </c>
      <c r="O10" s="2">
        <v>586.0674872107021</v>
      </c>
      <c r="P10" s="2">
        <v>596.85938025614735</v>
      </c>
      <c r="Q10" s="2">
        <v>608.2452342687925</v>
      </c>
      <c r="R10" s="2">
        <v>620.72862081241715</v>
      </c>
      <c r="S10" s="2">
        <v>635.09103246630514</v>
      </c>
      <c r="T10" s="2">
        <v>651.5719152751476</v>
      </c>
      <c r="U10" s="2">
        <v>669.62214036505179</v>
      </c>
      <c r="V10" s="2">
        <v>688.40864449179242</v>
      </c>
      <c r="W10" s="2">
        <v>708.23622249462221</v>
      </c>
    </row>
    <row r="11" spans="1:24" x14ac:dyDescent="0.2">
      <c r="A11" s="1">
        <f>[2]ArdiData!A11</f>
        <v>9</v>
      </c>
      <c r="B11" s="67">
        <f ca="1">'0.ArdiData'!C11</f>
        <v>3352</v>
      </c>
      <c r="C11" s="66">
        <v>2414.1948755502854</v>
      </c>
      <c r="D11" s="2">
        <f t="shared" si="0"/>
        <v>2275.1790552457023</v>
      </c>
      <c r="E11" s="66">
        <f t="shared" si="1"/>
        <v>130.40343139687062</v>
      </c>
      <c r="F11" s="66">
        <f t="shared" si="2"/>
        <v>2240.4251001695566</v>
      </c>
      <c r="G11" s="65">
        <f t="shared" si="3"/>
        <v>173.76977538072879</v>
      </c>
      <c r="H11" s="65">
        <f t="shared" si="4"/>
        <v>173.76977538072879</v>
      </c>
      <c r="I11" s="63">
        <f>SUM(H$3:H11)/COUNT(H$3:H11)</f>
        <v>208.68501956501154</v>
      </c>
      <c r="J11" s="63">
        <f>SUM(G$3:G11)/I11</f>
        <v>1.154653547332442</v>
      </c>
      <c r="K11" s="64">
        <f t="shared" si="5"/>
        <v>19205.62604660961</v>
      </c>
      <c r="L11" s="63">
        <f>SQRT(SUM(K$3:K11)/(COUNT(K$3:K11)-1))</f>
        <v>277.70663341339741</v>
      </c>
      <c r="M11" s="2">
        <v>0.6</v>
      </c>
      <c r="N11" s="2">
        <v>601.73197640472779</v>
      </c>
      <c r="O11" s="2">
        <v>614.84635274585492</v>
      </c>
      <c r="P11" s="2">
        <v>628.31857477873086</v>
      </c>
      <c r="Q11" s="2">
        <v>642.82976163555941</v>
      </c>
      <c r="R11" s="2">
        <v>659.76414955285907</v>
      </c>
      <c r="S11" s="2">
        <v>679.16767281188152</v>
      </c>
      <c r="T11" s="2">
        <v>699.23514903440298</v>
      </c>
      <c r="U11" s="2">
        <v>721.0320633738794</v>
      </c>
      <c r="V11" s="2">
        <v>742.36474365074605</v>
      </c>
      <c r="W11" s="2">
        <v>764.10211058155289</v>
      </c>
    </row>
    <row r="12" spans="1:24" x14ac:dyDescent="0.2">
      <c r="A12" s="1">
        <f>[2]ArdiData!A12</f>
        <v>10</v>
      </c>
      <c r="B12" s="67">
        <f ca="1">'0.ArdiData'!C12</f>
        <v>3092</v>
      </c>
      <c r="C12" s="66">
        <v>2386.0381627363281</v>
      </c>
      <c r="D12" s="2">
        <f t="shared" si="0"/>
        <v>2401.6736218613241</v>
      </c>
      <c r="E12" s="66">
        <f t="shared" si="1"/>
        <v>128.05811252812134</v>
      </c>
      <c r="F12" s="66">
        <f t="shared" si="2"/>
        <v>2405.5824866425728</v>
      </c>
      <c r="G12" s="65">
        <f t="shared" si="3"/>
        <v>-19.544323906244699</v>
      </c>
      <c r="H12" s="65">
        <f t="shared" si="4"/>
        <v>19.544323906244699</v>
      </c>
      <c r="I12" s="63">
        <f>SUM(H$3:H12)/COUNT(H$3:H12)</f>
        <v>189.77094999913487</v>
      </c>
      <c r="J12" s="63">
        <f>SUM(G$3:G12)/I12</f>
        <v>1.1667464077649679</v>
      </c>
      <c r="K12" s="64">
        <f t="shared" si="5"/>
        <v>2995.3438845668798</v>
      </c>
      <c r="L12" s="63">
        <f>SQRT(SUM(K$3:K12)/(COUNT(K$3:K12)-1))</f>
        <v>262.45912651496627</v>
      </c>
      <c r="M12" s="2">
        <v>0.70000000000000007</v>
      </c>
      <c r="N12" s="2">
        <v>629.21065005831656</v>
      </c>
      <c r="O12" s="2">
        <v>645.23942906193179</v>
      </c>
      <c r="P12" s="2">
        <v>662.06986612527737</v>
      </c>
      <c r="Q12" s="2">
        <v>682.13002543960101</v>
      </c>
      <c r="R12" s="2">
        <v>703.25444925722513</v>
      </c>
      <c r="S12" s="2">
        <v>725.10164777129341</v>
      </c>
      <c r="T12" s="2">
        <v>750.16699692829604</v>
      </c>
      <c r="U12" s="2">
        <v>776.09783501641016</v>
      </c>
      <c r="V12" s="2">
        <v>804.37302654616258</v>
      </c>
      <c r="W12" s="2">
        <v>834.03562631551154</v>
      </c>
    </row>
    <row r="13" spans="1:24" x14ac:dyDescent="0.2">
      <c r="A13" s="1">
        <f>[2]ArdiData!A13</f>
        <v>11</v>
      </c>
      <c r="B13" s="67">
        <f ca="1">'0.ArdiData'!C13</f>
        <v>3259</v>
      </c>
      <c r="C13" s="66">
        <v>2360.0321962860157</v>
      </c>
      <c r="D13" s="2">
        <f t="shared" si="0"/>
        <v>2495.7918267687596</v>
      </c>
      <c r="E13" s="66">
        <f t="shared" si="1"/>
        <v>107.69416795570982</v>
      </c>
      <c r="F13" s="66">
        <f t="shared" si="2"/>
        <v>2529.7317343894456</v>
      </c>
      <c r="G13" s="65">
        <f t="shared" si="3"/>
        <v>-169.69953810342986</v>
      </c>
      <c r="H13" s="65">
        <f t="shared" si="4"/>
        <v>169.69953810342986</v>
      </c>
      <c r="I13" s="63">
        <f>SUM(H$3:H13)/COUNT(H$3:H13)</f>
        <v>187.94627619043439</v>
      </c>
      <c r="J13" s="63">
        <f>SUM(G$3:G13)/I13</f>
        <v>0.27515860997323727</v>
      </c>
      <c r="K13" s="64">
        <f t="shared" si="5"/>
        <v>41977.842375325854</v>
      </c>
      <c r="L13" s="63">
        <f>SQRT(SUM(K$3:K13)/(COUNT(K$3:K13)-1))</f>
        <v>257.28213700028175</v>
      </c>
      <c r="M13" s="2">
        <v>0.8</v>
      </c>
      <c r="N13" s="2">
        <v>657.22070075513284</v>
      </c>
      <c r="O13" s="2">
        <v>677.30213188567222</v>
      </c>
      <c r="P13" s="2">
        <v>699.77016737001111</v>
      </c>
      <c r="Q13" s="2">
        <v>724.34744382008569</v>
      </c>
      <c r="R13" s="2">
        <v>752.88874728465203</v>
      </c>
      <c r="S13" s="2">
        <v>784.01669165379928</v>
      </c>
      <c r="T13" s="2">
        <v>817.63404752825033</v>
      </c>
      <c r="U13" s="2">
        <v>851.71631870952831</v>
      </c>
      <c r="V13" s="2">
        <v>887.16067665322407</v>
      </c>
      <c r="W13" s="2">
        <v>926.44086714731009</v>
      </c>
    </row>
    <row r="14" spans="1:24" x14ac:dyDescent="0.2">
      <c r="A14" s="1">
        <f>[2]ArdiData!A14</f>
        <v>12</v>
      </c>
      <c r="B14" s="67">
        <f ca="1">'0.ArdiData'!C14</f>
        <v>3289</v>
      </c>
      <c r="C14" s="66">
        <v>2374.8996096579372</v>
      </c>
      <c r="D14" s="2">
        <f t="shared" si="0"/>
        <v>2557.7687177111629</v>
      </c>
      <c r="E14" s="66">
        <f t="shared" si="1"/>
        <v>80.263801747725921</v>
      </c>
      <c r="F14" s="66">
        <f t="shared" si="2"/>
        <v>2603.4859947244695</v>
      </c>
      <c r="G14" s="65">
        <f t="shared" si="3"/>
        <v>-228.58638506653233</v>
      </c>
      <c r="H14" s="65">
        <f t="shared" si="4"/>
        <v>228.58638506653233</v>
      </c>
      <c r="I14" s="63">
        <f>SUM(H$3:H14)/COUNT(H$3:H14)</f>
        <v>191.3329519301092</v>
      </c>
      <c r="J14" s="63">
        <f>SUM(G$3:G14)/I14</f>
        <v>-0.92441655854938398</v>
      </c>
      <c r="K14" s="64">
        <f t="shared" si="5"/>
        <v>69575.560408160207</v>
      </c>
      <c r="L14" s="63">
        <f>SQRT(SUM(K$3:K14)/(COUNT(K$3:K14)-1))</f>
        <v>257.87885468012752</v>
      </c>
      <c r="M14" s="2">
        <v>0.9</v>
      </c>
      <c r="N14" s="2">
        <v>688.27366312579159</v>
      </c>
      <c r="O14" s="2">
        <v>714.65553931523834</v>
      </c>
      <c r="P14" s="2">
        <v>746.76679981640541</v>
      </c>
      <c r="Q14" s="2">
        <v>781.31220782335936</v>
      </c>
      <c r="R14" s="2">
        <v>817.45584925983178</v>
      </c>
      <c r="S14" s="2">
        <v>855.1985553280017</v>
      </c>
      <c r="T14" s="2">
        <v>894.45500789409198</v>
      </c>
      <c r="U14" s="2">
        <v>939.69424893750829</v>
      </c>
      <c r="V14" s="2">
        <v>990.03272839589806</v>
      </c>
      <c r="W14" s="2">
        <v>1045.1650423681208</v>
      </c>
    </row>
    <row r="15" spans="1:24" x14ac:dyDescent="0.2">
      <c r="A15" s="1">
        <f>[2]ArdiData!A15</f>
        <v>13</v>
      </c>
      <c r="B15" s="67">
        <f ca="1">'0.ArdiData'!C15</f>
        <v>3588</v>
      </c>
      <c r="C15" s="66">
        <v>2837.1005129516102</v>
      </c>
      <c r="D15" s="2">
        <f t="shared" si="0"/>
        <v>2677.8461181574335</v>
      </c>
      <c r="E15" s="66">
        <f t="shared" si="1"/>
        <v>104.1519609668527</v>
      </c>
      <c r="F15" s="66">
        <f t="shared" si="2"/>
        <v>2638.0325194588891</v>
      </c>
      <c r="G15" s="65">
        <f t="shared" si="3"/>
        <v>199.06799349272114</v>
      </c>
      <c r="H15" s="65">
        <f t="shared" si="4"/>
        <v>199.06799349272114</v>
      </c>
      <c r="I15" s="63">
        <f>SUM(H$3:H15)/COUNT(H$3:H15)</f>
        <v>191.92795512723322</v>
      </c>
      <c r="J15" s="63">
        <f>SUM(G$3:G15)/I15</f>
        <v>0.11565091973016774</v>
      </c>
      <c r="K15" s="64">
        <f t="shared" si="5"/>
        <v>26857.500839515669</v>
      </c>
      <c r="L15" s="63">
        <f>SQRT(SUM(K$3:K15)/(COUNT(K$3:K15)-1))</f>
        <v>251.39179936273337</v>
      </c>
      <c r="M15" s="2">
        <v>1</v>
      </c>
      <c r="N15" s="2">
        <v>728.37752944351848</v>
      </c>
      <c r="O15" s="2">
        <v>764.97352990488082</v>
      </c>
      <c r="P15" s="2">
        <v>805.59056595203356</v>
      </c>
      <c r="Q15" s="2">
        <v>847.83472916472874</v>
      </c>
      <c r="R15" s="2">
        <v>892.17262672272159</v>
      </c>
      <c r="S15" s="2">
        <v>938.57956207566258</v>
      </c>
      <c r="T15" s="2">
        <v>991.14745212991727</v>
      </c>
      <c r="U15" s="2">
        <v>1048.7980679170007</v>
      </c>
      <c r="V15" s="2">
        <v>1118.0491855627984</v>
      </c>
      <c r="W15" s="2">
        <v>1196.3574179536706</v>
      </c>
    </row>
    <row r="16" spans="1:24" x14ac:dyDescent="0.2">
      <c r="A16" s="1">
        <f>[2]ArdiData!A16</f>
        <v>14</v>
      </c>
      <c r="B16" s="67">
        <f ca="1">'0.ArdiData'!C16</f>
        <v>3717</v>
      </c>
      <c r="C16" s="66">
        <v>2930.8445360245173</v>
      </c>
      <c r="D16" s="2">
        <f t="shared" si="0"/>
        <v>2811.7673705043326</v>
      </c>
      <c r="E16" s="66">
        <f t="shared" si="1"/>
        <v>122.01353579488055</v>
      </c>
      <c r="F16" s="66">
        <f t="shared" si="2"/>
        <v>2781.9980791242861</v>
      </c>
      <c r="G16" s="65">
        <f t="shared" si="3"/>
        <v>148.84645690023126</v>
      </c>
      <c r="H16" s="65">
        <f t="shared" si="4"/>
        <v>148.84645690023126</v>
      </c>
      <c r="I16" s="63">
        <f>SUM(H$3:H16)/COUNT(H$3:H16)</f>
        <v>188.85070525387593</v>
      </c>
      <c r="J16" s="63">
        <f>SUM(G$3:G16)/I16</f>
        <v>0.90570538882917773</v>
      </c>
      <c r="K16" s="64">
        <f t="shared" si="5"/>
        <v>12918.833351688992</v>
      </c>
      <c r="L16" s="63">
        <f>SQRT(SUM(K$3:K16)/(COUNT(K$3:K16)-1))</f>
        <v>243.57795700345213</v>
      </c>
      <c r="X16" s="2">
        <f>MIN(N6:W15)</f>
        <v>531.10353796997686</v>
      </c>
    </row>
    <row r="17" spans="1:12" x14ac:dyDescent="0.2">
      <c r="A17" s="1">
        <f>[2]ArdiData!A17</f>
        <v>15</v>
      </c>
      <c r="B17" s="67">
        <f ca="1">'0.ArdiData'!C17</f>
        <v>3789</v>
      </c>
      <c r="C17" s="66">
        <v>2610.1441965075874</v>
      </c>
      <c r="D17" s="2">
        <f t="shared" si="0"/>
        <v>2869.0535643408884</v>
      </c>
      <c r="E17" s="66">
        <f t="shared" si="1"/>
        <v>83.177130619885745</v>
      </c>
      <c r="F17" s="66">
        <f t="shared" si="2"/>
        <v>2933.7809062992133</v>
      </c>
      <c r="G17" s="65">
        <f t="shared" si="3"/>
        <v>-323.63670979162589</v>
      </c>
      <c r="H17" s="65">
        <f t="shared" si="4"/>
        <v>323.63670979162589</v>
      </c>
      <c r="I17" s="63">
        <f>SUM(H$3:H17)/COUNT(H$3:H17)</f>
        <v>197.83643888972591</v>
      </c>
      <c r="J17" s="63">
        <f>SUM(G$3:G17)/I17</f>
        <v>-0.77131194442928419</v>
      </c>
      <c r="K17" s="64">
        <f t="shared" si="5"/>
        <v>128753.31438027737</v>
      </c>
      <c r="L17" s="63">
        <f>SQRT(SUM(K$3:K17)/(COUNT(K$3:K17)-1))</f>
        <v>253.55278249789669</v>
      </c>
    </row>
    <row r="18" spans="1:12" x14ac:dyDescent="0.2">
      <c r="A18" s="1">
        <f>[2]ArdiData!A18</f>
        <v>16</v>
      </c>
      <c r="B18" s="67">
        <f ca="1">'0.ArdiData'!C18</f>
        <v>3374</v>
      </c>
      <c r="C18" s="66">
        <v>3135.2317628620631</v>
      </c>
      <c r="D18" s="2">
        <f t="shared" si="0"/>
        <v>2988.8309085410319</v>
      </c>
      <c r="E18" s="66">
        <f t="shared" si="1"/>
        <v>105.1372587680404</v>
      </c>
      <c r="F18" s="66">
        <f t="shared" si="2"/>
        <v>2952.2306949607741</v>
      </c>
      <c r="G18" s="65">
        <f t="shared" si="3"/>
        <v>183.00106790128893</v>
      </c>
      <c r="H18" s="65">
        <f t="shared" si="4"/>
        <v>183.00106790128893</v>
      </c>
      <c r="I18" s="63">
        <f>SUM(H$3:H18)/COUNT(H$3:H18)</f>
        <v>196.90922820294861</v>
      </c>
      <c r="J18" s="63">
        <f>SUM(G$3:G18)/I18</f>
        <v>0.15442374041987056</v>
      </c>
      <c r="K18" s="64">
        <f t="shared" si="5"/>
        <v>21849.468420678731</v>
      </c>
      <c r="L18" s="63">
        <f>SQRT(SUM(K$3:K18)/(COUNT(K$3:K18)-1))</f>
        <v>247.91069058495489</v>
      </c>
    </row>
    <row r="19" spans="1:12" x14ac:dyDescent="0.2">
      <c r="A19" s="1">
        <f>[2]ArdiData!A19</f>
        <v>17</v>
      </c>
      <c r="B19" s="67">
        <f ca="1">'0.ArdiData'!C19</f>
        <v>3726</v>
      </c>
      <c r="C19" s="66">
        <v>2997.405744195491</v>
      </c>
      <c r="D19" s="2">
        <f t="shared" si="0"/>
        <v>3074.6556826863562</v>
      </c>
      <c r="E19" s="66">
        <f t="shared" si="1"/>
        <v>93.549767994410701</v>
      </c>
      <c r="F19" s="66">
        <f t="shared" si="2"/>
        <v>3093.9681673090722</v>
      </c>
      <c r="G19" s="65">
        <f t="shared" si="3"/>
        <v>-96.56242311358119</v>
      </c>
      <c r="H19" s="65">
        <f t="shared" si="4"/>
        <v>96.56242311358119</v>
      </c>
      <c r="I19" s="63">
        <f>SUM(H$3:H19)/COUNT(H$3:H19)</f>
        <v>191.00647496239759</v>
      </c>
      <c r="J19" s="63">
        <f>SUM(G$3:G19)/I19</f>
        <v>-0.34634932446303496</v>
      </c>
      <c r="K19" s="64">
        <f t="shared" si="5"/>
        <v>17357.491797613467</v>
      </c>
      <c r="L19" s="63">
        <f>SQRT(SUM(K$3:K19)/(COUNT(K$3:K19)-1))</f>
        <v>242.28768403906906</v>
      </c>
    </row>
    <row r="20" spans="1:12" x14ac:dyDescent="0.2">
      <c r="A20" s="1">
        <f>[2]ArdiData!A20</f>
        <v>18</v>
      </c>
      <c r="B20" s="67">
        <f ca="1">'0.ArdiData'!C20</f>
        <v>3640</v>
      </c>
      <c r="C20" s="66">
        <v>2897.6453125752814</v>
      </c>
      <c r="D20" s="2">
        <f t="shared" si="0"/>
        <v>3114.0934230596699</v>
      </c>
      <c r="E20" s="66">
        <f t="shared" si="1"/>
        <v>61.082551421752541</v>
      </c>
      <c r="F20" s="66">
        <f t="shared" si="2"/>
        <v>3168.2054506807667</v>
      </c>
      <c r="G20" s="65">
        <f t="shared" si="3"/>
        <v>-270.56013810548529</v>
      </c>
      <c r="H20" s="65">
        <f t="shared" si="4"/>
        <v>270.56013810548529</v>
      </c>
      <c r="I20" s="63">
        <f>SUM(H$3:H20)/COUNT(H$3:H20)</f>
        <v>195.42612291479134</v>
      </c>
      <c r="J20" s="63">
        <f>SUM(G$3:G20)/I20</f>
        <v>-1.7229789787294201</v>
      </c>
      <c r="K20" s="64">
        <f t="shared" si="5"/>
        <v>93480.34080708299</v>
      </c>
      <c r="L20" s="63">
        <f>SQRT(SUM(K$3:K20)/(COUNT(K$3:K20)-1))</f>
        <v>246.47318076264403</v>
      </c>
    </row>
    <row r="21" spans="1:12" x14ac:dyDescent="0.2">
      <c r="A21" s="1">
        <f>[2]ArdiData!A21</f>
        <v>19</v>
      </c>
      <c r="B21" s="67">
        <f ca="1">'0.ArdiData'!C21</f>
        <v>3992</v>
      </c>
      <c r="C21" s="66">
        <v>2451.4955445656897</v>
      </c>
      <c r="D21" s="2">
        <f t="shared" si="0"/>
        <v>3030.4398884982761</v>
      </c>
      <c r="E21" s="66">
        <f t="shared" si="1"/>
        <v>-25.759100168135276</v>
      </c>
      <c r="F21" s="66">
        <f t="shared" si="2"/>
        <v>3175.1759744814226</v>
      </c>
      <c r="G21" s="65">
        <f t="shared" si="3"/>
        <v>-723.68042991573293</v>
      </c>
      <c r="H21" s="65">
        <f t="shared" si="4"/>
        <v>723.68042991573293</v>
      </c>
      <c r="I21" s="63">
        <f>SUM(H$3:H21)/COUNT(H$3:H21)</f>
        <v>223.2289811779988</v>
      </c>
      <c r="J21" s="63">
        <f>SUM(G$3:G21)/I21</f>
        <v>-4.7502592449990608</v>
      </c>
      <c r="K21" s="64">
        <f t="shared" si="5"/>
        <v>575877.3645317466</v>
      </c>
      <c r="L21" s="63">
        <f>SQRT(SUM(K$3:K21)/(COUNT(K$3:K21)-1))</f>
        <v>298.94358950692072</v>
      </c>
    </row>
    <row r="22" spans="1:12" x14ac:dyDescent="0.2">
      <c r="A22" s="1">
        <f>[2]ArdiData!A22</f>
        <v>20</v>
      </c>
      <c r="B22" s="67">
        <f ca="1">'0.ArdiData'!C22</f>
        <v>4147</v>
      </c>
      <c r="C22" s="66">
        <v>3606.7892415047718</v>
      </c>
      <c r="D22" s="2">
        <f t="shared" si="0"/>
        <v>3125.1024789650673</v>
      </c>
      <c r="E22" s="66">
        <f t="shared" si="1"/>
        <v>46.493914212820627</v>
      </c>
      <c r="F22" s="66">
        <f t="shared" si="2"/>
        <v>3004.6807883301408</v>
      </c>
      <c r="G22" s="65">
        <f t="shared" si="3"/>
        <v>602.10845317463099</v>
      </c>
      <c r="H22" s="65">
        <f t="shared" si="4"/>
        <v>602.10845317463099</v>
      </c>
      <c r="I22" s="63">
        <f>SUM(H$3:H22)/COUNT(H$3:H22)</f>
        <v>242.1729547778304</v>
      </c>
      <c r="J22" s="63">
        <f>SUM(G$3:G22)/I22</f>
        <v>-1.8923957831637808</v>
      </c>
      <c r="K22" s="64">
        <f t="shared" si="5"/>
        <v>321401.73573135288</v>
      </c>
      <c r="L22" s="63">
        <f>SQRT(SUM(K$3:K22)/(COUNT(K$3:K22)-1))</f>
        <v>318.71556288380185</v>
      </c>
    </row>
    <row r="23" spans="1:12" x14ac:dyDescent="0.2">
      <c r="A23" s="1">
        <f>[2]ArdiData!A23</f>
        <v>21</v>
      </c>
      <c r="B23" s="67">
        <f ca="1">'0.ArdiData'!C23</f>
        <v>4979</v>
      </c>
      <c r="C23" s="66">
        <v>3329.4002934339937</v>
      </c>
      <c r="D23" s="2">
        <f t="shared" si="0"/>
        <v>3203.157173229109</v>
      </c>
      <c r="E23" s="66">
        <f t="shared" si="1"/>
        <v>65.430382243553268</v>
      </c>
      <c r="F23" s="66">
        <f t="shared" si="2"/>
        <v>3171.5963931778879</v>
      </c>
      <c r="G23" s="65">
        <f t="shared" si="3"/>
        <v>157.80390025610586</v>
      </c>
      <c r="H23" s="65">
        <f t="shared" si="4"/>
        <v>157.80390025610586</v>
      </c>
      <c r="I23" s="63">
        <f>SUM(H$3:H23)/COUNT(H$3:H23)</f>
        <v>238.15538075298642</v>
      </c>
      <c r="J23" s="63">
        <f>SUM(G$3:G23)/I23</f>
        <v>-1.2617106412281023</v>
      </c>
      <c r="K23" s="64">
        <f t="shared" si="5"/>
        <v>15035.293903732731</v>
      </c>
      <c r="L23" s="63">
        <f>SQRT(SUM(K$3:K23)/(COUNT(K$3:K23)-1))</f>
        <v>311.85316130882552</v>
      </c>
    </row>
    <row r="24" spans="1:12" x14ac:dyDescent="0.2">
      <c r="A24" s="1">
        <f>[2]ArdiData!A24</f>
        <v>22</v>
      </c>
      <c r="B24" s="67">
        <f ca="1">'0.ArdiData'!C24</f>
        <v>4335</v>
      </c>
      <c r="C24" s="66">
        <v>3271.7372704254626</v>
      </c>
      <c r="D24" s="2">
        <f t="shared" si="0"/>
        <v>3269.2174984632225</v>
      </c>
      <c r="E24" s="66">
        <f t="shared" si="1"/>
        <v>65.808348037889346</v>
      </c>
      <c r="F24" s="66">
        <f t="shared" si="2"/>
        <v>3268.5875554726622</v>
      </c>
      <c r="G24" s="65">
        <f t="shared" si="3"/>
        <v>3.1497149528004229</v>
      </c>
      <c r="H24" s="65">
        <f t="shared" si="4"/>
        <v>3.1497149528004229</v>
      </c>
      <c r="I24" s="63">
        <f>SUM(H$3:H24)/COUNT(H$3:H24)</f>
        <v>227.47330503479614</v>
      </c>
      <c r="J24" s="63">
        <f>SUM(G$3:G24)/I24</f>
        <v>-1.3071136552198528</v>
      </c>
      <c r="K24" s="64">
        <f t="shared" si="5"/>
        <v>1026.2858221996787</v>
      </c>
      <c r="L24" s="63">
        <f>SQRT(SUM(K$3:K24)/(COUNT(K$3:K24)-1))</f>
        <v>304.41780266666143</v>
      </c>
    </row>
    <row r="25" spans="1:12" x14ac:dyDescent="0.2">
      <c r="A25" s="1">
        <f>[2]ArdiData!A25</f>
        <v>23</v>
      </c>
      <c r="B25" s="67">
        <f ca="1">'0.ArdiData'!C25</f>
        <v>4966</v>
      </c>
      <c r="C25" s="66">
        <v>3370.7908457036756</v>
      </c>
      <c r="D25" s="2">
        <f t="shared" si="0"/>
        <v>3342.1788463416246</v>
      </c>
      <c r="E25" s="66">
        <f t="shared" si="1"/>
        <v>70.100147942197054</v>
      </c>
      <c r="F25" s="66">
        <f t="shared" si="2"/>
        <v>3335.025846501112</v>
      </c>
      <c r="G25" s="65">
        <f t="shared" si="3"/>
        <v>35.764999202563558</v>
      </c>
      <c r="H25" s="65">
        <f t="shared" si="4"/>
        <v>35.764999202563558</v>
      </c>
      <c r="I25" s="63">
        <f>SUM(H$3:H25)/COUNT(H$3:H25)</f>
        <v>219.13816130295993</v>
      </c>
      <c r="J25" s="63">
        <f>SUM(G$3:G25)/I25</f>
        <v>-1.1936235224899476</v>
      </c>
      <c r="K25" s="64">
        <f t="shared" si="5"/>
        <v>0.3359224669813996</v>
      </c>
      <c r="L25" s="63">
        <f>SQRT(SUM(K$3:K25)/(COUNT(K$3:K25)-1))</f>
        <v>297.4187823523373</v>
      </c>
    </row>
    <row r="26" spans="1:12" x14ac:dyDescent="0.2">
      <c r="A26" s="1">
        <f>[2]ArdiData!A26</f>
        <v>24</v>
      </c>
      <c r="B26" s="67">
        <f ca="1">'0.ArdiData'!C26</f>
        <v>4996</v>
      </c>
      <c r="C26" s="66">
        <v>3326.6171341495628</v>
      </c>
      <c r="D26" s="2">
        <f t="shared" si="0"/>
        <v>3395.1466222569702</v>
      </c>
      <c r="E26" s="66">
        <f t="shared" si="1"/>
        <v>59.820724726086155</v>
      </c>
      <c r="F26" s="66">
        <f t="shared" si="2"/>
        <v>3412.2789942838217</v>
      </c>
      <c r="G26" s="65">
        <f t="shared" si="3"/>
        <v>-85.661860134258859</v>
      </c>
      <c r="H26" s="65">
        <f t="shared" si="4"/>
        <v>85.661860134258859</v>
      </c>
      <c r="I26" s="63">
        <f>SUM(H$3:H26)/COUNT(H$3:H26)</f>
        <v>213.57664875426406</v>
      </c>
      <c r="J26" s="63">
        <f>SUM(G$3:G26)/I26</f>
        <v>-1.6257878666322869</v>
      </c>
      <c r="K26" s="64">
        <f t="shared" si="5"/>
        <v>14604.0629442604</v>
      </c>
      <c r="L26" s="63">
        <f>SQRT(SUM(K$3:K26)/(COUNT(K$3:K26)-1))</f>
        <v>291.97070796013634</v>
      </c>
    </row>
    <row r="27" spans="1:12" x14ac:dyDescent="0.2">
      <c r="A27" s="1">
        <f>[2]ArdiData!A27</f>
        <v>25</v>
      </c>
      <c r="B27" s="67">
        <f ca="1">'0.ArdiData'!C27</f>
        <v>4264</v>
      </c>
      <c r="C27" s="66">
        <v>3919.3323507327541</v>
      </c>
      <c r="D27" s="2">
        <f t="shared" si="0"/>
        <v>3547.8403477329962</v>
      </c>
      <c r="E27" s="66">
        <f t="shared" si="1"/>
        <v>115.54452517605006</v>
      </c>
      <c r="F27" s="66">
        <f t="shared" si="2"/>
        <v>3454.9673469830564</v>
      </c>
      <c r="G27" s="65">
        <f t="shared" si="3"/>
        <v>464.36500374969773</v>
      </c>
      <c r="H27" s="65">
        <f t="shared" si="4"/>
        <v>464.36500374969773</v>
      </c>
      <c r="I27" s="63">
        <f>SUM(H$3:H27)/COUNT(H$3:H27)</f>
        <v>223.60818295408143</v>
      </c>
      <c r="J27" s="63">
        <f>SUM(G$3:G27)/I27</f>
        <v>0.52383896716822487</v>
      </c>
      <c r="K27" s="64">
        <f t="shared" si="5"/>
        <v>184195.1228197864</v>
      </c>
      <c r="L27" s="63">
        <f>SQRT(SUM(K$3:K27)/(COUNT(K$3:K27)-1))</f>
        <v>298.94771643458552</v>
      </c>
    </row>
    <row r="28" spans="1:12" x14ac:dyDescent="0.2">
      <c r="A28" s="1">
        <f>[2]ArdiData!A28</f>
        <v>26</v>
      </c>
      <c r="B28" s="67">
        <f ca="1">'0.ArdiData'!C28</f>
        <v>5059</v>
      </c>
      <c r="C28" s="66">
        <v>3932.7496928280202</v>
      </c>
      <c r="D28" s="2">
        <f t="shared" si="0"/>
        <v>3717.2578368928412</v>
      </c>
      <c r="E28" s="66">
        <f t="shared" si="1"/>
        <v>147.86830356632703</v>
      </c>
      <c r="F28" s="66">
        <f t="shared" si="2"/>
        <v>3663.3848729090464</v>
      </c>
      <c r="G28" s="65">
        <f t="shared" si="3"/>
        <v>269.36481991897381</v>
      </c>
      <c r="H28" s="65">
        <f t="shared" si="4"/>
        <v>269.36481991897381</v>
      </c>
      <c r="I28" s="63">
        <f>SUM(H$3:H28)/COUNT(H$3:H28)</f>
        <v>225.36805360657729</v>
      </c>
      <c r="J28" s="63">
        <f>SUM(G$3:G28)/I28</f>
        <v>1.7149702157995805</v>
      </c>
      <c r="K28" s="64">
        <f t="shared" si="5"/>
        <v>54839.995554541114</v>
      </c>
      <c r="L28" s="63">
        <f>SQRT(SUM(K$3:K28)/(COUNT(K$3:K28)-1))</f>
        <v>296.6286356661758</v>
      </c>
    </row>
    <row r="29" spans="1:12" x14ac:dyDescent="0.2">
      <c r="A29" s="1">
        <f>[2]ArdiData!A29</f>
        <v>27</v>
      </c>
      <c r="B29" s="67">
        <f ca="1">'0.ArdiData'!C29</f>
        <v>5012</v>
      </c>
      <c r="C29" s="66">
        <v>3271.4587202821313</v>
      </c>
      <c r="D29" s="2">
        <f t="shared" si="0"/>
        <v>3746.3926564237609</v>
      </c>
      <c r="E29" s="66">
        <f t="shared" si="1"/>
        <v>76.628213145082626</v>
      </c>
      <c r="F29" s="66">
        <f t="shared" si="2"/>
        <v>3865.1261404591683</v>
      </c>
      <c r="G29" s="65">
        <f t="shared" si="3"/>
        <v>-593.667420177037</v>
      </c>
      <c r="H29" s="65">
        <f t="shared" si="4"/>
        <v>593.667420177037</v>
      </c>
      <c r="I29" s="63">
        <f>SUM(H$3:H29)/COUNT(H$3:H29)</f>
        <v>239.00877088696467</v>
      </c>
      <c r="J29" s="63">
        <f>SUM(G$3:G29)/I29</f>
        <v>-0.86677957415634099</v>
      </c>
      <c r="K29" s="64">
        <f t="shared" si="5"/>
        <v>395455.88329843793</v>
      </c>
      <c r="L29" s="63">
        <f>SQRT(SUM(K$3:K29)/(COUNT(K$3:K29)-1))</f>
        <v>315.93387640258499</v>
      </c>
    </row>
    <row r="30" spans="1:12" x14ac:dyDescent="0.2">
      <c r="A30" s="1">
        <f>[2]ArdiData!A30</f>
        <v>28</v>
      </c>
      <c r="B30" s="67">
        <f ca="1">'0.ArdiData'!C30</f>
        <v>5656</v>
      </c>
      <c r="C30" s="66">
        <v>4226.8800578487453</v>
      </c>
      <c r="D30" s="2">
        <f t="shared" si="0"/>
        <v>3903.792707224824</v>
      </c>
      <c r="E30" s="66">
        <f t="shared" si="1"/>
        <v>125.09131573867093</v>
      </c>
      <c r="F30" s="66">
        <f t="shared" si="2"/>
        <v>3823.0208695688434</v>
      </c>
      <c r="G30" s="65">
        <f t="shared" si="3"/>
        <v>403.8591882799019</v>
      </c>
      <c r="H30" s="65">
        <f t="shared" si="4"/>
        <v>403.8591882799019</v>
      </c>
      <c r="I30" s="63">
        <f>SUM(H$3:H30)/COUNT(H$3:H30)</f>
        <v>244.89628579385527</v>
      </c>
      <c r="J30" s="63">
        <f>SUM(G$3:G30)/I30</f>
        <v>0.80316149750199028</v>
      </c>
      <c r="K30" s="64">
        <f t="shared" si="5"/>
        <v>135920.35404265486</v>
      </c>
      <c r="L30" s="63">
        <f>SQRT(SUM(K$3:K30)/(COUNT(K$3:K30)-1))</f>
        <v>318.0432025609166</v>
      </c>
    </row>
    <row r="31" spans="1:12" x14ac:dyDescent="0.2">
      <c r="A31" s="1">
        <f>[2]ArdiData!A31</f>
        <v>29</v>
      </c>
      <c r="B31" s="67">
        <f ca="1">'0.ArdiData'!C31</f>
        <v>5820</v>
      </c>
      <c r="C31" s="66">
        <v>3676.4065496322846</v>
      </c>
      <c r="D31" s="2">
        <f t="shared" si="0"/>
        <v>3958.3885282972533</v>
      </c>
      <c r="E31" s="66">
        <f t="shared" si="1"/>
        <v>82.794018938925973</v>
      </c>
      <c r="F31" s="66">
        <f t="shared" si="2"/>
        <v>4028.8840229634948</v>
      </c>
      <c r="G31" s="65">
        <f t="shared" si="3"/>
        <v>-352.47747333121015</v>
      </c>
      <c r="H31" s="65">
        <f t="shared" si="4"/>
        <v>352.47747333121015</v>
      </c>
      <c r="I31" s="63">
        <f>SUM(H$3:H31)/COUNT(H$3:H31)</f>
        <v>248.60598191583304</v>
      </c>
      <c r="J31" s="63">
        <f>SUM(G$3:G31)/I31</f>
        <v>-0.62663900723468613</v>
      </c>
      <c r="K31" s="64">
        <f t="shared" si="5"/>
        <v>150282.51189974471</v>
      </c>
      <c r="L31" s="63">
        <f>SQRT(SUM(K$3:K31)/(COUNT(K$3:K31)-1))</f>
        <v>320.78989767838584</v>
      </c>
    </row>
    <row r="32" spans="1:12" x14ac:dyDescent="0.2">
      <c r="A32" s="1">
        <f>[2]ArdiData!A32</f>
        <v>30</v>
      </c>
      <c r="B32" s="67">
        <f ca="1">'0.ArdiData'!C32</f>
        <v>5353</v>
      </c>
      <c r="C32" s="66">
        <v>3709.9538102697975</v>
      </c>
      <c r="D32" s="2">
        <f t="shared" si="0"/>
        <v>3974.9367998429034</v>
      </c>
      <c r="E32" s="66">
        <f t="shared" si="1"/>
        <v>43.046570502960449</v>
      </c>
      <c r="F32" s="66">
        <f t="shared" si="2"/>
        <v>4041.1825472361793</v>
      </c>
      <c r="G32" s="65">
        <f t="shared" si="3"/>
        <v>-331.2287369663818</v>
      </c>
      <c r="H32" s="65">
        <f t="shared" si="4"/>
        <v>331.2287369663818</v>
      </c>
      <c r="I32" s="63">
        <f>SUM(H$3:H32)/COUNT(H$3:H32)</f>
        <v>251.36007375085134</v>
      </c>
      <c r="J32" s="63">
        <f>SUM(G$3:G32)/I32</f>
        <v>-1.9375190952141987</v>
      </c>
      <c r="K32" s="64">
        <f t="shared" si="5"/>
        <v>134259.32784103689</v>
      </c>
      <c r="L32" s="63">
        <f>SQRT(SUM(K$3:K32)/(COUNT(K$3:K32)-1))</f>
        <v>322.47062226585456</v>
      </c>
    </row>
    <row r="33" spans="1:12" x14ac:dyDescent="0.2">
      <c r="A33" s="1">
        <f>[2]ArdiData!A33</f>
        <v>31</v>
      </c>
      <c r="B33" s="67">
        <f ca="1">'0.ArdiData'!C33</f>
        <v>5484</v>
      </c>
      <c r="C33" s="66">
        <v>4309.3917506051803</v>
      </c>
      <c r="D33" s="2">
        <f t="shared" si="0"/>
        <v>4076.2650463977275</v>
      </c>
      <c r="E33" s="66">
        <f t="shared" si="1"/>
        <v>78.015576134078628</v>
      </c>
      <c r="F33" s="66">
        <f t="shared" si="2"/>
        <v>4017.9833703458639</v>
      </c>
      <c r="G33" s="65">
        <f t="shared" si="3"/>
        <v>291.40838025931635</v>
      </c>
      <c r="H33" s="65">
        <f t="shared" si="4"/>
        <v>291.40838025931635</v>
      </c>
      <c r="I33" s="63">
        <f>SUM(H$3:H33)/COUNT(H$3:H33)</f>
        <v>252.65195460596314</v>
      </c>
      <c r="J33" s="63">
        <f>SUM(G$3:G33)/I33</f>
        <v>-0.77421353304974849</v>
      </c>
      <c r="K33" s="64">
        <f t="shared" si="5"/>
        <v>65650.209968293508</v>
      </c>
      <c r="L33" s="63">
        <f>SQRT(SUM(K$3:K33)/(COUNT(K$3:K33)-1))</f>
        <v>320.48307154874755</v>
      </c>
    </row>
    <row r="34" spans="1:12" x14ac:dyDescent="0.2">
      <c r="A34" s="1">
        <f>[2]ArdiData!A34</f>
        <v>32</v>
      </c>
      <c r="B34" s="67">
        <f ca="1">'0.ArdiData'!C34</f>
        <v>5404</v>
      </c>
      <c r="C34" s="66">
        <v>3396.6468613345064</v>
      </c>
      <c r="D34" s="2">
        <f t="shared" si="0"/>
        <v>4002.7538702923466</v>
      </c>
      <c r="E34" s="66">
        <f t="shared" si="1"/>
        <v>-12.900475209597058</v>
      </c>
      <c r="F34" s="66">
        <f t="shared" si="2"/>
        <v>4154.2806225318063</v>
      </c>
      <c r="G34" s="65">
        <f t="shared" si="3"/>
        <v>-757.63376119729992</v>
      </c>
      <c r="H34" s="65">
        <f t="shared" si="4"/>
        <v>757.63376119729992</v>
      </c>
      <c r="I34" s="63">
        <f>SUM(H$3:H34)/COUNT(H$3:H34)</f>
        <v>268.43263606194239</v>
      </c>
      <c r="J34" s="63">
        <f>SUM(G$3:G34)/I34</f>
        <v>-3.5511342346045494</v>
      </c>
      <c r="K34" s="64">
        <f t="shared" si="5"/>
        <v>628562.23982764524</v>
      </c>
      <c r="L34" s="63">
        <f>SQRT(SUM(K$3:K34)/(COUNT(K$3:K34)-1))</f>
        <v>345.93697982423157</v>
      </c>
    </row>
    <row r="35" spans="1:12" x14ac:dyDescent="0.2">
      <c r="A35" s="1">
        <f>[2]ArdiData!A35</f>
        <v>33</v>
      </c>
      <c r="B35" s="67">
        <f ca="1">'0.ArdiData'!C35</f>
        <v>5521</v>
      </c>
      <c r="C35" s="66">
        <v>3425.2650395092878</v>
      </c>
      <c r="D35" s="2">
        <f t="shared" ref="D35:D66" si="6">$N$1*C35+(1-$N$1)*F35</f>
        <v>3876.9357239680576</v>
      </c>
      <c r="E35" s="66">
        <f t="shared" ref="E35:E66" si="7">$N$2*(D35-D34)+(1-$N$2)*E34</f>
        <v>-80.651077878412252</v>
      </c>
      <c r="F35" s="66">
        <f t="shared" ref="F35:F66" si="8">D34+E34</f>
        <v>3989.8533950827496</v>
      </c>
      <c r="G35" s="65">
        <f t="shared" ref="G35:G66" si="9">C35-F35</f>
        <v>-564.58835557346174</v>
      </c>
      <c r="H35" s="65">
        <f t="shared" ref="H35:H66" si="10">ABS(G35)</f>
        <v>564.58835557346174</v>
      </c>
      <c r="I35" s="63">
        <f>SUM(H$3:H35)/COUNT(H$3:H35)</f>
        <v>277.40705180471571</v>
      </c>
      <c r="J35" s="63">
        <f>SUM(G$3:G35)/I35</f>
        <v>-5.4714855635561284</v>
      </c>
      <c r="K35" s="64">
        <f t="shared" ref="K35:K66" si="11">(G35-$G$78)^2</f>
        <v>359728.5710878988</v>
      </c>
      <c r="L35" s="63">
        <f>SQRT(SUM(K$3:K35)/(COUNT(K$3:K35)-1))</f>
        <v>356.61484762078811</v>
      </c>
    </row>
    <row r="36" spans="1:12" x14ac:dyDescent="0.2">
      <c r="A36" s="1">
        <f>[2]ArdiData!A36</f>
        <v>34</v>
      </c>
      <c r="B36" s="67">
        <f ca="1">'0.ArdiData'!C36</f>
        <v>5615</v>
      </c>
      <c r="C36" s="66">
        <v>3382.8091450329844</v>
      </c>
      <c r="D36" s="2">
        <f t="shared" si="6"/>
        <v>3713.5895458783134</v>
      </c>
      <c r="E36" s="66">
        <f t="shared" si="7"/>
        <v>-130.2681380052114</v>
      </c>
      <c r="F36" s="66">
        <f t="shared" si="8"/>
        <v>3796.2846460896453</v>
      </c>
      <c r="G36" s="65">
        <f t="shared" si="9"/>
        <v>-413.47550105666096</v>
      </c>
      <c r="H36" s="65">
        <f t="shared" si="10"/>
        <v>413.47550105666096</v>
      </c>
      <c r="I36" s="63">
        <f>SUM(H$3:H36)/COUNT(H$3:H36)</f>
        <v>281.40906501800822</v>
      </c>
      <c r="J36" s="63">
        <f>SUM(G$3:G36)/I36</f>
        <v>-6.8629778508067609</v>
      </c>
      <c r="K36" s="64">
        <f t="shared" si="11"/>
        <v>201296.61402111541</v>
      </c>
      <c r="L36" s="63">
        <f>SQRT(SUM(K$3:K36)/(COUNT(K$3:K36)-1))</f>
        <v>359.75030900722714</v>
      </c>
    </row>
    <row r="37" spans="1:12" x14ac:dyDescent="0.2">
      <c r="A37" s="1">
        <f>[2]ArdiData!A37</f>
        <v>35</v>
      </c>
      <c r="B37" s="67">
        <f ca="1">'0.ArdiData'!C37</f>
        <v>5881</v>
      </c>
      <c r="C37" s="66">
        <v>3846.9349712677931</v>
      </c>
      <c r="D37" s="2">
        <f t="shared" si="6"/>
        <v>3636.0441205520401</v>
      </c>
      <c r="E37" s="66">
        <f t="shared" si="7"/>
        <v>-98.63451039784853</v>
      </c>
      <c r="F37" s="66">
        <f t="shared" si="8"/>
        <v>3583.3214078731021</v>
      </c>
      <c r="G37" s="65">
        <f t="shared" si="9"/>
        <v>263.61356339469103</v>
      </c>
      <c r="H37" s="65">
        <f t="shared" si="10"/>
        <v>263.61356339469103</v>
      </c>
      <c r="I37" s="63">
        <f>SUM(H$3:H37)/COUNT(H$3:H37)</f>
        <v>280.90062211448486</v>
      </c>
      <c r="J37" s="63">
        <f>SUM(G$3:G37)/I37</f>
        <v>-5.936941699475657</v>
      </c>
      <c r="K37" s="64">
        <f t="shared" si="11"/>
        <v>52179.420799527696</v>
      </c>
      <c r="L37" s="63">
        <f>SQRT(SUM(K$3:K37)/(COUNT(K$3:K37)-1))</f>
        <v>356.57887586371226</v>
      </c>
    </row>
    <row r="38" spans="1:12" x14ac:dyDescent="0.2">
      <c r="A38" s="1">
        <f>[2]ArdiData!A38</f>
        <v>36</v>
      </c>
      <c r="B38" s="67">
        <f ca="1">'0.ArdiData'!C38</f>
        <v>6450</v>
      </c>
      <c r="C38" s="66">
        <v>4335.4663999878339</v>
      </c>
      <c r="D38" s="2">
        <f t="shared" si="6"/>
        <v>3697.0209681209203</v>
      </c>
      <c r="E38" s="66">
        <f t="shared" si="7"/>
        <v>-2.8676956178112931</v>
      </c>
      <c r="F38" s="66">
        <f t="shared" si="8"/>
        <v>3537.4096101541918</v>
      </c>
      <c r="G38" s="65">
        <f t="shared" si="9"/>
        <v>798.05678983364214</v>
      </c>
      <c r="H38" s="65">
        <f t="shared" si="10"/>
        <v>798.05678983364214</v>
      </c>
      <c r="I38" s="63">
        <f>SUM(H$3:H38)/COUNT(H$3:H38)</f>
        <v>295.26607121779477</v>
      </c>
      <c r="J38" s="63">
        <f>SUM(G$3:G38)/I38</f>
        <v>-2.9452548456372956</v>
      </c>
      <c r="K38" s="64">
        <f t="shared" si="11"/>
        <v>581972.74062041682</v>
      </c>
      <c r="L38" s="63">
        <f>SQRT(SUM(K$3:K38)/(COUNT(K$3:K38)-1))</f>
        <v>374.35741366606908</v>
      </c>
    </row>
    <row r="39" spans="1:12" x14ac:dyDescent="0.2">
      <c r="A39" s="1">
        <f>[2]ArdiData!A39</f>
        <v>37</v>
      </c>
      <c r="B39" s="67">
        <f ca="1">'0.ArdiData'!C39</f>
        <v>5950</v>
      </c>
      <c r="C39" s="66">
        <v>3778.0879495342488</v>
      </c>
      <c r="D39" s="2">
        <f t="shared" si="6"/>
        <v>3710.940207909337</v>
      </c>
      <c r="E39" s="66">
        <f t="shared" si="7"/>
        <v>7.2044656259254971</v>
      </c>
      <c r="F39" s="66">
        <f t="shared" si="8"/>
        <v>3694.1532725031088</v>
      </c>
      <c r="G39" s="65">
        <f t="shared" si="9"/>
        <v>83.934677031139927</v>
      </c>
      <c r="H39" s="65">
        <f t="shared" si="10"/>
        <v>83.934677031139927</v>
      </c>
      <c r="I39" s="63">
        <f>SUM(H$3:H39)/COUNT(H$3:H39)</f>
        <v>289.55441191545276</v>
      </c>
      <c r="J39" s="63">
        <f>SUM(G$3:G39)/I39</f>
        <v>-2.7134766995184791</v>
      </c>
      <c r="K39" s="64">
        <f t="shared" si="11"/>
        <v>2376.4909370970831</v>
      </c>
      <c r="L39" s="63">
        <f>SQRT(SUM(K$3:K39)/(COUNT(K$3:K39)-1))</f>
        <v>369.21079690233609</v>
      </c>
    </row>
    <row r="40" spans="1:12" x14ac:dyDescent="0.2">
      <c r="A40" s="1">
        <f>[2]ArdiData!A40</f>
        <v>38</v>
      </c>
      <c r="B40" s="67">
        <f ca="1">'0.ArdiData'!C40</f>
        <v>6125</v>
      </c>
      <c r="C40" s="66">
        <v>4091.3217573787838</v>
      </c>
      <c r="D40" s="2">
        <f t="shared" si="6"/>
        <v>3792.780090303967</v>
      </c>
      <c r="E40" s="66">
        <f t="shared" si="7"/>
        <v>51.985715687148179</v>
      </c>
      <c r="F40" s="66">
        <f t="shared" si="8"/>
        <v>3718.1446735352624</v>
      </c>
      <c r="G40" s="65">
        <f t="shared" si="9"/>
        <v>373.17708384352136</v>
      </c>
      <c r="H40" s="65">
        <f t="shared" si="10"/>
        <v>373.17708384352136</v>
      </c>
      <c r="I40" s="63">
        <f>SUM(H$3:H40)/COUNT(H$3:H40)</f>
        <v>291.75500854513876</v>
      </c>
      <c r="J40" s="63">
        <f>SUM(G$3:G40)/I40</f>
        <v>-1.413933108428582</v>
      </c>
      <c r="K40" s="64">
        <f t="shared" si="11"/>
        <v>114238.37090131622</v>
      </c>
      <c r="L40" s="63">
        <f>SQRT(SUM(K$3:K40)/(COUNT(K$3:K40)-1))</f>
        <v>368.40182317074635</v>
      </c>
    </row>
    <row r="41" spans="1:12" x14ac:dyDescent="0.2">
      <c r="A41" s="1">
        <f>[2]ArdiData!A41</f>
        <v>39</v>
      </c>
      <c r="B41" s="67">
        <f ca="1">'0.ArdiData'!C41</f>
        <v>6238</v>
      </c>
      <c r="C41" s="66">
        <v>5031.5420497583082</v>
      </c>
      <c r="D41" s="2">
        <f t="shared" si="6"/>
        <v>4082.1210547445539</v>
      </c>
      <c r="E41" s="66">
        <f t="shared" si="7"/>
        <v>194.39886493921145</v>
      </c>
      <c r="F41" s="66">
        <f t="shared" si="8"/>
        <v>3844.765805991115</v>
      </c>
      <c r="G41" s="65">
        <f t="shared" si="9"/>
        <v>1186.7762437671931</v>
      </c>
      <c r="H41" s="65">
        <f t="shared" si="10"/>
        <v>1186.7762437671931</v>
      </c>
      <c r="I41" s="63">
        <f>SUM(H$3:H41)/COUNT(H$3:H41)</f>
        <v>314.70427098672991</v>
      </c>
      <c r="J41" s="63">
        <f>SUM(G$3:G41)/I41</f>
        <v>2.4602595166813144</v>
      </c>
      <c r="K41" s="64">
        <f t="shared" si="11"/>
        <v>1326161.4460785284</v>
      </c>
      <c r="L41" s="63">
        <f>SQRT(SUM(K$3:K41)/(COUNT(K$3:K41)-1))</f>
        <v>408.71421841625329</v>
      </c>
    </row>
    <row r="42" spans="1:12" x14ac:dyDescent="0.2">
      <c r="A42" s="1">
        <f>[2]ArdiData!A42</f>
        <v>40</v>
      </c>
      <c r="B42" s="67">
        <f ca="1">'0.ArdiData'!C42</f>
        <v>6624</v>
      </c>
      <c r="C42" s="66">
        <v>4204.3946084920954</v>
      </c>
      <c r="D42" s="2">
        <f t="shared" si="6"/>
        <v>4262.0948574454324</v>
      </c>
      <c r="E42" s="66">
        <f t="shared" si="7"/>
        <v>185.74382759621164</v>
      </c>
      <c r="F42" s="66">
        <f t="shared" si="8"/>
        <v>4276.5199196837657</v>
      </c>
      <c r="G42" s="65">
        <f t="shared" si="9"/>
        <v>-72.125311191670335</v>
      </c>
      <c r="H42" s="65">
        <f t="shared" si="10"/>
        <v>72.125311191670335</v>
      </c>
      <c r="I42" s="63">
        <f>SUM(H$3:H42)/COUNT(H$3:H42)</f>
        <v>308.63979699185342</v>
      </c>
      <c r="J42" s="63">
        <f>SUM(G$3:G42)/I42</f>
        <v>2.2749135830406861</v>
      </c>
      <c r="K42" s="64">
        <f t="shared" si="11"/>
        <v>11515.591100550831</v>
      </c>
      <c r="L42" s="63">
        <f>SQRT(SUM(K$3:K42)/(COUNT(K$3:K42)-1))</f>
        <v>403.80604191050412</v>
      </c>
    </row>
    <row r="43" spans="1:12" x14ac:dyDescent="0.2">
      <c r="A43" s="1">
        <f>[2]ArdiData!A43</f>
        <v>41</v>
      </c>
      <c r="B43" s="67">
        <f ca="1">'0.ArdiData'!C43</f>
        <v>6500</v>
      </c>
      <c r="C43" s="66">
        <v>5586.0237690188087</v>
      </c>
      <c r="D43" s="2">
        <f t="shared" si="6"/>
        <v>4675.4757018370765</v>
      </c>
      <c r="E43" s="66">
        <f t="shared" si="7"/>
        <v>322.32603767347109</v>
      </c>
      <c r="F43" s="66">
        <f t="shared" si="8"/>
        <v>4447.8386850416437</v>
      </c>
      <c r="G43" s="65">
        <f t="shared" si="9"/>
        <v>1138.185083977165</v>
      </c>
      <c r="H43" s="65">
        <f t="shared" si="10"/>
        <v>1138.185083977165</v>
      </c>
      <c r="I43" s="63">
        <f>SUM(H$3:H43)/COUNT(H$3:H43)</f>
        <v>328.87260886954397</v>
      </c>
      <c r="J43" s="63">
        <f>SUM(G$3:G43)/I43</f>
        <v>5.5958261673013379</v>
      </c>
      <c r="K43" s="64">
        <f t="shared" si="11"/>
        <v>1216608.2785542971</v>
      </c>
      <c r="L43" s="63">
        <f>SQRT(SUM(K$3:K43)/(COUNT(K$3:K43)-1))</f>
        <v>435.19885507684825</v>
      </c>
    </row>
    <row r="44" spans="1:12" x14ac:dyDescent="0.2">
      <c r="A44" s="1">
        <f>[2]ArdiData!A44</f>
        <v>42</v>
      </c>
      <c r="B44" s="67">
        <f ca="1">'0.ArdiData'!C44</f>
        <v>7274</v>
      </c>
      <c r="C44" s="66">
        <v>5777.5611763875086</v>
      </c>
      <c r="D44" s="2">
        <f t="shared" si="6"/>
        <v>5153.7536268859394</v>
      </c>
      <c r="E44" s="66">
        <f t="shared" si="7"/>
        <v>415.89717009870617</v>
      </c>
      <c r="F44" s="66">
        <f t="shared" si="8"/>
        <v>4997.8017395105471</v>
      </c>
      <c r="G44" s="65">
        <f t="shared" si="9"/>
        <v>779.75943687696144</v>
      </c>
      <c r="H44" s="65">
        <f t="shared" si="10"/>
        <v>779.75943687696144</v>
      </c>
      <c r="I44" s="63">
        <f>SUM(H$3:H44)/COUNT(H$3:H44)</f>
        <v>339.60800953638727</v>
      </c>
      <c r="J44" s="63">
        <f>SUM(G$3:G44)/I44</f>
        <v>7.7149929145504617</v>
      </c>
      <c r="K44" s="64">
        <f t="shared" si="11"/>
        <v>554390.47998805519</v>
      </c>
      <c r="L44" s="63">
        <f>SQRT(SUM(K$3:K44)/(COUNT(K$3:K44)-1))</f>
        <v>445.30921617417647</v>
      </c>
    </row>
    <row r="45" spans="1:12" x14ac:dyDescent="0.2">
      <c r="A45" s="1">
        <f>[2]ArdiData!A45</f>
        <v>43</v>
      </c>
      <c r="B45" s="67">
        <f ca="1">'0.ArdiData'!C45</f>
        <v>6986</v>
      </c>
      <c r="C45" s="66">
        <v>5672.6454679130029</v>
      </c>
      <c r="D45" s="2">
        <f t="shared" si="6"/>
        <v>5590.2497311703173</v>
      </c>
      <c r="E45" s="66">
        <f t="shared" si="7"/>
        <v>428.25653061010917</v>
      </c>
      <c r="F45" s="66">
        <f t="shared" si="8"/>
        <v>5569.6507969846452</v>
      </c>
      <c r="G45" s="65">
        <f t="shared" si="9"/>
        <v>102.99467092835766</v>
      </c>
      <c r="H45" s="65">
        <f t="shared" si="10"/>
        <v>102.99467092835766</v>
      </c>
      <c r="I45" s="63">
        <f>SUM(H$3:H45)/COUNT(H$3:H45)</f>
        <v>334.10537375480516</v>
      </c>
      <c r="J45" s="63">
        <f>SUM(G$3:G45)/I45</f>
        <v>8.1503270289348571</v>
      </c>
      <c r="K45" s="64">
        <f t="shared" si="11"/>
        <v>4598.0957299760239</v>
      </c>
      <c r="L45" s="63">
        <f>SQRT(SUM(K$3:K45)/(COUNT(K$3:K45)-1))</f>
        <v>440.10037583774471</v>
      </c>
    </row>
    <row r="46" spans="1:12" x14ac:dyDescent="0.2">
      <c r="A46" s="1">
        <f>[2]ArdiData!A46</f>
        <v>44</v>
      </c>
      <c r="B46" s="67">
        <f ca="1">'0.ArdiData'!C46</f>
        <v>7043</v>
      </c>
      <c r="C46" s="66">
        <v>4442.4749424361789</v>
      </c>
      <c r="D46" s="2">
        <f t="shared" si="6"/>
        <v>5703.2999979115775</v>
      </c>
      <c r="E46" s="66">
        <f t="shared" si="7"/>
        <v>239.1327722887998</v>
      </c>
      <c r="F46" s="66">
        <f t="shared" si="8"/>
        <v>6018.5062617804269</v>
      </c>
      <c r="G46" s="65">
        <f t="shared" si="9"/>
        <v>-1576.031319344248</v>
      </c>
      <c r="H46" s="65">
        <f t="shared" si="10"/>
        <v>1576.031319344248</v>
      </c>
      <c r="I46" s="63">
        <f>SUM(H$3:H46)/COUNT(H$3:H46)</f>
        <v>362.33096342729255</v>
      </c>
      <c r="J46" s="63">
        <f>SUM(G$3:G46)/I46</f>
        <v>3.1657154774521339</v>
      </c>
      <c r="K46" s="64">
        <f t="shared" si="11"/>
        <v>2596019.3521900512</v>
      </c>
      <c r="L46" s="63">
        <f>SQRT(SUM(K$3:K46)/(COUNT(K$3:K46)-1))</f>
        <v>499.55630700434108</v>
      </c>
    </row>
    <row r="47" spans="1:12" x14ac:dyDescent="0.2">
      <c r="A47" s="1">
        <f>[2]ArdiData!A47</f>
        <v>45</v>
      </c>
      <c r="B47" s="67">
        <f ca="1">'0.ArdiData'!C47</f>
        <v>7618</v>
      </c>
      <c r="C47" s="66">
        <v>6116.4376324786244</v>
      </c>
      <c r="D47" s="2">
        <f t="shared" si="6"/>
        <v>5977.2337426560271</v>
      </c>
      <c r="E47" s="66">
        <f t="shared" si="7"/>
        <v>260.01335576218963</v>
      </c>
      <c r="F47" s="66">
        <f t="shared" si="8"/>
        <v>5942.4327702003775</v>
      </c>
      <c r="G47" s="65">
        <f t="shared" si="9"/>
        <v>174.00486227824695</v>
      </c>
      <c r="H47" s="65">
        <f t="shared" si="10"/>
        <v>174.00486227824695</v>
      </c>
      <c r="I47" s="63">
        <f>SUM(H$3:H47)/COUNT(H$3:H47)</f>
        <v>358.14593895731372</v>
      </c>
      <c r="J47" s="63">
        <f>SUM(G$3:G47)/I47</f>
        <v>3.6885566956480855</v>
      </c>
      <c r="K47" s="64">
        <f t="shared" si="11"/>
        <v>19270.84004898545</v>
      </c>
      <c r="L47" s="63">
        <f>SQRT(SUM(K$3:K47)/(COUNT(K$3:K47)-1))</f>
        <v>494.29013623682994</v>
      </c>
    </row>
    <row r="48" spans="1:12" x14ac:dyDescent="0.2">
      <c r="A48" s="1">
        <f>[2]ArdiData!A48</f>
        <v>46</v>
      </c>
      <c r="B48" s="67">
        <f ca="1">'0.ArdiData'!C48</f>
        <v>7646</v>
      </c>
      <c r="C48" s="66">
        <v>4831.7623955679137</v>
      </c>
      <c r="D48" s="2">
        <f t="shared" si="6"/>
        <v>5956.1501578481566</v>
      </c>
      <c r="E48" s="66">
        <f t="shared" si="7"/>
        <v>91.355191420153574</v>
      </c>
      <c r="F48" s="66">
        <f t="shared" si="8"/>
        <v>6237.2470984182164</v>
      </c>
      <c r="G48" s="65">
        <f t="shared" si="9"/>
        <v>-1405.4847028503027</v>
      </c>
      <c r="H48" s="65">
        <f t="shared" si="10"/>
        <v>1405.4847028503027</v>
      </c>
      <c r="I48" s="63">
        <f>SUM(H$3:H48)/COUNT(H$3:H48)</f>
        <v>380.91417295498735</v>
      </c>
      <c r="J48" s="63">
        <f>SUM(G$3:G48)/I48</f>
        <v>-0.22168537609156186</v>
      </c>
      <c r="K48" s="64">
        <f t="shared" si="11"/>
        <v>2075530.3769851164</v>
      </c>
      <c r="L48" s="63">
        <f>SQRT(SUM(K$3:K48)/(COUNT(K$3:K48)-1))</f>
        <v>533.86912427319294</v>
      </c>
    </row>
    <row r="49" spans="1:12" x14ac:dyDescent="0.2">
      <c r="A49" s="1">
        <f>[2]ArdiData!A49</f>
        <v>47</v>
      </c>
      <c r="B49" s="67">
        <f ca="1">'0.ArdiData'!C49</f>
        <v>6775</v>
      </c>
      <c r="C49" s="66">
        <v>6206.0910692130574</v>
      </c>
      <c r="D49" s="2">
        <f t="shared" si="6"/>
        <v>6079.2224932572599</v>
      </c>
      <c r="E49" s="66">
        <f t="shared" si="7"/>
        <v>110.38547781352341</v>
      </c>
      <c r="F49" s="66">
        <f t="shared" si="8"/>
        <v>6047.5053492683101</v>
      </c>
      <c r="G49" s="65">
        <f t="shared" si="9"/>
        <v>158.58571994474732</v>
      </c>
      <c r="H49" s="65">
        <f t="shared" si="10"/>
        <v>158.58571994474732</v>
      </c>
      <c r="I49" s="63">
        <f>SUM(H$3:H49)/COUNT(H$3:H49)</f>
        <v>376.18378033774826</v>
      </c>
      <c r="J49" s="63">
        <f>SUM(G$3:G49)/I49</f>
        <v>0.19709148062696222</v>
      </c>
      <c r="K49" s="64">
        <f t="shared" si="11"/>
        <v>15227.636243918369</v>
      </c>
      <c r="L49" s="63">
        <f>SQRT(SUM(K$3:K49)/(COUNT(K$3:K49)-1))</f>
        <v>528.34768113912344</v>
      </c>
    </row>
    <row r="50" spans="1:12" x14ac:dyDescent="0.2">
      <c r="A50" s="1">
        <f>[2]ArdiData!A50</f>
        <v>48</v>
      </c>
      <c r="B50" s="67">
        <f ca="1">'0.ArdiData'!C50</f>
        <v>6805</v>
      </c>
      <c r="C50" s="66">
        <v>5086.0787376555791</v>
      </c>
      <c r="D50" s="2">
        <f t="shared" si="6"/>
        <v>5968.9021243877432</v>
      </c>
      <c r="E50" s="66">
        <f t="shared" si="7"/>
        <v>-22.03803019630061</v>
      </c>
      <c r="F50" s="66">
        <f t="shared" si="8"/>
        <v>6189.6079710707836</v>
      </c>
      <c r="G50" s="65">
        <f t="shared" si="9"/>
        <v>-1103.5292334152045</v>
      </c>
      <c r="H50" s="65">
        <f t="shared" si="10"/>
        <v>1103.5292334152045</v>
      </c>
      <c r="I50" s="63">
        <f>SUM(H$3:H50)/COUNT(H$3:H50)</f>
        <v>391.33681061019524</v>
      </c>
      <c r="J50" s="63">
        <f>SUM(G$3:G50)/I50</f>
        <v>-2.630436461000206</v>
      </c>
      <c r="K50" s="64">
        <f t="shared" si="11"/>
        <v>1296671.0414401644</v>
      </c>
      <c r="L50" s="63">
        <f>SQRT(SUM(K$3:K50)/(COUNT(K$3:K50)-1))</f>
        <v>548.45294142540206</v>
      </c>
    </row>
    <row r="51" spans="1:12" x14ac:dyDescent="0.2">
      <c r="A51" s="1">
        <f>[2]ArdiData!A51</f>
        <v>49</v>
      </c>
      <c r="B51" s="67">
        <f ca="1">'0.ArdiData'!C51</f>
        <v>7875</v>
      </c>
      <c r="C51" s="66">
        <v>5256.5559094460787</v>
      </c>
      <c r="D51" s="2">
        <f t="shared" si="6"/>
        <v>5808.8024572423701</v>
      </c>
      <c r="E51" s="66">
        <f t="shared" si="7"/>
        <v>-104.87501236574413</v>
      </c>
      <c r="F51" s="66">
        <f t="shared" si="8"/>
        <v>5946.8640941914427</v>
      </c>
      <c r="G51" s="65">
        <f t="shared" si="9"/>
        <v>-690.30818474536409</v>
      </c>
      <c r="H51" s="65">
        <f t="shared" si="10"/>
        <v>690.30818474536409</v>
      </c>
      <c r="I51" s="63">
        <f>SUM(H$3:H51)/COUNT(H$3:H51)</f>
        <v>397.43826722519873</v>
      </c>
      <c r="J51" s="63">
        <f>SUM(G$3:G51)/I51</f>
        <v>-4.3269482123912608</v>
      </c>
      <c r="K51" s="64">
        <f t="shared" si="11"/>
        <v>526340.95748953021</v>
      </c>
      <c r="L51" s="63">
        <f>SQRT(SUM(K$3:K51)/(COUNT(K$3:K51)-1))</f>
        <v>552.71998860415636</v>
      </c>
    </row>
    <row r="52" spans="1:12" x14ac:dyDescent="0.2">
      <c r="A52" s="1">
        <f>[2]ArdiData!A52</f>
        <v>50</v>
      </c>
      <c r="B52" s="67">
        <f ca="1">'0.ArdiData'!C52</f>
        <v>7762</v>
      </c>
      <c r="C52" s="66">
        <v>5988.37014518462</v>
      </c>
      <c r="D52" s="2">
        <f t="shared" si="6"/>
        <v>5760.8159849382255</v>
      </c>
      <c r="E52" s="66">
        <f t="shared" si="7"/>
        <v>-70.741888328784427</v>
      </c>
      <c r="F52" s="66">
        <f t="shared" si="8"/>
        <v>5703.9274448766264</v>
      </c>
      <c r="G52" s="65">
        <f t="shared" si="9"/>
        <v>284.44270030799362</v>
      </c>
      <c r="H52" s="65">
        <f t="shared" si="10"/>
        <v>284.44270030799362</v>
      </c>
      <c r="I52" s="63">
        <f>SUM(H$3:H52)/COUNT(H$3:H52)</f>
        <v>395.1783558868546</v>
      </c>
      <c r="J52" s="63">
        <f>SUM(G$3:G52)/I52</f>
        <v>-3.6319096889225739</v>
      </c>
      <c r="K52" s="64">
        <f t="shared" si="11"/>
        <v>62129.196265612925</v>
      </c>
      <c r="L52" s="63">
        <f>SQRT(SUM(K$3:K52)/(COUNT(K$3:K52)-1))</f>
        <v>548.20858005014838</v>
      </c>
    </row>
    <row r="53" spans="1:12" x14ac:dyDescent="0.2">
      <c r="A53" s="1">
        <f>[2]ArdiData!A53</f>
        <v>51</v>
      </c>
      <c r="B53" s="67">
        <f ca="1">'0.ArdiData'!C53</f>
        <v>7923</v>
      </c>
      <c r="C53" s="66">
        <v>6526.7676661512296</v>
      </c>
      <c r="D53" s="2">
        <f t="shared" si="6"/>
        <v>5857.4128105177988</v>
      </c>
      <c r="E53" s="66">
        <f t="shared" si="7"/>
        <v>29.661340016230206</v>
      </c>
      <c r="F53" s="66">
        <f t="shared" si="8"/>
        <v>5690.0740966094409</v>
      </c>
      <c r="G53" s="65">
        <f t="shared" si="9"/>
        <v>836.69356954178875</v>
      </c>
      <c r="H53" s="65">
        <f t="shared" si="10"/>
        <v>836.69356954178875</v>
      </c>
      <c r="I53" s="63">
        <f>SUM(H$3:H53)/COUNT(H$3:H53)</f>
        <v>403.83551693891218</v>
      </c>
      <c r="J53" s="63">
        <f>SUM(G$3:G53)/I53</f>
        <v>-1.4821839708237325</v>
      </c>
      <c r="K53" s="64">
        <f t="shared" si="11"/>
        <v>642415.32818475238</v>
      </c>
      <c r="L53" s="63">
        <f>SQRT(SUM(K$3:K53)/(COUNT(K$3:K53)-1))</f>
        <v>554.40986720970511</v>
      </c>
    </row>
    <row r="54" spans="1:12" x14ac:dyDescent="0.2">
      <c r="A54" s="1">
        <f>[2]ArdiData!A54</f>
        <v>52</v>
      </c>
      <c r="B54" s="67">
        <f ca="1">'0.ArdiData'!C54</f>
        <v>8309</v>
      </c>
      <c r="C54" s="66">
        <v>5794.3331193675949</v>
      </c>
      <c r="D54" s="2">
        <f t="shared" si="6"/>
        <v>5868.5259443007435</v>
      </c>
      <c r="E54" s="66">
        <f t="shared" si="7"/>
        <v>18.53241627625891</v>
      </c>
      <c r="F54" s="66">
        <f t="shared" si="8"/>
        <v>5887.0741505340293</v>
      </c>
      <c r="G54" s="65">
        <f t="shared" si="9"/>
        <v>-92.741031166434368</v>
      </c>
      <c r="H54" s="65">
        <f t="shared" si="10"/>
        <v>92.741031166434368</v>
      </c>
      <c r="I54" s="63">
        <f>SUM(H$3:H54)/COUNT(H$3:H54)</f>
        <v>397.85293067405684</v>
      </c>
      <c r="J54" s="63">
        <f>SUM(G$3:G54)/I54</f>
        <v>-1.7375756414597252</v>
      </c>
      <c r="K54" s="64">
        <f t="shared" si="11"/>
        <v>16365.174609239999</v>
      </c>
      <c r="L54" s="63">
        <f>SQRT(SUM(K$3:K54)/(COUNT(K$3:K54)-1))</f>
        <v>549.2397636659523</v>
      </c>
    </row>
    <row r="55" spans="1:12" x14ac:dyDescent="0.2">
      <c r="A55" s="1">
        <f>[2]ArdiData!A55</f>
        <v>53</v>
      </c>
      <c r="B55" s="67">
        <f ca="1">'0.ArdiData'!C55</f>
        <v>8237</v>
      </c>
      <c r="C55" s="66">
        <v>5545.614554778329</v>
      </c>
      <c r="D55" s="2">
        <f t="shared" si="6"/>
        <v>5818.7695994172682</v>
      </c>
      <c r="E55" s="66">
        <f t="shared" si="7"/>
        <v>-22.440840419581626</v>
      </c>
      <c r="F55" s="66">
        <f t="shared" si="8"/>
        <v>5887.0583605770025</v>
      </c>
      <c r="G55" s="65">
        <f t="shared" si="9"/>
        <v>-341.44380579867357</v>
      </c>
      <c r="H55" s="65">
        <f t="shared" si="10"/>
        <v>341.44380579867357</v>
      </c>
      <c r="I55" s="63">
        <f>SUM(H$3:H55)/COUNT(H$3:H55)</f>
        <v>396.78860756320057</v>
      </c>
      <c r="J55" s="63">
        <f>SUM(G$3:G55)/I55</f>
        <v>-2.602754583514054</v>
      </c>
      <c r="K55" s="64">
        <f t="shared" si="11"/>
        <v>141849.56695779925</v>
      </c>
      <c r="L55" s="63">
        <f>SQRT(SUM(K$3:K55)/(COUNT(K$3:K55)-1))</f>
        <v>546.43476957000348</v>
      </c>
    </row>
    <row r="56" spans="1:12" x14ac:dyDescent="0.2">
      <c r="A56" s="1">
        <f>[2]ArdiData!A56</f>
        <v>54</v>
      </c>
      <c r="B56" s="67">
        <f ca="1">'0.ArdiData'!C56</f>
        <v>8155</v>
      </c>
      <c r="C56" s="66">
        <v>6272.3581433243171</v>
      </c>
      <c r="D56" s="2">
        <f t="shared" si="6"/>
        <v>5891.5346358630131</v>
      </c>
      <c r="E56" s="66">
        <f t="shared" si="7"/>
        <v>34.682685699614325</v>
      </c>
      <c r="F56" s="66">
        <f t="shared" si="8"/>
        <v>5796.3287589976862</v>
      </c>
      <c r="G56" s="65">
        <f t="shared" si="9"/>
        <v>476.02938432663086</v>
      </c>
      <c r="H56" s="65">
        <f t="shared" si="10"/>
        <v>476.02938432663086</v>
      </c>
      <c r="I56" s="63">
        <f>SUM(H$3:H56)/COUNT(H$3:H56)</f>
        <v>398.25602935511591</v>
      </c>
      <c r="J56" s="63">
        <f>SUM(G$3:G56)/I56</f>
        <v>-1.3978796092456376</v>
      </c>
      <c r="K56" s="64">
        <f t="shared" si="11"/>
        <v>194343.40880504763</v>
      </c>
      <c r="L56" s="63">
        <f>SQRT(SUM(K$3:K56)/(COUNT(K$3:K56)-1))</f>
        <v>544.63200651078773</v>
      </c>
    </row>
    <row r="57" spans="1:12" x14ac:dyDescent="0.2">
      <c r="A57" s="1">
        <f>[2]ArdiData!A57</f>
        <v>55</v>
      </c>
      <c r="B57" s="67">
        <f ca="1">'0.ArdiData'!C57</f>
        <v>8448</v>
      </c>
      <c r="C57" s="66">
        <v>5129.4309137141636</v>
      </c>
      <c r="D57" s="2">
        <f t="shared" si="6"/>
        <v>5766.8600399929346</v>
      </c>
      <c r="E57" s="66">
        <f t="shared" si="7"/>
        <v>-60.93168324220138</v>
      </c>
      <c r="F57" s="66">
        <f t="shared" si="8"/>
        <v>5926.2173215626271</v>
      </c>
      <c r="G57" s="65">
        <f t="shared" si="9"/>
        <v>-796.78640784846357</v>
      </c>
      <c r="H57" s="65">
        <f t="shared" si="10"/>
        <v>796.78640784846357</v>
      </c>
      <c r="I57" s="63">
        <f>SUM(H$3:H57)/COUNT(H$3:H57)</f>
        <v>405.50203623681313</v>
      </c>
      <c r="J57" s="63">
        <f>SUM(G$3:G57)/I57</f>
        <v>-3.3378387026216267</v>
      </c>
      <c r="K57" s="64">
        <f t="shared" si="11"/>
        <v>692177.10738324083</v>
      </c>
      <c r="L57" s="63">
        <f>SQRT(SUM(K$3:K57)/(COUNT(K$3:K57)-1))</f>
        <v>551.31577126283844</v>
      </c>
    </row>
    <row r="58" spans="1:12" x14ac:dyDescent="0.2">
      <c r="A58" s="1">
        <f>[2]ArdiData!A58</f>
        <v>56</v>
      </c>
      <c r="B58" s="67">
        <f ca="1">'0.ArdiData'!C58</f>
        <v>8482</v>
      </c>
      <c r="C58" s="66">
        <v>5666.7623903768372</v>
      </c>
      <c r="D58" s="2">
        <f t="shared" si="6"/>
        <v>5698.0951634759549</v>
      </c>
      <c r="E58" s="66">
        <f t="shared" si="7"/>
        <v>-65.631599207068376</v>
      </c>
      <c r="F58" s="66">
        <f t="shared" si="8"/>
        <v>5705.9283567507337</v>
      </c>
      <c r="G58" s="65">
        <f t="shared" si="9"/>
        <v>-39.165966373896481</v>
      </c>
      <c r="H58" s="65">
        <f t="shared" si="10"/>
        <v>39.165966373896481</v>
      </c>
      <c r="I58" s="63">
        <f>SUM(H$3:H58)/COUNT(H$3:H58)</f>
        <v>398.96032070354676</v>
      </c>
      <c r="J58" s="63">
        <f>SUM(G$3:G58)/I58</f>
        <v>-3.4907390150005657</v>
      </c>
      <c r="K58" s="64">
        <f t="shared" si="11"/>
        <v>5528.1273196494303</v>
      </c>
      <c r="L58" s="63">
        <f>SQRT(SUM(K$3:K58)/(COUNT(K$3:K58)-1))</f>
        <v>546.37280692430852</v>
      </c>
    </row>
    <row r="59" spans="1:12" x14ac:dyDescent="0.2">
      <c r="A59" s="1">
        <f>[2]ArdiData!A59</f>
        <v>57</v>
      </c>
      <c r="B59" s="67">
        <f ca="1">'0.ArdiData'!C59</f>
        <v>8811</v>
      </c>
      <c r="C59" s="66">
        <v>6383.3602430207802</v>
      </c>
      <c r="D59" s="2">
        <f t="shared" si="6"/>
        <v>5782.6429000192647</v>
      </c>
      <c r="E59" s="66">
        <f t="shared" si="7"/>
        <v>24.476002243158554</v>
      </c>
      <c r="F59" s="66">
        <f t="shared" si="8"/>
        <v>5632.4635642688863</v>
      </c>
      <c r="G59" s="65">
        <f t="shared" si="9"/>
        <v>750.89667875189389</v>
      </c>
      <c r="H59" s="65">
        <f t="shared" si="10"/>
        <v>750.89667875189389</v>
      </c>
      <c r="I59" s="63">
        <f>SUM(H$3:H59)/COUNT(H$3:H59)</f>
        <v>405.13464277457041</v>
      </c>
      <c r="J59" s="63">
        <f>SUM(G$3:G59)/I59</f>
        <v>-1.5840898565719927</v>
      </c>
      <c r="K59" s="64">
        <f t="shared" si="11"/>
        <v>512242.61876532721</v>
      </c>
      <c r="L59" s="63">
        <f>SQRT(SUM(K$3:K59)/(COUNT(K$3:K59)-1))</f>
        <v>549.85421845272583</v>
      </c>
    </row>
    <row r="60" spans="1:12" x14ac:dyDescent="0.2">
      <c r="A60" s="1">
        <f>[2]ArdiData!A60</f>
        <v>58</v>
      </c>
      <c r="B60" s="67">
        <f ca="1">'0.ArdiData'!C60</f>
        <v>9029</v>
      </c>
      <c r="C60" s="66">
        <v>6421.0416971132518</v>
      </c>
      <c r="D60" s="2">
        <f t="shared" si="6"/>
        <v>5929.9034612325886</v>
      </c>
      <c r="E60" s="66">
        <f t="shared" si="7"/>
        <v>98.146737625257728</v>
      </c>
      <c r="F60" s="66">
        <f t="shared" si="8"/>
        <v>5807.118902262423</v>
      </c>
      <c r="G60" s="65">
        <f t="shared" si="9"/>
        <v>613.92279485082872</v>
      </c>
      <c r="H60" s="65">
        <f t="shared" si="10"/>
        <v>613.92279485082872</v>
      </c>
      <c r="I60" s="63">
        <f>SUM(H$3:H60)/COUNT(H$3:H60)</f>
        <v>408.73443850002315</v>
      </c>
      <c r="J60" s="63">
        <f>SUM(G$3:G60)/I60</f>
        <v>-6.8129525411361885E-2</v>
      </c>
      <c r="K60" s="64">
        <f t="shared" si="11"/>
        <v>334936.95944895776</v>
      </c>
      <c r="L60" s="63">
        <f>SQRT(SUM(K$3:K60)/(COUNT(K$3:K60)-1))</f>
        <v>550.3740037188652</v>
      </c>
    </row>
    <row r="61" spans="1:12" x14ac:dyDescent="0.2">
      <c r="A61" s="1">
        <f>[2]ArdiData!A61</f>
        <v>59</v>
      </c>
      <c r="B61" s="67">
        <f ca="1">'0.ArdiData'!C61</f>
        <v>8666</v>
      </c>
      <c r="C61" s="66">
        <v>6732.3029027761122</v>
      </c>
      <c r="D61" s="2">
        <f t="shared" si="6"/>
        <v>6168.9007396415</v>
      </c>
      <c r="E61" s="66">
        <f t="shared" si="7"/>
        <v>182.6570620954499</v>
      </c>
      <c r="F61" s="66">
        <f t="shared" si="8"/>
        <v>6028.0501988578462</v>
      </c>
      <c r="G61" s="65">
        <f t="shared" si="9"/>
        <v>704.25270391826598</v>
      </c>
      <c r="H61" s="65">
        <f t="shared" si="10"/>
        <v>704.25270391826598</v>
      </c>
      <c r="I61" s="63">
        <f>SUM(H$3:H61)/COUNT(H$3:H61)</f>
        <v>413.74322265965441</v>
      </c>
      <c r="J61" s="63">
        <f>SUM(G$3:G61)/I61</f>
        <v>1.6348444725108937</v>
      </c>
      <c r="K61" s="64">
        <f t="shared" si="11"/>
        <v>447651.04243269475</v>
      </c>
      <c r="L61" s="63">
        <f>SQRT(SUM(K$3:K61)/(COUNT(K$3:K61)-1))</f>
        <v>552.63645605743909</v>
      </c>
    </row>
    <row r="62" spans="1:12" x14ac:dyDescent="0.2">
      <c r="A62" s="1">
        <f>[2]ArdiData!A62</f>
        <v>60</v>
      </c>
      <c r="B62" s="67">
        <f ca="1">'0.ArdiData'!C62</f>
        <v>8838</v>
      </c>
      <c r="C62" s="66">
        <v>5383.813648815224</v>
      </c>
      <c r="D62" s="2">
        <f t="shared" si="6"/>
        <v>6158.0089711526052</v>
      </c>
      <c r="E62" s="66">
        <f t="shared" si="7"/>
        <v>66.527763744843114</v>
      </c>
      <c r="F62" s="66">
        <f t="shared" si="8"/>
        <v>6351.5578017369498</v>
      </c>
      <c r="G62" s="65">
        <f t="shared" si="9"/>
        <v>-967.7441529217258</v>
      </c>
      <c r="H62" s="65">
        <f t="shared" si="10"/>
        <v>967.7441529217258</v>
      </c>
      <c r="I62" s="63">
        <f>SUM(H$3:H62)/COUNT(H$3:H62)</f>
        <v>422.97657149735556</v>
      </c>
      <c r="J62" s="63">
        <f>SUM(G$3:G62)/I62</f>
        <v>-0.68878125161021431</v>
      </c>
      <c r="K62" s="64">
        <f t="shared" si="11"/>
        <v>1005867.7102186256</v>
      </c>
      <c r="L62" s="63">
        <f>SQRT(SUM(K$3:K62)/(COUNT(K$3:K62)-1))</f>
        <v>563.27548064890027</v>
      </c>
    </row>
    <row r="63" spans="1:12" x14ac:dyDescent="0.2">
      <c r="A63" s="1">
        <f>[2]ArdiData!A63</f>
        <v>61</v>
      </c>
      <c r="B63" s="67">
        <f ca="1">'0.ArdiData'!C63</f>
        <v>8885</v>
      </c>
      <c r="C63" s="66">
        <v>6306.029263075081</v>
      </c>
      <c r="D63" s="2">
        <f t="shared" si="6"/>
        <v>6240.8352405329751</v>
      </c>
      <c r="E63" s="66">
        <f t="shared" si="7"/>
        <v>76.306867126159204</v>
      </c>
      <c r="F63" s="66">
        <f t="shared" si="8"/>
        <v>6224.5367348974487</v>
      </c>
      <c r="G63" s="65">
        <f t="shared" si="9"/>
        <v>81.492528177632266</v>
      </c>
      <c r="H63" s="65">
        <f t="shared" si="10"/>
        <v>81.492528177632266</v>
      </c>
      <c r="I63" s="63">
        <f>SUM(H$3:H63)/COUNT(H$3:H63)</f>
        <v>417.37847242654038</v>
      </c>
      <c r="J63" s="63">
        <f>SUM(G$3:G63)/I63</f>
        <v>-0.50277102918154692</v>
      </c>
      <c r="K63" s="64">
        <f t="shared" si="11"/>
        <v>2144.3490998992256</v>
      </c>
      <c r="L63" s="63">
        <f>SQRT(SUM(K$3:K63)/(COUNT(K$3:K63)-1))</f>
        <v>558.59378663471591</v>
      </c>
    </row>
    <row r="64" spans="1:12" x14ac:dyDescent="0.2">
      <c r="A64" s="1">
        <f>[2]ArdiData!A64</f>
        <v>62</v>
      </c>
      <c r="B64" s="67">
        <f ca="1">'0.ArdiData'!C64</f>
        <v>8942</v>
      </c>
      <c r="C64" s="66">
        <v>6344.73822659077</v>
      </c>
      <c r="D64" s="2">
        <f t="shared" si="6"/>
        <v>6322.6613314454617</v>
      </c>
      <c r="E64" s="66">
        <f t="shared" si="7"/>
        <v>79.61840139795558</v>
      </c>
      <c r="F64" s="66">
        <f t="shared" si="8"/>
        <v>6317.1421076591341</v>
      </c>
      <c r="G64" s="65">
        <f t="shared" si="9"/>
        <v>27.596118931635829</v>
      </c>
      <c r="H64" s="65">
        <f t="shared" si="10"/>
        <v>27.596118931635829</v>
      </c>
      <c r="I64" s="63">
        <f>SUM(H$3:H64)/COUNT(H$3:H64)</f>
        <v>411.09166027339677</v>
      </c>
      <c r="J64" s="63">
        <f>SUM(G$3:G64)/I64</f>
        <v>-0.44333102035510163</v>
      </c>
      <c r="K64" s="64">
        <f t="shared" si="11"/>
        <v>57.597354328994768</v>
      </c>
      <c r="L64" s="63">
        <f>SQRT(SUM(K$3:K64)/(COUNT(K$3:K64)-1))</f>
        <v>553.99708091449918</v>
      </c>
    </row>
    <row r="65" spans="1:12" x14ac:dyDescent="0.2">
      <c r="A65" s="1">
        <f>[2]ArdiData!A65</f>
        <v>63</v>
      </c>
      <c r="B65" s="67">
        <f ca="1">'0.ArdiData'!C65</f>
        <v>9423</v>
      </c>
      <c r="C65" s="66">
        <v>6433.484918596806</v>
      </c>
      <c r="D65" s="2">
        <f t="shared" si="6"/>
        <v>6408.5207699940947</v>
      </c>
      <c r="E65" s="66">
        <f t="shared" si="7"/>
        <v>83.363023688362091</v>
      </c>
      <c r="F65" s="66">
        <f t="shared" si="8"/>
        <v>6402.2797328434172</v>
      </c>
      <c r="G65" s="65">
        <f t="shared" si="9"/>
        <v>31.205185753388832</v>
      </c>
      <c r="H65" s="65">
        <f t="shared" si="10"/>
        <v>31.205185753388832</v>
      </c>
      <c r="I65" s="63">
        <f>SUM(H$3:H65)/COUNT(H$3:H65)</f>
        <v>405.06171623339668</v>
      </c>
      <c r="J65" s="63">
        <f>SUM(G$3:G65)/I65</f>
        <v>-0.37289255785421366</v>
      </c>
      <c r="K65" s="64">
        <f t="shared" si="11"/>
        <v>15.842193134416243</v>
      </c>
      <c r="L65" s="63">
        <f>SQRT(SUM(K$3:K65)/(COUNT(K$3:K65)-1))</f>
        <v>549.51143325981809</v>
      </c>
    </row>
    <row r="66" spans="1:12" x14ac:dyDescent="0.2">
      <c r="A66" s="1">
        <f>[2]ArdiData!A66</f>
        <v>64</v>
      </c>
      <c r="B66" s="67">
        <f ca="1">'0.ArdiData'!C66</f>
        <v>9125</v>
      </c>
      <c r="C66" s="66">
        <v>7126.6521295344728</v>
      </c>
      <c r="D66" s="2">
        <f t="shared" si="6"/>
        <v>6618.8374608528602</v>
      </c>
      <c r="E66" s="66">
        <f t="shared" si="7"/>
        <v>159.53522399060412</v>
      </c>
      <c r="F66" s="66">
        <f t="shared" si="8"/>
        <v>6491.8837936824566</v>
      </c>
      <c r="G66" s="65">
        <f t="shared" si="9"/>
        <v>634.76833585201621</v>
      </c>
      <c r="H66" s="65">
        <f t="shared" si="10"/>
        <v>634.76833585201621</v>
      </c>
      <c r="I66" s="63">
        <f>SUM(H$3:H66)/COUNT(H$3:H66)</f>
        <v>408.65088216493757</v>
      </c>
      <c r="J66" s="63">
        <f>SUM(G$3:G66)/I66</f>
        <v>1.1837092675152703</v>
      </c>
      <c r="K66" s="64">
        <f t="shared" si="11"/>
        <v>359499.68375592289</v>
      </c>
      <c r="L66" s="63">
        <f>SQRT(SUM(K$3:K66)/(COUNT(K$3:K66)-1))</f>
        <v>550.34180189206938</v>
      </c>
    </row>
    <row r="67" spans="1:12" x14ac:dyDescent="0.2">
      <c r="A67" s="1">
        <f>[2]ArdiData!A67</f>
        <v>65</v>
      </c>
      <c r="B67" s="67">
        <f ca="1">'0.ArdiData'!C67</f>
        <v>10078</v>
      </c>
      <c r="C67" s="66">
        <v>7865.1338288516981</v>
      </c>
      <c r="D67" s="2">
        <f t="shared" ref="D67:D77" si="12">$N$1*C67+(1-$N$1)*F67</f>
        <v>6995.7249136451119</v>
      </c>
      <c r="E67" s="66">
        <f t="shared" ref="E67:E77" si="13">$N$2*(D67-D66)+(1-$N$2)*E66</f>
        <v>289.94656127159266</v>
      </c>
      <c r="F67" s="66">
        <f t="shared" ref="F67:F78" si="14">D66+E66</f>
        <v>6778.3726848434644</v>
      </c>
      <c r="G67" s="65">
        <f t="shared" ref="G67:G77" si="15">C67-F67</f>
        <v>1086.7611440082337</v>
      </c>
      <c r="H67" s="65">
        <f t="shared" ref="H67:H78" si="16">ABS(G67)</f>
        <v>1086.7611440082337</v>
      </c>
      <c r="I67" s="63">
        <f>SUM(H$3:H67)/COUNT(H$3:H67)</f>
        <v>419.0833477317575</v>
      </c>
      <c r="J67" s="63">
        <f>SUM(G$3:G67)/I67</f>
        <v>3.7474287368019708</v>
      </c>
      <c r="K67" s="64">
        <f t="shared" ref="K67:K77" si="17">(G67-$G$78)^2</f>
        <v>1105811.5222199268</v>
      </c>
      <c r="L67" s="63">
        <f>SQRT(SUM(K$3:K67)/(COUNT(K$3:K67)-1))</f>
        <v>561.62439841857861</v>
      </c>
    </row>
    <row r="68" spans="1:12" x14ac:dyDescent="0.2">
      <c r="A68" s="1">
        <f>[2]ArdiData!A68</f>
        <v>66</v>
      </c>
      <c r="B68" s="67">
        <f ca="1">'0.ArdiData'!C68</f>
        <v>9737</v>
      </c>
      <c r="C68" s="66">
        <v>7010.35704845092</v>
      </c>
      <c r="D68" s="2">
        <f t="shared" si="12"/>
        <v>7230.6085896235481</v>
      </c>
      <c r="E68" s="66">
        <f t="shared" si="13"/>
        <v>256.90883009569882</v>
      </c>
      <c r="F68" s="66">
        <f t="shared" si="14"/>
        <v>7285.6714749167049</v>
      </c>
      <c r="G68" s="65">
        <f t="shared" si="15"/>
        <v>-275.31442646578489</v>
      </c>
      <c r="H68" s="65">
        <f t="shared" si="16"/>
        <v>275.31442646578489</v>
      </c>
      <c r="I68" s="63">
        <f>SUM(H$3:H68)/COUNT(H$3:H68)</f>
        <v>416.90503074287915</v>
      </c>
      <c r="J68" s="63">
        <f>SUM(G$3:G68)/I68</f>
        <v>3.1066321066731284</v>
      </c>
      <c r="K68" s="64">
        <f t="shared" si="17"/>
        <v>96410.149075691224</v>
      </c>
      <c r="L68" s="63">
        <f>SQRT(SUM(K$3:K68)/(COUNT(K$3:K68)-1))</f>
        <v>558.61664166752325</v>
      </c>
    </row>
    <row r="69" spans="1:12" x14ac:dyDescent="0.2">
      <c r="A69" s="1">
        <f>[2]ArdiData!A69</f>
        <v>67</v>
      </c>
      <c r="B69" s="67">
        <f ca="1">'0.ArdiData'!C69</f>
        <v>9860</v>
      </c>
      <c r="C69" s="66">
        <v>9422.7261880039478</v>
      </c>
      <c r="D69" s="2">
        <f t="shared" si="12"/>
        <v>7874.5591733761876</v>
      </c>
      <c r="E69" s="66">
        <f t="shared" si="13"/>
        <v>489.13388228986321</v>
      </c>
      <c r="F69" s="66">
        <f t="shared" si="14"/>
        <v>7487.5174197192473</v>
      </c>
      <c r="G69" s="65">
        <f t="shared" si="15"/>
        <v>1935.2087682847005</v>
      </c>
      <c r="H69" s="65">
        <f t="shared" si="16"/>
        <v>1935.2087682847005</v>
      </c>
      <c r="I69" s="63">
        <f>SUM(H$3:H69)/COUNT(H$3:H69)</f>
        <v>439.56628055693619</v>
      </c>
      <c r="J69" s="63">
        <f>SUM(G$3:G69)/I69</f>
        <v>7.3490153023820293</v>
      </c>
      <c r="K69" s="64">
        <f t="shared" si="17"/>
        <v>3610088.7581698275</v>
      </c>
      <c r="L69" s="63">
        <f>SQRT(SUM(K$3:K69)/(COUNT(K$3:K69)-1))</f>
        <v>601.68330364956819</v>
      </c>
    </row>
    <row r="70" spans="1:12" x14ac:dyDescent="0.2">
      <c r="A70" s="1">
        <f>[2]ArdiData!A70</f>
        <v>68</v>
      </c>
      <c r="B70" s="67">
        <f ca="1">'0.ArdiData'!C70</f>
        <v>9715</v>
      </c>
      <c r="C70" s="66">
        <v>7040.5275765927445</v>
      </c>
      <c r="D70" s="2">
        <f t="shared" si="12"/>
        <v>8099.0599598513891</v>
      </c>
      <c r="E70" s="66">
        <f t="shared" si="13"/>
        <v>330.3540248010662</v>
      </c>
      <c r="F70" s="66">
        <f t="shared" si="14"/>
        <v>8363.69305566605</v>
      </c>
      <c r="G70" s="65">
        <f t="shared" si="15"/>
        <v>-1323.1654790733055</v>
      </c>
      <c r="H70" s="65">
        <f t="shared" si="16"/>
        <v>1323.1654790733055</v>
      </c>
      <c r="I70" s="63">
        <f>SUM(H$3:H70)/COUNT(H$3:H70)</f>
        <v>452.56038641747102</v>
      </c>
      <c r="J70" s="63">
        <f>SUM(G$3:G70)/I70</f>
        <v>4.2142748247334074</v>
      </c>
      <c r="K70" s="64">
        <f t="shared" si="17"/>
        <v>1845117.1406041181</v>
      </c>
      <c r="L70" s="63">
        <f>SQRT(SUM(K$3:K70)/(COUNT(K$3:K70)-1))</f>
        <v>619.80523904616064</v>
      </c>
    </row>
    <row r="71" spans="1:12" x14ac:dyDescent="0.2">
      <c r="A71" s="1">
        <f>[2]ArdiData!A71</f>
        <v>69</v>
      </c>
      <c r="B71" s="67">
        <f ca="1">'0.ArdiData'!C71</f>
        <v>10232</v>
      </c>
      <c r="C71" s="66">
        <v>9903.7758241325882</v>
      </c>
      <c r="D71" s="2">
        <f t="shared" si="12"/>
        <v>8724.2863525484827</v>
      </c>
      <c r="E71" s="66">
        <f t="shared" si="13"/>
        <v>507.27744553868263</v>
      </c>
      <c r="F71" s="66">
        <f t="shared" si="14"/>
        <v>8429.4139846524558</v>
      </c>
      <c r="G71" s="65">
        <f t="shared" si="15"/>
        <v>1474.3618394801324</v>
      </c>
      <c r="H71" s="65">
        <f t="shared" si="16"/>
        <v>1474.3618394801324</v>
      </c>
      <c r="I71" s="63">
        <f>SUM(H$3:H71)/COUNT(H$3:H71)</f>
        <v>467.3691031285241</v>
      </c>
      <c r="J71" s="63">
        <f>SUM(G$3:G71)/I71</f>
        <v>7.235342815763727</v>
      </c>
      <c r="K71" s="64">
        <f t="shared" si="17"/>
        <v>2071228.7922492027</v>
      </c>
      <c r="L71" s="63">
        <f>SQRT(SUM(K$3:K71)/(COUNT(K$3:K71)-1))</f>
        <v>639.50636516214115</v>
      </c>
    </row>
    <row r="72" spans="1:12" x14ac:dyDescent="0.2">
      <c r="A72" s="1">
        <f>[2]ArdiData!A72</f>
        <v>70</v>
      </c>
      <c r="B72" s="67">
        <f ca="1">'0.ArdiData'!C72</f>
        <v>10364</v>
      </c>
      <c r="C72" s="66">
        <v>7385.6932650971721</v>
      </c>
      <c r="D72" s="2">
        <f t="shared" si="12"/>
        <v>8862.3896914891666</v>
      </c>
      <c r="E72" s="66">
        <f t="shared" si="13"/>
        <v>285.77298157988338</v>
      </c>
      <c r="F72" s="66">
        <f t="shared" si="14"/>
        <v>9231.5637980871652</v>
      </c>
      <c r="G72" s="65">
        <f t="shared" si="15"/>
        <v>-1845.8705329899931</v>
      </c>
      <c r="H72" s="65">
        <f t="shared" si="16"/>
        <v>1845.8705329899931</v>
      </c>
      <c r="I72" s="63">
        <f>SUM(H$3:H72)/COUNT(H$3:H72)</f>
        <v>487.06198069797369</v>
      </c>
      <c r="J72" s="63">
        <f>SUM(G$3:G72)/I72</f>
        <v>3.1529973812371912</v>
      </c>
      <c r="K72" s="64">
        <f t="shared" si="17"/>
        <v>3538371.464477106</v>
      </c>
      <c r="L72" s="63">
        <f>SQRT(SUM(K$3:K72)/(COUNT(K$3:K72)-1))</f>
        <v>674.03416739305192</v>
      </c>
    </row>
    <row r="73" spans="1:12" x14ac:dyDescent="0.2">
      <c r="A73" s="1">
        <f>[2]ArdiData!A73</f>
        <v>71</v>
      </c>
      <c r="B73" s="67">
        <f ca="1">'0.ArdiData'!C73</f>
        <v>11908</v>
      </c>
      <c r="C73" s="66">
        <v>9011.9704290236768</v>
      </c>
      <c r="D73" s="2">
        <f t="shared" si="12"/>
        <v>9120.9242242599757</v>
      </c>
      <c r="E73" s="66">
        <f t="shared" si="13"/>
        <v>269.42991229443885</v>
      </c>
      <c r="F73" s="66">
        <f t="shared" si="14"/>
        <v>9148.1626730690496</v>
      </c>
      <c r="G73" s="65">
        <f t="shared" si="15"/>
        <v>-136.19224404537272</v>
      </c>
      <c r="H73" s="65">
        <f t="shared" si="16"/>
        <v>136.19224404537272</v>
      </c>
      <c r="I73" s="63">
        <f>SUM(H$3:H73)/COUNT(H$3:H73)</f>
        <v>482.1201534211765</v>
      </c>
      <c r="J73" s="63">
        <f>SUM(G$3:G73)/I73</f>
        <v>2.9028301257776583</v>
      </c>
      <c r="K73" s="64">
        <f t="shared" si="17"/>
        <v>29370.300654045848</v>
      </c>
      <c r="L73" s="63">
        <f>SQRT(SUM(K$3:K73)/(COUNT(K$3:K73)-1))</f>
        <v>669.51573499879032</v>
      </c>
    </row>
    <row r="74" spans="1:12" x14ac:dyDescent="0.2">
      <c r="A74" s="1">
        <f>[2]ArdiData!A74</f>
        <v>72</v>
      </c>
      <c r="B74" s="67">
        <f ca="1">'0.ArdiData'!C74</f>
        <v>12343</v>
      </c>
      <c r="C74" s="66">
        <v>10014.199326672129</v>
      </c>
      <c r="D74" s="2">
        <f t="shared" si="12"/>
        <v>9515.1231745779587</v>
      </c>
      <c r="E74" s="66">
        <f t="shared" si="13"/>
        <v>344.29133510856531</v>
      </c>
      <c r="F74" s="66">
        <f t="shared" si="14"/>
        <v>9390.3541365544152</v>
      </c>
      <c r="G74" s="65">
        <f t="shared" si="15"/>
        <v>623.84519011771408</v>
      </c>
      <c r="H74" s="65">
        <f t="shared" si="16"/>
        <v>623.84519011771408</v>
      </c>
      <c r="I74" s="63">
        <f>SUM(H$3:H74)/COUNT(H$3:H74)</f>
        <v>484.08855670862835</v>
      </c>
      <c r="J74" s="63">
        <f>SUM(G$3:G74)/I74</f>
        <v>4.179727175271994</v>
      </c>
      <c r="K74" s="64">
        <f t="shared" si="17"/>
        <v>346520.33553307143</v>
      </c>
      <c r="L74" s="63">
        <f>SQRT(SUM(K$3:K74)/(COUNT(K$3:K74)-1))</f>
        <v>668.44482842799141</v>
      </c>
    </row>
    <row r="75" spans="1:12" x14ac:dyDescent="0.2">
      <c r="A75" s="1">
        <f>[2]ArdiData!A75</f>
        <v>73</v>
      </c>
      <c r="B75" s="67">
        <f ca="1">'0.ArdiData'!C75</f>
        <v>11573</v>
      </c>
      <c r="C75" s="66">
        <v>10910.3731121908</v>
      </c>
      <c r="D75" s="2">
        <f t="shared" si="12"/>
        <v>10069.606230187379</v>
      </c>
      <c r="E75" s="66">
        <f t="shared" si="13"/>
        <v>470.40636740907826</v>
      </c>
      <c r="F75" s="66">
        <f t="shared" si="14"/>
        <v>9859.4145096865232</v>
      </c>
      <c r="G75" s="65">
        <f t="shared" si="15"/>
        <v>1050.9586025042772</v>
      </c>
      <c r="H75" s="65">
        <f t="shared" si="16"/>
        <v>1050.9586025042772</v>
      </c>
      <c r="I75" s="63">
        <f>SUM(H$3:H75)/COUNT(H$3:H75)</f>
        <v>491.85389980171948</v>
      </c>
      <c r="J75" s="63">
        <f>SUM(G$3:G75)/I75</f>
        <v>6.2504672616337391</v>
      </c>
      <c r="K75" s="64">
        <f t="shared" si="17"/>
        <v>1031795.1765479931</v>
      </c>
      <c r="L75" s="63">
        <f>SQRT(SUM(K$3:K75)/(COUNT(K$3:K75)-1))</f>
        <v>674.49474784678841</v>
      </c>
    </row>
    <row r="76" spans="1:12" x14ac:dyDescent="0.2">
      <c r="A76" s="1">
        <f>[2]ArdiData!A76</f>
        <v>74</v>
      </c>
      <c r="B76" s="67">
        <f ca="1">'0.ArdiData'!C76</f>
        <v>12138</v>
      </c>
      <c r="C76" s="66">
        <v>8358.5918304447059</v>
      </c>
      <c r="D76" s="2">
        <f t="shared" si="12"/>
        <v>10103.728444166107</v>
      </c>
      <c r="E76" s="66">
        <f t="shared" si="13"/>
        <v>208.63587535086799</v>
      </c>
      <c r="F76" s="66">
        <f t="shared" si="14"/>
        <v>10540.012597596457</v>
      </c>
      <c r="G76" s="65">
        <f t="shared" si="15"/>
        <v>-2181.4207671517506</v>
      </c>
      <c r="H76" s="65">
        <f t="shared" si="16"/>
        <v>2181.4207671517506</v>
      </c>
      <c r="I76" s="63">
        <f>SUM(H$3:H76)/COUNT(H$3:H76)</f>
        <v>514.68588449563879</v>
      </c>
      <c r="J76" s="63">
        <f>SUM(G$3:G76)/I76</f>
        <v>1.734836641072375</v>
      </c>
      <c r="K76" s="64">
        <f t="shared" si="17"/>
        <v>4913342.9490877027</v>
      </c>
      <c r="L76" s="63">
        <f>SQRT(SUM(K$3:K76)/(COUNT(K$3:K76)-1))</f>
        <v>718.34332635563669</v>
      </c>
    </row>
    <row r="77" spans="1:12" x14ac:dyDescent="0.2">
      <c r="A77" s="1">
        <f>[2]ArdiData!A77</f>
        <v>75</v>
      </c>
      <c r="B77" s="67">
        <f ca="1">'0.ArdiData'!C77</f>
        <v>12163</v>
      </c>
      <c r="C77" s="66">
        <v>12058.374214587961</v>
      </c>
      <c r="D77" s="2">
        <f t="shared" si="12"/>
        <v>10661.566298531172</v>
      </c>
      <c r="E77" s="66">
        <f t="shared" si="13"/>
        <v>418.15706275938624</v>
      </c>
      <c r="F77" s="66">
        <f t="shared" si="14"/>
        <v>10312.364319516975</v>
      </c>
      <c r="G77" s="65">
        <f t="shared" si="15"/>
        <v>1746.0098950709853</v>
      </c>
      <c r="H77" s="65">
        <f t="shared" si="16"/>
        <v>1746.0098950709853</v>
      </c>
      <c r="I77" s="63">
        <f>SUM(H$3:H77)/COUNT(H$3:H77)</f>
        <v>531.10353796997686</v>
      </c>
      <c r="J77" s="63">
        <f>SUM(G$3:G77)/I77</f>
        <v>4.9687219863444785</v>
      </c>
      <c r="K77" s="64">
        <f t="shared" si="17"/>
        <v>2926920.4152448913</v>
      </c>
      <c r="L77" s="63">
        <f>SQRT(SUM(K$3:K77)/(COUNT(K$3:K77)-1))</f>
        <v>740.67328059241811</v>
      </c>
    </row>
    <row r="78" spans="1:12" x14ac:dyDescent="0.2">
      <c r="A78" s="1">
        <f>[2]ArdiData!A78</f>
        <v>0</v>
      </c>
      <c r="B78" s="62"/>
      <c r="C78" s="62"/>
      <c r="E78" s="66"/>
      <c r="F78" s="66">
        <f t="shared" si="14"/>
        <v>11079.723361290558</v>
      </c>
      <c r="G78" s="62">
        <f>AVERAGE(G3:G77)</f>
        <v>35.185411015156845</v>
      </c>
      <c r="H78" s="62">
        <f t="shared" si="16"/>
        <v>35.185411015156845</v>
      </c>
      <c r="I78" s="63">
        <f>1.25*I77</f>
        <v>663.8794224624711</v>
      </c>
      <c r="J78" s="63"/>
      <c r="K78" s="62"/>
      <c r="L78" s="62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51"/>
  <sheetViews>
    <sheetView zoomScale="98" zoomScaleNormal="98" workbookViewId="0">
      <selection activeCell="N48" sqref="N48"/>
    </sheetView>
  </sheetViews>
  <sheetFormatPr defaultRowHeight="12.75" x14ac:dyDescent="0.2"/>
  <cols>
    <col min="1" max="1" width="4.42578125" style="2" bestFit="1" customWidth="1"/>
    <col min="2" max="2" width="6.28515625" style="2" bestFit="1" customWidth="1"/>
    <col min="3" max="3" width="6.7109375" style="2" bestFit="1" customWidth="1"/>
    <col min="4" max="6" width="6.28515625" style="2" customWidth="1"/>
    <col min="7" max="7" width="8.42578125" style="2" bestFit="1" customWidth="1"/>
    <col min="8" max="8" width="6.28515625" style="2" customWidth="1"/>
    <col min="9" max="10" width="8" style="2" bestFit="1" customWidth="1"/>
    <col min="11" max="11" width="7.140625" style="2" bestFit="1" customWidth="1"/>
    <col min="12" max="12" width="6.28515625" style="2" bestFit="1" customWidth="1"/>
    <col min="13" max="13" width="8" style="2" customWidth="1"/>
    <col min="14" max="14" width="9.140625" style="2"/>
    <col min="15" max="15" width="6.42578125" style="2" customWidth="1"/>
    <col min="16" max="16" width="7.28515625" style="2" customWidth="1"/>
    <col min="17" max="24" width="4" style="2" customWidth="1"/>
    <col min="25" max="25" width="4.140625" style="2" customWidth="1"/>
    <col min="26" max="16384" width="9.140625" style="2"/>
  </cols>
  <sheetData>
    <row r="1" spans="1:20" x14ac:dyDescent="0.2">
      <c r="A1" s="1" t="str">
        <f>[2]ArdiData!A2</f>
        <v>Per.</v>
      </c>
      <c r="B1" s="78" t="s">
        <v>0</v>
      </c>
      <c r="C1" s="78" t="s">
        <v>48</v>
      </c>
      <c r="D1" s="78" t="s">
        <v>3</v>
      </c>
      <c r="E1" s="78" t="s">
        <v>2</v>
      </c>
      <c r="F1" s="78" t="s">
        <v>1</v>
      </c>
      <c r="G1" s="72" t="s">
        <v>47</v>
      </c>
      <c r="H1" s="78" t="s">
        <v>42</v>
      </c>
      <c r="I1" s="78" t="s">
        <v>46</v>
      </c>
      <c r="J1" s="70" t="s">
        <v>3</v>
      </c>
      <c r="K1" s="70" t="s">
        <v>2</v>
      </c>
      <c r="L1" s="71" t="s">
        <v>1</v>
      </c>
      <c r="M1" s="71" t="s">
        <v>32</v>
      </c>
      <c r="N1" s="2">
        <v>0.5</v>
      </c>
      <c r="O1" s="76" t="s">
        <v>39</v>
      </c>
      <c r="P1" s="69">
        <v>0.5</v>
      </c>
      <c r="Q1" s="2" t="str">
        <f>" F(next) ~ N ( "&amp;ROUND(I78,0)&amp;", "&amp;ROUND(1.25*L77,0)&amp;")"</f>
        <v xml:space="preserve"> F(next) ~ N ( 0, 0)</v>
      </c>
      <c r="T1" s="68"/>
    </row>
    <row r="2" spans="1:20" x14ac:dyDescent="0.2">
      <c r="A2" s="1">
        <v>0</v>
      </c>
      <c r="B2" s="18"/>
      <c r="C2" s="18"/>
      <c r="D2" s="18"/>
      <c r="E2" s="18"/>
      <c r="F2" s="18"/>
      <c r="I2" s="18"/>
      <c r="J2" s="70"/>
      <c r="K2" s="70"/>
      <c r="L2" s="71"/>
      <c r="M2" s="71"/>
      <c r="O2" s="76" t="s">
        <v>38</v>
      </c>
      <c r="P2" s="69">
        <v>0.5</v>
      </c>
      <c r="T2" s="68"/>
    </row>
    <row r="3" spans="1:20" x14ac:dyDescent="0.2">
      <c r="A3" s="1">
        <f>[2]ArdiData!A3</f>
        <v>1</v>
      </c>
      <c r="B3" s="66">
        <f ca="1">ROUND('0.ArdiData'!C3/10,0)</f>
        <v>172</v>
      </c>
      <c r="C3" s="66">
        <f ca="1">B3</f>
        <v>172</v>
      </c>
      <c r="D3" s="18"/>
      <c r="E3" s="18"/>
      <c r="F3" s="18"/>
      <c r="G3" s="18">
        <f ca="1">INTERCEPT(B3:B23,A3:A23)</f>
        <v>185.80476190476188</v>
      </c>
      <c r="H3" s="18">
        <f ca="1">SLOPE(B3:B23,A3:A23)</f>
        <v>12.164935064935065</v>
      </c>
      <c r="I3" s="66">
        <f t="shared" ref="I3:I23" ca="1" si="0">G3+H3</f>
        <v>197.96969696969694</v>
      </c>
      <c r="J3" s="65">
        <f t="shared" ref="J3:J23" ca="1" si="1">B3-I3</f>
        <v>-25.96969696969694</v>
      </c>
      <c r="K3" s="65">
        <f t="shared" ref="K3:K23" ca="1" si="2">ABS(J3)</f>
        <v>25.96969696969694</v>
      </c>
      <c r="L3" s="63">
        <f ca="1">AVERAGE($K$3:K3)</f>
        <v>25.96969696969694</v>
      </c>
      <c r="M3" s="63">
        <f ca="1">SUM(J$3:J3)/L3</f>
        <v>-1</v>
      </c>
    </row>
    <row r="4" spans="1:20" x14ac:dyDescent="0.2">
      <c r="A4" s="1">
        <f>[2]ArdiData!A4</f>
        <v>2</v>
      </c>
      <c r="B4" s="66">
        <f ca="1">ROUND('0.ArdiData'!C4/10,0)</f>
        <v>192</v>
      </c>
      <c r="C4" s="81">
        <f t="shared" ref="C4:C23" ca="1" si="3">(1-$N$1)*C3+$N$1*B3</f>
        <v>172</v>
      </c>
      <c r="D4" s="18">
        <f t="shared" ref="D4:D23" ca="1" si="4">B4-C4</f>
        <v>20</v>
      </c>
      <c r="E4" s="18">
        <f t="shared" ref="E4:E23" ca="1" si="5">ABS(D4)</f>
        <v>20</v>
      </c>
      <c r="F4" s="18">
        <f ca="1">AVERAGE($E$4:E4)</f>
        <v>20</v>
      </c>
      <c r="G4" s="2">
        <f t="shared" ref="G4:G23" ca="1" si="6">(1-$P$1)*I3+$P$1*B3</f>
        <v>184.98484848484847</v>
      </c>
      <c r="H4" s="66">
        <f t="shared" ref="H4:H23" ca="1" si="7">(1-$P$2)*H3+$P$2*(B4-B3)</f>
        <v>16.082467532467533</v>
      </c>
      <c r="I4" s="66">
        <f t="shared" ca="1" si="0"/>
        <v>201.06731601731599</v>
      </c>
      <c r="J4" s="65">
        <f t="shared" ca="1" si="1"/>
        <v>-9.0673160173159886</v>
      </c>
      <c r="K4" s="65">
        <f t="shared" ca="1" si="2"/>
        <v>9.0673160173159886</v>
      </c>
      <c r="L4" s="63">
        <f ca="1">AVERAGE($K$3:K4)</f>
        <v>17.518506493506464</v>
      </c>
      <c r="M4" s="63">
        <f ca="1">SUM(J$3:J4)/L4</f>
        <v>-2</v>
      </c>
      <c r="O4" s="75">
        <f ca="1">F23</f>
        <v>30.679334068298338</v>
      </c>
    </row>
    <row r="5" spans="1:20" x14ac:dyDescent="0.2">
      <c r="A5" s="1">
        <f>[2]ArdiData!A5</f>
        <v>3</v>
      </c>
      <c r="B5" s="66">
        <f ca="1">ROUND('0.ArdiData'!C5/10,0)</f>
        <v>213</v>
      </c>
      <c r="C5" s="81">
        <f t="shared" ca="1" si="3"/>
        <v>182</v>
      </c>
      <c r="D5" s="18">
        <f t="shared" ca="1" si="4"/>
        <v>31</v>
      </c>
      <c r="E5" s="18">
        <f t="shared" ca="1" si="5"/>
        <v>31</v>
      </c>
      <c r="F5" s="18">
        <f ca="1">AVERAGE($E$4:E5)</f>
        <v>25.5</v>
      </c>
      <c r="G5" s="2">
        <f t="shared" ca="1" si="6"/>
        <v>196.53365800865799</v>
      </c>
      <c r="H5" s="66">
        <f t="shared" ca="1" si="7"/>
        <v>18.541233766233766</v>
      </c>
      <c r="I5" s="66">
        <f t="shared" ca="1" si="0"/>
        <v>215.07489177489177</v>
      </c>
      <c r="J5" s="65">
        <f t="shared" ca="1" si="1"/>
        <v>-2.0748917748917677</v>
      </c>
      <c r="K5" s="65">
        <f t="shared" ca="1" si="2"/>
        <v>2.0748917748917677</v>
      </c>
      <c r="L5" s="63">
        <f ca="1">AVERAGE($K$3:K5)</f>
        <v>12.370634920634899</v>
      </c>
      <c r="M5" s="63">
        <f ca="1">SUM(J$3:J5)/L5</f>
        <v>-3</v>
      </c>
      <c r="N5" s="68">
        <f>L77</f>
        <v>0</v>
      </c>
      <c r="O5" s="2">
        <f t="dataTable" ref="O5:O15" dt2D="0" dtr="0" r1="N1" ca="1"/>
        <v>263.7</v>
      </c>
    </row>
    <row r="6" spans="1:20" x14ac:dyDescent="0.2">
      <c r="A6" s="1">
        <f>[2]ArdiData!A6</f>
        <v>4</v>
      </c>
      <c r="B6" s="66">
        <f ca="1">ROUND('0.ArdiData'!C6/10,0)</f>
        <v>238</v>
      </c>
      <c r="C6" s="81">
        <f t="shared" ca="1" si="3"/>
        <v>197.5</v>
      </c>
      <c r="D6" s="18">
        <f t="shared" ca="1" si="4"/>
        <v>40.5</v>
      </c>
      <c r="E6" s="18">
        <f t="shared" ca="1" si="5"/>
        <v>40.5</v>
      </c>
      <c r="F6" s="18">
        <f ca="1">AVERAGE($E$4:E6)</f>
        <v>30.5</v>
      </c>
      <c r="G6" s="2">
        <f t="shared" ca="1" si="6"/>
        <v>214.03744588744587</v>
      </c>
      <c r="H6" s="66">
        <f t="shared" ca="1" si="7"/>
        <v>21.770616883116883</v>
      </c>
      <c r="I6" s="66">
        <f t="shared" ca="1" si="0"/>
        <v>235.80806277056274</v>
      </c>
      <c r="J6" s="65">
        <f t="shared" ca="1" si="1"/>
        <v>2.1919372294372579</v>
      </c>
      <c r="K6" s="65">
        <f t="shared" ca="1" si="2"/>
        <v>2.1919372294372579</v>
      </c>
      <c r="L6" s="63">
        <f ca="1">AVERAGE($K$3:K6)</f>
        <v>9.8259604978354886</v>
      </c>
      <c r="M6" s="63">
        <f ca="1">SUM(J$3:J6)/L6</f>
        <v>-3.5538477424328931</v>
      </c>
      <c r="N6" s="2">
        <v>0.1</v>
      </c>
      <c r="O6" s="2">
        <v>83.716172126709608</v>
      </c>
    </row>
    <row r="7" spans="1:20" x14ac:dyDescent="0.2">
      <c r="A7" s="1">
        <f>[2]ArdiData!A7</f>
        <v>5</v>
      </c>
      <c r="B7" s="66">
        <f ca="1">ROUND('0.ArdiData'!C7/10,0)</f>
        <v>247</v>
      </c>
      <c r="C7" s="81">
        <f t="shared" ca="1" si="3"/>
        <v>217.75</v>
      </c>
      <c r="D7" s="18">
        <f t="shared" ca="1" si="4"/>
        <v>29.25</v>
      </c>
      <c r="E7" s="18">
        <f t="shared" ca="1" si="5"/>
        <v>29.25</v>
      </c>
      <c r="F7" s="18">
        <f ca="1">AVERAGE($E$4:E7)</f>
        <v>30.1875</v>
      </c>
      <c r="G7" s="2">
        <f t="shared" ca="1" si="6"/>
        <v>236.90403138528137</v>
      </c>
      <c r="H7" s="66">
        <f t="shared" ca="1" si="7"/>
        <v>15.385308441558442</v>
      </c>
      <c r="I7" s="66">
        <f t="shared" ca="1" si="0"/>
        <v>252.28933982683981</v>
      </c>
      <c r="J7" s="65">
        <f t="shared" ca="1" si="1"/>
        <v>-5.2893398268398073</v>
      </c>
      <c r="K7" s="65">
        <f t="shared" ca="1" si="2"/>
        <v>5.2893398268398073</v>
      </c>
      <c r="L7" s="63">
        <f ca="1">AVERAGE($K$3:K7)</f>
        <v>8.9186363636363524</v>
      </c>
      <c r="M7" s="63">
        <f ca="1">SUM(J$3:J7)/L7</f>
        <v>-4.5084591096517022</v>
      </c>
      <c r="N7" s="2">
        <v>0.2</v>
      </c>
      <c r="O7" s="2">
        <v>41.535255699110714</v>
      </c>
    </row>
    <row r="8" spans="1:20" x14ac:dyDescent="0.2">
      <c r="A8" s="1">
        <f>[2]ArdiData!A8</f>
        <v>6</v>
      </c>
      <c r="B8" s="66">
        <f ca="1">ROUND('0.ArdiData'!C8/10,0)</f>
        <v>272</v>
      </c>
      <c r="C8" s="81">
        <f t="shared" ca="1" si="3"/>
        <v>232.375</v>
      </c>
      <c r="D8" s="18">
        <f t="shared" ca="1" si="4"/>
        <v>39.625</v>
      </c>
      <c r="E8" s="18">
        <f t="shared" ca="1" si="5"/>
        <v>39.625</v>
      </c>
      <c r="F8" s="18">
        <f ca="1">AVERAGE($E$4:E8)</f>
        <v>32.075000000000003</v>
      </c>
      <c r="G8" s="2">
        <f t="shared" ca="1" si="6"/>
        <v>249.6446699134199</v>
      </c>
      <c r="H8" s="66">
        <f t="shared" ca="1" si="7"/>
        <v>20.192654220779222</v>
      </c>
      <c r="I8" s="66">
        <f t="shared" ca="1" si="0"/>
        <v>269.83732413419915</v>
      </c>
      <c r="J8" s="65">
        <f t="shared" ca="1" si="1"/>
        <v>2.1626758658008498</v>
      </c>
      <c r="K8" s="65">
        <f t="shared" ca="1" si="2"/>
        <v>2.1626758658008498</v>
      </c>
      <c r="L8" s="63">
        <f ca="1">AVERAGE($K$3:K8)</f>
        <v>7.7926429473304353</v>
      </c>
      <c r="M8" s="63">
        <f ca="1">SUM(J$3:J8)/L8</f>
        <v>-4.8823783856977849</v>
      </c>
      <c r="N8" s="2">
        <v>0.30000000000000004</v>
      </c>
      <c r="O8" s="2">
        <v>64.508648215082658</v>
      </c>
    </row>
    <row r="9" spans="1:20" x14ac:dyDescent="0.2">
      <c r="A9" s="1">
        <f>[2]ArdiData!A9</f>
        <v>7</v>
      </c>
      <c r="B9" s="66">
        <f ca="1">ROUND('0.ArdiData'!C9/10,0)</f>
        <v>302</v>
      </c>
      <c r="C9" s="81">
        <f t="shared" ca="1" si="3"/>
        <v>252.1875</v>
      </c>
      <c r="D9" s="18">
        <f t="shared" ca="1" si="4"/>
        <v>49.8125</v>
      </c>
      <c r="E9" s="18">
        <f t="shared" ca="1" si="5"/>
        <v>49.8125</v>
      </c>
      <c r="F9" s="18">
        <f ca="1">AVERAGE($E$4:E9)</f>
        <v>35.03125</v>
      </c>
      <c r="G9" s="2">
        <f t="shared" ca="1" si="6"/>
        <v>270.9186620670996</v>
      </c>
      <c r="H9" s="66">
        <f t="shared" ca="1" si="7"/>
        <v>25.096327110389609</v>
      </c>
      <c r="I9" s="66">
        <f t="shared" ca="1" si="0"/>
        <v>296.01498917748921</v>
      </c>
      <c r="J9" s="65">
        <f t="shared" ca="1" si="1"/>
        <v>5.9850108225107874</v>
      </c>
      <c r="K9" s="65">
        <f t="shared" ca="1" si="2"/>
        <v>5.9850108225107874</v>
      </c>
      <c r="L9" s="63">
        <f ca="1">AVERAGE($K$3:K9)</f>
        <v>7.5344097866419144</v>
      </c>
      <c r="M9" s="63">
        <f ca="1">SUM(J$3:J9)/L9</f>
        <v>-4.2553592887712401</v>
      </c>
      <c r="N9" s="2">
        <v>0.4</v>
      </c>
      <c r="O9" s="2">
        <v>44.167607786698895</v>
      </c>
    </row>
    <row r="10" spans="1:20" x14ac:dyDescent="0.2">
      <c r="A10" s="1">
        <f>[2]ArdiData!A10</f>
        <v>8</v>
      </c>
      <c r="B10" s="66">
        <f ca="1">ROUND('0.ArdiData'!C10/10,0)</f>
        <v>281</v>
      </c>
      <c r="C10" s="81">
        <f t="shared" ca="1" si="3"/>
        <v>277.09375</v>
      </c>
      <c r="D10" s="18">
        <f t="shared" ca="1" si="4"/>
        <v>3.90625</v>
      </c>
      <c r="E10" s="18">
        <f t="shared" ca="1" si="5"/>
        <v>3.90625</v>
      </c>
      <c r="F10" s="18">
        <f ca="1">AVERAGE($E$4:E10)</f>
        <v>30.584821428571427</v>
      </c>
      <c r="G10" s="2">
        <f t="shared" ca="1" si="6"/>
        <v>299.00749458874463</v>
      </c>
      <c r="H10" s="66">
        <f t="shared" ca="1" si="7"/>
        <v>2.0481635551948045</v>
      </c>
      <c r="I10" s="66">
        <f t="shared" ca="1" si="0"/>
        <v>301.05565814393947</v>
      </c>
      <c r="J10" s="65">
        <f t="shared" ca="1" si="1"/>
        <v>-20.055658143939468</v>
      </c>
      <c r="K10" s="65">
        <f t="shared" ca="1" si="2"/>
        <v>20.055658143939468</v>
      </c>
      <c r="L10" s="63">
        <f ca="1">AVERAGE($K$3:K10)</f>
        <v>9.0995658313041083</v>
      </c>
      <c r="M10" s="63">
        <f ca="1">SUM(J$3:J10)/L10</f>
        <v>-5.7274467574752261</v>
      </c>
      <c r="N10" s="2">
        <v>0.5</v>
      </c>
      <c r="O10" s="2">
        <v>44.479506778717038</v>
      </c>
    </row>
    <row r="11" spans="1:20" x14ac:dyDescent="0.2">
      <c r="A11" s="1">
        <f>[2]ArdiData!A11</f>
        <v>9</v>
      </c>
      <c r="B11" s="66">
        <f ca="1">ROUND('0.ArdiData'!C11/10,0)</f>
        <v>335</v>
      </c>
      <c r="C11" s="81">
        <f t="shared" ca="1" si="3"/>
        <v>279.046875</v>
      </c>
      <c r="D11" s="18">
        <f t="shared" ca="1" si="4"/>
        <v>55.953125</v>
      </c>
      <c r="E11" s="18">
        <f t="shared" ca="1" si="5"/>
        <v>55.953125</v>
      </c>
      <c r="F11" s="18">
        <f ca="1">AVERAGE($E$4:E11)</f>
        <v>33.755859375</v>
      </c>
      <c r="G11" s="2">
        <f t="shared" ca="1" si="6"/>
        <v>291.02782907196973</v>
      </c>
      <c r="H11" s="66">
        <f t="shared" ca="1" si="7"/>
        <v>28.024081777597402</v>
      </c>
      <c r="I11" s="66">
        <f t="shared" ca="1" si="0"/>
        <v>319.05191084956715</v>
      </c>
      <c r="J11" s="65">
        <f t="shared" ca="1" si="1"/>
        <v>15.94808915043285</v>
      </c>
      <c r="K11" s="65">
        <f t="shared" ca="1" si="2"/>
        <v>15.94808915043285</v>
      </c>
      <c r="L11" s="63">
        <f ca="1">AVERAGE($K$3:K11)</f>
        <v>9.860512866762857</v>
      </c>
      <c r="M11" s="63">
        <f ca="1">SUM(J$3:J11)/L11</f>
        <v>-3.6680840188768333</v>
      </c>
      <c r="N11" s="2">
        <v>0.6</v>
      </c>
      <c r="O11" s="2">
        <v>49.762475178753661</v>
      </c>
    </row>
    <row r="12" spans="1:20" x14ac:dyDescent="0.2">
      <c r="A12" s="1">
        <f>[2]ArdiData!A12</f>
        <v>10</v>
      </c>
      <c r="B12" s="66">
        <f ca="1">ROUND('0.ArdiData'!C12/10,0)</f>
        <v>309</v>
      </c>
      <c r="C12" s="81">
        <f t="shared" ca="1" si="3"/>
        <v>307.0234375</v>
      </c>
      <c r="D12" s="18">
        <f t="shared" ca="1" si="4"/>
        <v>1.9765625</v>
      </c>
      <c r="E12" s="18">
        <f t="shared" ca="1" si="5"/>
        <v>1.9765625</v>
      </c>
      <c r="F12" s="18">
        <f ca="1">AVERAGE($E$4:E12)</f>
        <v>30.224826388888889</v>
      </c>
      <c r="G12" s="2">
        <f t="shared" ca="1" si="6"/>
        <v>327.02595542478355</v>
      </c>
      <c r="H12" s="66">
        <f t="shared" ca="1" si="7"/>
        <v>1.0120408887987011</v>
      </c>
      <c r="I12" s="66">
        <f t="shared" ca="1" si="0"/>
        <v>328.03799631358225</v>
      </c>
      <c r="J12" s="65">
        <f t="shared" ca="1" si="1"/>
        <v>-19.037996313582255</v>
      </c>
      <c r="K12" s="65">
        <f t="shared" ca="1" si="2"/>
        <v>19.037996313582255</v>
      </c>
      <c r="L12" s="63">
        <f ca="1">AVERAGE($K$3:K12)</f>
        <v>10.778261211444796</v>
      </c>
      <c r="M12" s="63">
        <f ca="1">SUM(J$3:J12)/L12</f>
        <v>-5.1220864752714697</v>
      </c>
      <c r="N12" s="2">
        <v>0.70000000000000007</v>
      </c>
      <c r="O12" s="2">
        <v>52.02195138526131</v>
      </c>
    </row>
    <row r="13" spans="1:20" x14ac:dyDescent="0.2">
      <c r="A13" s="1">
        <f>[2]ArdiData!A13</f>
        <v>11</v>
      </c>
      <c r="B13" s="66">
        <f ca="1">ROUND('0.ArdiData'!C13/10,0)</f>
        <v>326</v>
      </c>
      <c r="C13" s="81">
        <f t="shared" ca="1" si="3"/>
        <v>308.01171875</v>
      </c>
      <c r="D13" s="18">
        <f t="shared" ca="1" si="4"/>
        <v>17.98828125</v>
      </c>
      <c r="E13" s="18">
        <f t="shared" ca="1" si="5"/>
        <v>17.98828125</v>
      </c>
      <c r="F13" s="18">
        <f ca="1">AVERAGE($E$4:E13)</f>
        <v>29.001171875000001</v>
      </c>
      <c r="G13" s="2">
        <f t="shared" ca="1" si="6"/>
        <v>318.5189981567911</v>
      </c>
      <c r="H13" s="66">
        <f t="shared" ca="1" si="7"/>
        <v>9.0060204443993506</v>
      </c>
      <c r="I13" s="66">
        <f t="shared" ca="1" si="0"/>
        <v>327.52501860119042</v>
      </c>
      <c r="J13" s="65">
        <f t="shared" ca="1" si="1"/>
        <v>-1.5250186011904248</v>
      </c>
      <c r="K13" s="65">
        <f t="shared" ca="1" si="2"/>
        <v>1.5250186011904248</v>
      </c>
      <c r="L13" s="63">
        <f ca="1">AVERAGE($K$3:K13)</f>
        <v>9.9370573377853084</v>
      </c>
      <c r="M13" s="63">
        <f ca="1">SUM(J$3:J13)/L13</f>
        <v>-5.7091554019269575</v>
      </c>
      <c r="N13" s="2">
        <v>0.8</v>
      </c>
      <c r="O13" s="2">
        <v>38.323421948934474</v>
      </c>
    </row>
    <row r="14" spans="1:20" x14ac:dyDescent="0.2">
      <c r="A14" s="1">
        <f>[2]ArdiData!A14</f>
        <v>12</v>
      </c>
      <c r="B14" s="66">
        <f ca="1">ROUND('0.ArdiData'!C14/10,0)</f>
        <v>329</v>
      </c>
      <c r="C14" s="81">
        <f t="shared" ca="1" si="3"/>
        <v>317.005859375</v>
      </c>
      <c r="D14" s="18">
        <f t="shared" ca="1" si="4"/>
        <v>11.994140625</v>
      </c>
      <c r="E14" s="18">
        <f t="shared" ca="1" si="5"/>
        <v>11.994140625</v>
      </c>
      <c r="F14" s="18">
        <f ca="1">AVERAGE($E$4:E14)</f>
        <v>27.455078125</v>
      </c>
      <c r="G14" s="2">
        <f t="shared" ca="1" si="6"/>
        <v>326.76250930059518</v>
      </c>
      <c r="H14" s="66">
        <f t="shared" ca="1" si="7"/>
        <v>6.0030102221996753</v>
      </c>
      <c r="I14" s="66">
        <f t="shared" ca="1" si="0"/>
        <v>332.76551952279488</v>
      </c>
      <c r="J14" s="65">
        <f t="shared" ca="1" si="1"/>
        <v>-3.7655195227948752</v>
      </c>
      <c r="K14" s="65">
        <f t="shared" ca="1" si="2"/>
        <v>3.7655195227948752</v>
      </c>
      <c r="L14" s="63">
        <f ca="1">AVERAGE($K$3:K14)</f>
        <v>9.4227625198694387</v>
      </c>
      <c r="M14" s="63">
        <f ca="1">SUM(J$3:J14)/L14</f>
        <v>-6.4203808569408833</v>
      </c>
      <c r="N14" s="2">
        <v>0.9</v>
      </c>
      <c r="O14" s="2">
        <v>25.950304434187796</v>
      </c>
    </row>
    <row r="15" spans="1:20" x14ac:dyDescent="0.2">
      <c r="A15" s="1">
        <f>[2]ArdiData!A15</f>
        <v>13</v>
      </c>
      <c r="B15" s="66">
        <f ca="1">ROUND('0.ArdiData'!C15/10,0)</f>
        <v>359</v>
      </c>
      <c r="C15" s="81">
        <f t="shared" ca="1" si="3"/>
        <v>323.0029296875</v>
      </c>
      <c r="D15" s="18">
        <f t="shared" ca="1" si="4"/>
        <v>35.9970703125</v>
      </c>
      <c r="E15" s="18">
        <f t="shared" ca="1" si="5"/>
        <v>35.9970703125</v>
      </c>
      <c r="F15" s="18">
        <f ca="1">AVERAGE($E$4:E15)</f>
        <v>28.166910807291668</v>
      </c>
      <c r="G15" s="2">
        <f t="shared" ca="1" si="6"/>
        <v>330.88275976139744</v>
      </c>
      <c r="H15" s="66">
        <f t="shared" ca="1" si="7"/>
        <v>18.001505111099839</v>
      </c>
      <c r="I15" s="66">
        <f t="shared" ca="1" si="0"/>
        <v>348.88426487249728</v>
      </c>
      <c r="J15" s="65">
        <f t="shared" ca="1" si="1"/>
        <v>10.115735127502717</v>
      </c>
      <c r="K15" s="65">
        <f t="shared" ca="1" si="2"/>
        <v>10.115735127502717</v>
      </c>
      <c r="L15" s="63">
        <f ca="1">AVERAGE($K$3:K15)</f>
        <v>9.4760681050719988</v>
      </c>
      <c r="M15" s="63">
        <f ca="1">SUM(J$3:J15)/L15</f>
        <v>-5.3167609620281704</v>
      </c>
      <c r="N15" s="2">
        <v>1</v>
      </c>
      <c r="O15" s="2">
        <v>46.75</v>
      </c>
    </row>
    <row r="16" spans="1:20" x14ac:dyDescent="0.2">
      <c r="A16" s="1">
        <f>[2]ArdiData!A16</f>
        <v>14</v>
      </c>
      <c r="B16" s="66">
        <f ca="1">ROUND('0.ArdiData'!C16/10,0)</f>
        <v>372</v>
      </c>
      <c r="C16" s="81">
        <f t="shared" ca="1" si="3"/>
        <v>341.00146484375</v>
      </c>
      <c r="D16" s="18">
        <f t="shared" ca="1" si="4"/>
        <v>30.99853515625</v>
      </c>
      <c r="E16" s="18">
        <f t="shared" ca="1" si="5"/>
        <v>30.99853515625</v>
      </c>
      <c r="F16" s="18">
        <f ca="1">AVERAGE($E$4:E16)</f>
        <v>28.384728064903847</v>
      </c>
      <c r="G16" s="2">
        <f t="shared" ca="1" si="6"/>
        <v>353.94213243624864</v>
      </c>
      <c r="H16" s="66">
        <f t="shared" ca="1" si="7"/>
        <v>15.500752555549919</v>
      </c>
      <c r="I16" s="66">
        <f t="shared" ca="1" si="0"/>
        <v>369.44288499179856</v>
      </c>
      <c r="J16" s="65">
        <f t="shared" ca="1" si="1"/>
        <v>2.5571150082014356</v>
      </c>
      <c r="K16" s="65">
        <f t="shared" ca="1" si="2"/>
        <v>2.5571150082014356</v>
      </c>
      <c r="L16" s="63">
        <f ca="1">AVERAGE($K$3:K16)</f>
        <v>8.9818571695812448</v>
      </c>
      <c r="M16" s="63">
        <f ca="1">SUM(J$3:J16)/L16</f>
        <v>-5.3246086041463228</v>
      </c>
      <c r="N16" s="2">
        <f>MIN(O5:O15)</f>
        <v>25.950304434187796</v>
      </c>
    </row>
    <row r="17" spans="1:26" x14ac:dyDescent="0.2">
      <c r="A17" s="1">
        <f>[2]ArdiData!A17</f>
        <v>15</v>
      </c>
      <c r="B17" s="66">
        <f ca="1">ROUND('0.ArdiData'!C17/10,0)</f>
        <v>379</v>
      </c>
      <c r="C17" s="81">
        <f t="shared" ca="1" si="3"/>
        <v>356.500732421875</v>
      </c>
      <c r="D17" s="18">
        <f t="shared" ca="1" si="4"/>
        <v>22.499267578125</v>
      </c>
      <c r="E17" s="18">
        <f t="shared" ca="1" si="5"/>
        <v>22.499267578125</v>
      </c>
      <c r="F17" s="18">
        <f ca="1">AVERAGE($E$4:E17)</f>
        <v>27.964338030133927</v>
      </c>
      <c r="G17" s="2">
        <f t="shared" ca="1" si="6"/>
        <v>370.72144249589928</v>
      </c>
      <c r="H17" s="66">
        <f t="shared" ca="1" si="7"/>
        <v>11.25037627777496</v>
      </c>
      <c r="I17" s="66">
        <f t="shared" ca="1" si="0"/>
        <v>381.97181877367422</v>
      </c>
      <c r="J17" s="65">
        <f t="shared" ca="1" si="1"/>
        <v>-2.9718187736742152</v>
      </c>
      <c r="K17" s="65">
        <f t="shared" ca="1" si="2"/>
        <v>2.9718187736742152</v>
      </c>
      <c r="L17" s="63">
        <f ca="1">AVERAGE($K$3:K17)</f>
        <v>8.5811879431874427</v>
      </c>
      <c r="M17" s="63">
        <f ca="1">SUM(J$3:J17)/L17</f>
        <v>-5.919540869672602</v>
      </c>
      <c r="N17" s="74">
        <f ca="1">L23</f>
        <v>10.983971974992718</v>
      </c>
      <c r="O17" s="2">
        <v>0</v>
      </c>
      <c r="P17" s="2">
        <v>0.1</v>
      </c>
      <c r="Q17" s="2">
        <v>0.2</v>
      </c>
      <c r="R17" s="2">
        <v>0.3</v>
      </c>
      <c r="S17" s="2">
        <v>0.4</v>
      </c>
      <c r="T17" s="2">
        <v>0.5</v>
      </c>
      <c r="U17" s="2">
        <v>0.6</v>
      </c>
      <c r="V17" s="2">
        <v>0.7</v>
      </c>
      <c r="W17" s="2">
        <v>0.8</v>
      </c>
      <c r="X17" s="2">
        <v>0.9</v>
      </c>
      <c r="Y17" s="2">
        <v>1</v>
      </c>
    </row>
    <row r="18" spans="1:26" x14ac:dyDescent="0.2">
      <c r="A18" s="1">
        <f>[2]ArdiData!A18</f>
        <v>16</v>
      </c>
      <c r="B18" s="66">
        <f ca="1">ROUND('0.ArdiData'!C18/10,0)</f>
        <v>337</v>
      </c>
      <c r="C18" s="81">
        <f t="shared" ca="1" si="3"/>
        <v>367.7503662109375</v>
      </c>
      <c r="D18" s="18">
        <f t="shared" ca="1" si="4"/>
        <v>-30.7503662109375</v>
      </c>
      <c r="E18" s="18">
        <f t="shared" ca="1" si="5"/>
        <v>30.7503662109375</v>
      </c>
      <c r="F18" s="18">
        <f ca="1">AVERAGE($E$4:E18)</f>
        <v>28.150073242187499</v>
      </c>
      <c r="G18" s="2">
        <f t="shared" ca="1" si="6"/>
        <v>380.48590938683708</v>
      </c>
      <c r="H18" s="66">
        <f t="shared" ca="1" si="7"/>
        <v>-15.374811861112519</v>
      </c>
      <c r="I18" s="66">
        <f t="shared" ca="1" si="0"/>
        <v>365.11109752572457</v>
      </c>
      <c r="J18" s="65">
        <f t="shared" ca="1" si="1"/>
        <v>-28.111097525724574</v>
      </c>
      <c r="K18" s="65">
        <f t="shared" ca="1" si="2"/>
        <v>28.111097525724574</v>
      </c>
      <c r="L18" s="63">
        <f ca="1">AVERAGE($K$3:K18)</f>
        <v>9.8018072920960133</v>
      </c>
      <c r="M18" s="63">
        <f ca="1">SUM(J$3:J18)/L18</f>
        <v>-8.0503307108877902</v>
      </c>
      <c r="N18" s="2">
        <v>0</v>
      </c>
      <c r="O18" s="2">
        <f t="dataTable" ref="O18:Y28" dt2D="1" dtr="1" r1="P2" r2="P1" ca="1"/>
        <v>24.734034219748494</v>
      </c>
      <c r="P18" s="2">
        <v>26.579238808935575</v>
      </c>
      <c r="Q18" s="2">
        <v>17.531003815571218</v>
      </c>
      <c r="R18" s="2">
        <v>22.973607657876784</v>
      </c>
      <c r="S18" s="2">
        <v>26.559212763834964</v>
      </c>
      <c r="T18" s="2">
        <v>41.165891977812279</v>
      </c>
      <c r="U18" s="2">
        <v>12.383367993107779</v>
      </c>
      <c r="V18" s="2">
        <v>13.079819545621739</v>
      </c>
      <c r="W18" s="2">
        <v>35.953974510319043</v>
      </c>
      <c r="X18" s="2">
        <v>13.019766625771629</v>
      </c>
      <c r="Y18" s="2">
        <v>0.57575757575762054</v>
      </c>
    </row>
    <row r="19" spans="1:26" x14ac:dyDescent="0.2">
      <c r="A19" s="1">
        <f>[2]ArdiData!A19</f>
        <v>17</v>
      </c>
      <c r="B19" s="66">
        <f ca="1">ROUND('0.ArdiData'!C19/10,0)</f>
        <v>373</v>
      </c>
      <c r="C19" s="81">
        <f t="shared" ca="1" si="3"/>
        <v>352.37518310546875</v>
      </c>
      <c r="D19" s="18">
        <f t="shared" ca="1" si="4"/>
        <v>20.62481689453125</v>
      </c>
      <c r="E19" s="18">
        <f t="shared" ca="1" si="5"/>
        <v>20.62481689453125</v>
      </c>
      <c r="F19" s="18">
        <f ca="1">AVERAGE($E$4:E19)</f>
        <v>27.679744720458984</v>
      </c>
      <c r="G19" s="2">
        <f t="shared" ca="1" si="6"/>
        <v>351.05554876286226</v>
      </c>
      <c r="H19" s="66">
        <f t="shared" ca="1" si="7"/>
        <v>10.31259406944374</v>
      </c>
      <c r="I19" s="66">
        <f t="shared" ca="1" si="0"/>
        <v>361.36814283230598</v>
      </c>
      <c r="J19" s="65">
        <f t="shared" ca="1" si="1"/>
        <v>11.631857167694022</v>
      </c>
      <c r="K19" s="65">
        <f t="shared" ca="1" si="2"/>
        <v>11.631857167694022</v>
      </c>
      <c r="L19" s="63">
        <f ca="1">AVERAGE($K$3:K19)</f>
        <v>9.9094572847782487</v>
      </c>
      <c r="M19" s="63">
        <f ca="1">SUM(J$3:J19)/L19</f>
        <v>-6.7890633326016578</v>
      </c>
      <c r="N19" s="2">
        <v>0.1</v>
      </c>
      <c r="O19" s="2">
        <v>10.802241801827565</v>
      </c>
      <c r="P19" s="2">
        <v>31.616750066593493</v>
      </c>
      <c r="Q19" s="2">
        <v>21.652301603108164</v>
      </c>
      <c r="R19" s="2">
        <v>12.526522132438878</v>
      </c>
      <c r="S19" s="2">
        <v>29.042234442526045</v>
      </c>
      <c r="T19" s="2">
        <v>12.137645076057325</v>
      </c>
      <c r="U19" s="2">
        <v>8.8015696403349732</v>
      </c>
      <c r="V19" s="2">
        <v>9.4602052756530899</v>
      </c>
      <c r="W19" s="2">
        <v>11.511347523458483</v>
      </c>
      <c r="X19" s="2">
        <v>9.0873831501105915</v>
      </c>
      <c r="Y19" s="2">
        <v>4.4611664737382979</v>
      </c>
    </row>
    <row r="20" spans="1:26" x14ac:dyDescent="0.2">
      <c r="A20" s="1">
        <f>[2]ArdiData!A20</f>
        <v>18</v>
      </c>
      <c r="B20" s="66">
        <f ca="1">ROUND('0.ArdiData'!C20/10,0)</f>
        <v>364</v>
      </c>
      <c r="C20" s="81">
        <f t="shared" ca="1" si="3"/>
        <v>362.68759155273438</v>
      </c>
      <c r="D20" s="18">
        <f t="shared" ca="1" si="4"/>
        <v>1.312408447265625</v>
      </c>
      <c r="E20" s="18">
        <f t="shared" ca="1" si="5"/>
        <v>1.312408447265625</v>
      </c>
      <c r="F20" s="18">
        <f ca="1">AVERAGE($E$4:E20)</f>
        <v>26.128724939682904</v>
      </c>
      <c r="G20" s="2">
        <f t="shared" ca="1" si="6"/>
        <v>367.18407141615296</v>
      </c>
      <c r="H20" s="66">
        <f t="shared" ca="1" si="7"/>
        <v>0.65629703472187018</v>
      </c>
      <c r="I20" s="66">
        <f t="shared" ca="1" si="0"/>
        <v>367.84036845087485</v>
      </c>
      <c r="J20" s="65">
        <f t="shared" ca="1" si="1"/>
        <v>-3.8403684508748483</v>
      </c>
      <c r="K20" s="65">
        <f t="shared" ca="1" si="2"/>
        <v>3.8403684508748483</v>
      </c>
      <c r="L20" s="63">
        <f ca="1">AVERAGE($K$3:K20)</f>
        <v>9.5722856828947265</v>
      </c>
      <c r="M20" s="63">
        <f ca="1">SUM(J$3:J20)/L20</f>
        <v>-7.4293960611755558</v>
      </c>
      <c r="N20" s="2">
        <v>0.2</v>
      </c>
      <c r="O20" s="2">
        <v>27.260500479323571</v>
      </c>
      <c r="P20" s="2">
        <v>21.780327013608048</v>
      </c>
      <c r="Q20" s="2">
        <v>35.255974545139438</v>
      </c>
      <c r="R20" s="2">
        <v>17.08276160715711</v>
      </c>
      <c r="S20" s="2">
        <v>12.478616957412756</v>
      </c>
      <c r="T20" s="2">
        <v>14.783491005681723</v>
      </c>
      <c r="U20" s="2">
        <v>15.091806002248539</v>
      </c>
      <c r="V20" s="2">
        <v>14.904948424560216</v>
      </c>
      <c r="W20" s="2">
        <v>14.506508888364104</v>
      </c>
      <c r="X20" s="2">
        <v>6.1698659823065896</v>
      </c>
      <c r="Y20" s="2">
        <v>8.1349480708663702</v>
      </c>
    </row>
    <row r="21" spans="1:26" x14ac:dyDescent="0.2">
      <c r="A21" s="1">
        <f>[2]ArdiData!A21</f>
        <v>19</v>
      </c>
      <c r="B21" s="66">
        <f ca="1">ROUND('0.ArdiData'!C21/10,0)</f>
        <v>399</v>
      </c>
      <c r="C21" s="81">
        <f t="shared" ca="1" si="3"/>
        <v>363.34379577636719</v>
      </c>
      <c r="D21" s="18">
        <f t="shared" ca="1" si="4"/>
        <v>35.656204223632813</v>
      </c>
      <c r="E21" s="18">
        <f t="shared" ca="1" si="5"/>
        <v>35.656204223632813</v>
      </c>
      <c r="F21" s="18">
        <f ca="1">AVERAGE($E$4:E21)</f>
        <v>26.658029344346787</v>
      </c>
      <c r="G21" s="2">
        <f t="shared" ca="1" si="6"/>
        <v>365.92018422543742</v>
      </c>
      <c r="H21" s="66">
        <f t="shared" ca="1" si="7"/>
        <v>17.828148517360937</v>
      </c>
      <c r="I21" s="66">
        <f t="shared" ca="1" si="0"/>
        <v>383.74833274279837</v>
      </c>
      <c r="J21" s="65">
        <f t="shared" ca="1" si="1"/>
        <v>15.251667257201632</v>
      </c>
      <c r="K21" s="65">
        <f t="shared" ca="1" si="2"/>
        <v>15.251667257201632</v>
      </c>
      <c r="L21" s="63">
        <f ca="1">AVERAGE($K$3:K21)</f>
        <v>9.8712005025950909</v>
      </c>
      <c r="M21" s="63">
        <f ca="1">SUM(J$3:J21)/L21</f>
        <v>-5.6593556454513383</v>
      </c>
      <c r="N21" s="2">
        <v>0.3</v>
      </c>
      <c r="O21" s="2">
        <v>14.151794245564403</v>
      </c>
      <c r="P21" s="2">
        <v>19.131696385954921</v>
      </c>
      <c r="Q21" s="2">
        <v>13.805190584239902</v>
      </c>
      <c r="R21" s="2">
        <v>24.8757757504927</v>
      </c>
      <c r="S21" s="2">
        <v>19.926605310247073</v>
      </c>
      <c r="T21" s="2">
        <v>13.852360678660508</v>
      </c>
      <c r="U21" s="2">
        <v>8.8916658261753501</v>
      </c>
      <c r="V21" s="2">
        <v>7.917979921941007</v>
      </c>
      <c r="W21" s="2">
        <v>5.7118182630339742</v>
      </c>
      <c r="X21" s="2">
        <v>2.6436002066015978</v>
      </c>
      <c r="Y21" s="2">
        <v>2.7957989141670048</v>
      </c>
    </row>
    <row r="22" spans="1:26" x14ac:dyDescent="0.2">
      <c r="A22" s="1">
        <f>[2]ArdiData!A22</f>
        <v>20</v>
      </c>
      <c r="B22" s="66">
        <f ca="1">ROUND('0.ArdiData'!C22/10,0)</f>
        <v>415</v>
      </c>
      <c r="C22" s="81">
        <f t="shared" ca="1" si="3"/>
        <v>381.17189788818359</v>
      </c>
      <c r="D22" s="18">
        <f t="shared" ca="1" si="4"/>
        <v>33.828102111816406</v>
      </c>
      <c r="E22" s="18">
        <f t="shared" ca="1" si="5"/>
        <v>33.828102111816406</v>
      </c>
      <c r="F22" s="18">
        <f ca="1">AVERAGE($E$4:E22)</f>
        <v>27.03540159526624</v>
      </c>
      <c r="G22" s="2">
        <f t="shared" ca="1" si="6"/>
        <v>391.37416637139916</v>
      </c>
      <c r="H22" s="66">
        <f t="shared" ca="1" si="7"/>
        <v>16.914074258680468</v>
      </c>
      <c r="I22" s="66">
        <f t="shared" ca="1" si="0"/>
        <v>408.2882406300796</v>
      </c>
      <c r="J22" s="65">
        <f t="shared" ca="1" si="1"/>
        <v>6.7117593699204008</v>
      </c>
      <c r="K22" s="65">
        <f t="shared" ca="1" si="2"/>
        <v>6.7117593699204008</v>
      </c>
      <c r="L22" s="63">
        <f ca="1">AVERAGE($K$3:K22)</f>
        <v>9.7132284459613558</v>
      </c>
      <c r="M22" s="63">
        <f ca="1">SUM(J$3:J22)/L22</f>
        <v>-5.0604055279128524</v>
      </c>
      <c r="N22" s="2">
        <v>0.4</v>
      </c>
      <c r="O22" s="2">
        <v>16.285734101437978</v>
      </c>
      <c r="P22" s="2">
        <v>28.033363663278074</v>
      </c>
      <c r="Q22" s="2">
        <v>29.854589975588617</v>
      </c>
      <c r="R22" s="2">
        <v>11.995500059752661</v>
      </c>
      <c r="S22" s="2">
        <v>14.794686964971564</v>
      </c>
      <c r="T22" s="2">
        <v>18.979046537843651</v>
      </c>
      <c r="U22" s="2">
        <v>12.903533499027215</v>
      </c>
      <c r="V22" s="2">
        <v>8.8877731734913237</v>
      </c>
      <c r="W22" s="2">
        <v>5.661537923888349</v>
      </c>
      <c r="X22" s="2">
        <v>4.6437691966656436</v>
      </c>
      <c r="Y22" s="2">
        <v>1.4213252411307504</v>
      </c>
    </row>
    <row r="23" spans="1:26" x14ac:dyDescent="0.2">
      <c r="A23" s="1">
        <f>[2]ArdiData!A23</f>
        <v>21</v>
      </c>
      <c r="B23" s="66">
        <f ca="1">ROUND('0.ArdiData'!C23/10,0)</f>
        <v>498</v>
      </c>
      <c r="C23" s="81">
        <f t="shared" ca="1" si="3"/>
        <v>398.0859489440918</v>
      </c>
      <c r="D23" s="18">
        <f t="shared" ca="1" si="4"/>
        <v>99.914051055908203</v>
      </c>
      <c r="E23" s="18">
        <f t="shared" ca="1" si="5"/>
        <v>99.914051055908203</v>
      </c>
      <c r="F23" s="80">
        <f ca="1">AVERAGE($E$4:E23)</f>
        <v>30.679334068298338</v>
      </c>
      <c r="G23" s="2">
        <f t="shared" ca="1" si="6"/>
        <v>411.6441203150398</v>
      </c>
      <c r="H23" s="66">
        <f t="shared" ca="1" si="7"/>
        <v>49.957037129340236</v>
      </c>
      <c r="I23" s="66">
        <f t="shared" ca="1" si="0"/>
        <v>461.60115744438002</v>
      </c>
      <c r="J23" s="65">
        <f t="shared" ca="1" si="1"/>
        <v>36.398842555619979</v>
      </c>
      <c r="K23" s="65">
        <f t="shared" ca="1" si="2"/>
        <v>36.398842555619979</v>
      </c>
      <c r="L23" s="63">
        <f ca="1">AVERAGE($K$3:K23)</f>
        <v>10.983971974992718</v>
      </c>
      <c r="M23" s="63">
        <f ca="1">SUM(J$3:J23)/L23</f>
        <v>-1.1611493906976842</v>
      </c>
      <c r="N23" s="2">
        <v>0.5</v>
      </c>
      <c r="O23" s="2">
        <v>17.787240475277333</v>
      </c>
      <c r="P23" s="2">
        <v>18.674067500288999</v>
      </c>
      <c r="Q23" s="2">
        <v>17.253630211331863</v>
      </c>
      <c r="R23" s="2">
        <v>19.68354408629374</v>
      </c>
      <c r="S23" s="2">
        <v>28.684888809611969</v>
      </c>
      <c r="T23" s="2">
        <v>17.062591532721171</v>
      </c>
      <c r="U23" s="2">
        <v>14.427352261209242</v>
      </c>
      <c r="V23" s="2">
        <v>10.092576736399486</v>
      </c>
      <c r="W23" s="2">
        <v>5.4655923014567085</v>
      </c>
      <c r="X23" s="2">
        <v>3.9779257364546745</v>
      </c>
      <c r="Y23" s="2">
        <v>1.9464018754284997</v>
      </c>
    </row>
    <row r="24" spans="1:26" x14ac:dyDescent="0.2">
      <c r="N24" s="2">
        <v>0.6</v>
      </c>
      <c r="O24" s="2">
        <v>35.615094503822426</v>
      </c>
      <c r="P24" s="2">
        <v>13.149820132777743</v>
      </c>
      <c r="Q24" s="2">
        <v>26.141073063255789</v>
      </c>
      <c r="R24" s="2">
        <v>21.223678400514583</v>
      </c>
      <c r="S24" s="2">
        <v>8.2327358161424247</v>
      </c>
      <c r="T24" s="2">
        <v>16.577727952308496</v>
      </c>
      <c r="U24" s="2">
        <v>13.564859607450799</v>
      </c>
      <c r="V24" s="2">
        <v>8.6470682983239229</v>
      </c>
      <c r="W24" s="2">
        <v>9.0434139668802782</v>
      </c>
      <c r="X24" s="2">
        <v>4.0877914332083112</v>
      </c>
      <c r="Y24" s="2">
        <v>3.5862021418584464</v>
      </c>
    </row>
    <row r="25" spans="1:26" x14ac:dyDescent="0.2">
      <c r="N25" s="2">
        <v>0.7</v>
      </c>
      <c r="O25" s="2">
        <v>22.36605550247188</v>
      </c>
      <c r="P25" s="2">
        <v>14.868656247882441</v>
      </c>
      <c r="Q25" s="2">
        <v>30.946586084570622</v>
      </c>
      <c r="R25" s="2">
        <v>27.061909723315825</v>
      </c>
      <c r="S25" s="2">
        <v>22.198332880924234</v>
      </c>
      <c r="T25" s="2">
        <v>25.382547678447146</v>
      </c>
      <c r="U25" s="2">
        <v>7.1142757278324007</v>
      </c>
      <c r="V25" s="2">
        <v>16.551682810806781</v>
      </c>
      <c r="W25" s="2">
        <v>9.4775756113969543</v>
      </c>
      <c r="X25" s="2">
        <v>3.6001599668733464</v>
      </c>
      <c r="Y25" s="2">
        <v>2.1497776599605209E-2</v>
      </c>
    </row>
    <row r="26" spans="1:26" x14ac:dyDescent="0.2">
      <c r="N26" s="2">
        <v>0.8</v>
      </c>
      <c r="O26" s="2">
        <v>40.407187803112954</v>
      </c>
      <c r="P26" s="2">
        <v>15.903023608509928</v>
      </c>
      <c r="Q26" s="2">
        <v>26.608822022230555</v>
      </c>
      <c r="R26" s="2">
        <v>20.103853911188033</v>
      </c>
      <c r="S26" s="2">
        <v>12.162875217853165</v>
      </c>
      <c r="T26" s="2">
        <v>12.634410633950489</v>
      </c>
      <c r="U26" s="2">
        <v>12.707886358012523</v>
      </c>
      <c r="V26" s="2">
        <v>14.156251375746226</v>
      </c>
      <c r="W26" s="2">
        <v>12.288431002309196</v>
      </c>
      <c r="X26" s="2">
        <v>4.5366795488088334</v>
      </c>
      <c r="Y26" s="2">
        <v>0.25097917955059079</v>
      </c>
    </row>
    <row r="27" spans="1:26" x14ac:dyDescent="0.2">
      <c r="N27" s="2">
        <v>0.9</v>
      </c>
      <c r="O27" s="2">
        <v>24.807387903840819</v>
      </c>
      <c r="P27" s="2">
        <v>26.441406882685108</v>
      </c>
      <c r="Q27" s="2">
        <v>27.218686238280004</v>
      </c>
      <c r="R27" s="2">
        <v>13.182323549148888</v>
      </c>
      <c r="S27" s="2">
        <v>12.349661612686432</v>
      </c>
      <c r="T27" s="2">
        <v>21.518623529917857</v>
      </c>
      <c r="U27" s="2">
        <v>21.642067803585888</v>
      </c>
      <c r="V27" s="2">
        <v>7.1504949470132271</v>
      </c>
      <c r="W27" s="2">
        <v>7.0411008287180419</v>
      </c>
      <c r="X27" s="2">
        <v>6.7148444648461849</v>
      </c>
      <c r="Y27" s="2">
        <v>0.95215190453285192</v>
      </c>
    </row>
    <row r="28" spans="1:26" x14ac:dyDescent="0.2">
      <c r="C28" s="36" t="s">
        <v>45</v>
      </c>
      <c r="N28" s="2">
        <v>1</v>
      </c>
      <c r="O28" s="2">
        <v>32.894702123273547</v>
      </c>
      <c r="P28" s="2">
        <v>24.271305991223681</v>
      </c>
      <c r="Q28" s="2">
        <v>35.284983341105473</v>
      </c>
      <c r="R28" s="2">
        <v>38.472066017852775</v>
      </c>
      <c r="S28" s="2">
        <v>17.465241444846438</v>
      </c>
      <c r="T28" s="2">
        <v>10.652326625717023</v>
      </c>
      <c r="U28" s="2">
        <v>26.102042644361106</v>
      </c>
      <c r="V28" s="2">
        <v>7.2355181632985133</v>
      </c>
      <c r="W28" s="2">
        <v>11.440213931946488</v>
      </c>
      <c r="X28" s="2">
        <v>5.7834673264241481</v>
      </c>
      <c r="Y28" s="2">
        <v>0.70892599464027928</v>
      </c>
    </row>
    <row r="29" spans="1:26" x14ac:dyDescent="0.2">
      <c r="Z29" s="79">
        <f>MIN(O18:Y28)</f>
        <v>2.1497776599605209E-2</v>
      </c>
    </row>
    <row r="30" spans="1:26" x14ac:dyDescent="0.2">
      <c r="G30" s="36" t="s">
        <v>44</v>
      </c>
    </row>
    <row r="31" spans="1:26" x14ac:dyDescent="0.2">
      <c r="G31" s="2">
        <v>963.15548157519095</v>
      </c>
    </row>
    <row r="32" spans="1:26" x14ac:dyDescent="0.2">
      <c r="G32" s="2">
        <v>1493.3384644848786</v>
      </c>
    </row>
    <row r="33" spans="7:7" x14ac:dyDescent="0.2">
      <c r="G33" s="2">
        <v>1264.8332605620974</v>
      </c>
    </row>
    <row r="34" spans="7:7" x14ac:dyDescent="0.2">
      <c r="G34" s="2">
        <v>1191.8832101847142</v>
      </c>
    </row>
    <row r="35" spans="7:7" x14ac:dyDescent="0.2">
      <c r="G35" s="2">
        <v>1697.9527967726167</v>
      </c>
    </row>
    <row r="36" spans="7:7" x14ac:dyDescent="0.2">
      <c r="G36" s="2">
        <v>1509.8728747997</v>
      </c>
    </row>
    <row r="37" spans="7:7" x14ac:dyDescent="0.2">
      <c r="G37" s="2">
        <v>1332.1230954034852</v>
      </c>
    </row>
    <row r="38" spans="7:7" x14ac:dyDescent="0.2">
      <c r="G38" s="2">
        <v>1425.4365999529061</v>
      </c>
    </row>
    <row r="39" spans="7:7" x14ac:dyDescent="0.2">
      <c r="G39" s="2">
        <v>1458.1009054435947</v>
      </c>
    </row>
    <row r="40" spans="7:7" x14ac:dyDescent="0.2">
      <c r="G40" s="2">
        <v>1743.5313252612307</v>
      </c>
    </row>
    <row r="41" spans="7:7" x14ac:dyDescent="0.2">
      <c r="G41" s="2">
        <v>1531.7976010456621</v>
      </c>
    </row>
    <row r="42" spans="7:7" x14ac:dyDescent="0.2">
      <c r="G42" s="2">
        <v>2044.3582999968971</v>
      </c>
    </row>
    <row r="43" spans="7:7" x14ac:dyDescent="0.2">
      <c r="G43" s="2">
        <v>1703.4172980150627</v>
      </c>
    </row>
    <row r="44" spans="7:7" x14ac:dyDescent="0.2">
      <c r="G44" s="2">
        <v>2298.0240716391145</v>
      </c>
    </row>
    <row r="45" spans="7:7" x14ac:dyDescent="0.2">
      <c r="G45" s="2">
        <v>2421.4191904794839</v>
      </c>
    </row>
    <row r="46" spans="7:7" x14ac:dyDescent="0.2">
      <c r="G46" s="2">
        <v>1873.4439960140373</v>
      </c>
    </row>
    <row r="47" spans="7:7" x14ac:dyDescent="0.2">
      <c r="G47" s="2">
        <v>1902.2676412916496</v>
      </c>
    </row>
    <row r="48" spans="7:7" x14ac:dyDescent="0.2">
      <c r="G48" s="2">
        <v>1954.6003960807061</v>
      </c>
    </row>
    <row r="49" spans="7:7" x14ac:dyDescent="0.2">
      <c r="G49" s="2">
        <v>2350.5232634011691</v>
      </c>
    </row>
    <row r="50" spans="7:7" x14ac:dyDescent="0.2">
      <c r="G50" s="2">
        <v>2377.6825272441906</v>
      </c>
    </row>
    <row r="51" spans="7:7" x14ac:dyDescent="0.2">
      <c r="G51" s="2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100" t="s">
        <v>60</v>
      </c>
      <c r="B1" s="4">
        <v>1</v>
      </c>
      <c r="C1" s="99">
        <v>8000</v>
      </c>
    </row>
    <row r="2" spans="1:7" x14ac:dyDescent="0.25">
      <c r="A2" s="88" t="s">
        <v>59</v>
      </c>
      <c r="B2" s="17">
        <v>2</v>
      </c>
      <c r="C2" s="91">
        <v>13000</v>
      </c>
    </row>
    <row r="3" spans="1:7" x14ac:dyDescent="0.25">
      <c r="A3" s="88" t="s">
        <v>58</v>
      </c>
      <c r="B3" s="17">
        <v>3</v>
      </c>
      <c r="C3" s="91">
        <v>23000</v>
      </c>
      <c r="D3">
        <f t="shared" ref="D3:D10" si="0">(C1+2*(C2+C3+C4)+C5)/8</f>
        <v>19750</v>
      </c>
      <c r="E3" s="90">
        <f t="shared" ref="E3:E10" si="1">C3/D3</f>
        <v>1.1645569620253164</v>
      </c>
      <c r="F3" s="95">
        <f t="shared" ref="F3:F10" si="2">C3/D3</f>
        <v>1.1645569620253164</v>
      </c>
    </row>
    <row r="4" spans="1:7" x14ac:dyDescent="0.25">
      <c r="A4" s="88" t="s">
        <v>57</v>
      </c>
      <c r="B4" s="17">
        <v>4</v>
      </c>
      <c r="C4" s="91">
        <v>34000</v>
      </c>
      <c r="D4">
        <f t="shared" si="0"/>
        <v>20625</v>
      </c>
      <c r="E4" s="90">
        <f t="shared" si="1"/>
        <v>1.6484848484848484</v>
      </c>
      <c r="F4" s="93">
        <f t="shared" si="2"/>
        <v>1.6484848484848484</v>
      </c>
      <c r="G4" s="98">
        <f>(F4+F8)/2</f>
        <v>1.682999486389317</v>
      </c>
    </row>
    <row r="5" spans="1:7" x14ac:dyDescent="0.25">
      <c r="A5" s="88" t="s">
        <v>56</v>
      </c>
      <c r="B5" s="17">
        <v>5</v>
      </c>
      <c r="C5" s="91">
        <v>10000</v>
      </c>
      <c r="D5">
        <f t="shared" si="0"/>
        <v>21250</v>
      </c>
      <c r="E5" s="90">
        <f t="shared" si="1"/>
        <v>0.47058823529411764</v>
      </c>
      <c r="F5" s="92">
        <f t="shared" si="2"/>
        <v>0.47058823529411764</v>
      </c>
      <c r="G5" s="97">
        <f>(F5+F9)/2</f>
        <v>0.50048748781280472</v>
      </c>
    </row>
    <row r="6" spans="1:7" x14ac:dyDescent="0.25">
      <c r="A6" s="88" t="s">
        <v>55</v>
      </c>
      <c r="B6" s="17">
        <v>6</v>
      </c>
      <c r="C6" s="91">
        <v>18000</v>
      </c>
      <c r="D6">
        <f t="shared" si="0"/>
        <v>21750</v>
      </c>
      <c r="E6" s="90">
        <f t="shared" si="1"/>
        <v>0.82758620689655171</v>
      </c>
      <c r="F6" s="89">
        <f t="shared" si="2"/>
        <v>0.82758620689655171</v>
      </c>
      <c r="G6" s="96">
        <f>(F6+F10)/2</f>
        <v>0.68322315526174737</v>
      </c>
    </row>
    <row r="7" spans="1:7" x14ac:dyDescent="0.25">
      <c r="A7" s="88" t="s">
        <v>54</v>
      </c>
      <c r="B7" s="17">
        <v>7</v>
      </c>
      <c r="C7" s="91">
        <v>23000</v>
      </c>
      <c r="D7">
        <f t="shared" si="0"/>
        <v>22500</v>
      </c>
      <c r="E7" s="90">
        <f t="shared" si="1"/>
        <v>1.0222222222222221</v>
      </c>
      <c r="F7" s="95">
        <f t="shared" si="2"/>
        <v>1.0222222222222221</v>
      </c>
      <c r="G7" s="94">
        <f>(F7+F3)/2</f>
        <v>1.0933895921237693</v>
      </c>
    </row>
    <row r="8" spans="1:7" x14ac:dyDescent="0.25">
      <c r="A8" s="88" t="s">
        <v>53</v>
      </c>
      <c r="B8" s="17">
        <v>8</v>
      </c>
      <c r="C8" s="91">
        <v>38000</v>
      </c>
      <c r="D8">
        <f t="shared" si="0"/>
        <v>22125</v>
      </c>
      <c r="E8" s="90">
        <f t="shared" si="1"/>
        <v>1.7175141242937852</v>
      </c>
      <c r="F8" s="93">
        <f t="shared" si="2"/>
        <v>1.7175141242937852</v>
      </c>
    </row>
    <row r="9" spans="1:7" x14ac:dyDescent="0.25">
      <c r="A9" s="88" t="s">
        <v>52</v>
      </c>
      <c r="B9" s="17">
        <v>9</v>
      </c>
      <c r="C9" s="91">
        <v>12000</v>
      </c>
      <c r="D9">
        <f t="shared" si="0"/>
        <v>22625</v>
      </c>
      <c r="E9" s="90">
        <f t="shared" si="1"/>
        <v>0.53038674033149169</v>
      </c>
      <c r="F9" s="92">
        <f t="shared" si="2"/>
        <v>0.53038674033149169</v>
      </c>
    </row>
    <row r="10" spans="1:7" x14ac:dyDescent="0.25">
      <c r="A10" s="88" t="s">
        <v>51</v>
      </c>
      <c r="B10" s="17">
        <v>10</v>
      </c>
      <c r="C10" s="91">
        <v>13000</v>
      </c>
      <c r="D10">
        <f t="shared" si="0"/>
        <v>24125</v>
      </c>
      <c r="E10" s="90">
        <f t="shared" si="1"/>
        <v>0.53886010362694303</v>
      </c>
      <c r="F10" s="89">
        <f t="shared" si="2"/>
        <v>0.53886010362694303</v>
      </c>
    </row>
    <row r="11" spans="1:7" x14ac:dyDescent="0.25">
      <c r="A11" s="88" t="s">
        <v>50</v>
      </c>
      <c r="B11" s="17">
        <v>11</v>
      </c>
      <c r="C11" s="87">
        <v>32000</v>
      </c>
    </row>
    <row r="12" spans="1:7" ht="15.75" thickBot="1" x14ac:dyDescent="0.3">
      <c r="A12" s="86" t="s">
        <v>49</v>
      </c>
      <c r="B12" s="30">
        <v>12</v>
      </c>
      <c r="C12" s="85">
        <v>41000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80"/>
  <sheetViews>
    <sheetView tabSelected="1" workbookViewId="0">
      <selection activeCell="AA25" sqref="AA25"/>
    </sheetView>
  </sheetViews>
  <sheetFormatPr defaultRowHeight="12.75" x14ac:dyDescent="0.2"/>
  <cols>
    <col min="1" max="1" width="4.42578125" style="2" bestFit="1" customWidth="1"/>
    <col min="2" max="5" width="9.140625" style="2"/>
    <col min="6" max="6" width="10.7109375" style="2" bestFit="1" customWidth="1"/>
    <col min="7" max="8" width="5" style="2" bestFit="1" customWidth="1"/>
    <col min="9" max="9" width="9.7109375" style="2" bestFit="1" customWidth="1"/>
    <col min="10" max="10" width="5.85546875" style="2" bestFit="1" customWidth="1"/>
    <col min="11" max="11" width="4.7109375" style="2" bestFit="1" customWidth="1"/>
    <col min="12" max="12" width="8.5703125" style="2" bestFit="1" customWidth="1"/>
    <col min="13" max="16384" width="9.140625" style="2"/>
  </cols>
  <sheetData>
    <row r="1" spans="1:17" ht="13.5" thickBot="1" x14ac:dyDescent="0.25">
      <c r="A1" s="1" t="s">
        <v>4</v>
      </c>
      <c r="B1" s="2" t="s">
        <v>5</v>
      </c>
      <c r="C1" s="2" t="s">
        <v>6</v>
      </c>
      <c r="D1" s="2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</row>
    <row r="2" spans="1:17" ht="13.5" thickBot="1" x14ac:dyDescent="0.25">
      <c r="F2" s="4" t="str">
        <f>G2&amp;" - "&amp;H2</f>
        <v>100 - 200</v>
      </c>
      <c r="G2" s="5">
        <v>100</v>
      </c>
      <c r="H2" s="6">
        <f>G2+100</f>
        <v>200</v>
      </c>
      <c r="I2" s="7">
        <f t="shared" ref="I2:I14" si="0">COUNTIF($C$3:$C$77, "&lt;"&amp;H2)</f>
        <v>1</v>
      </c>
      <c r="J2" s="6">
        <f>I2</f>
        <v>1</v>
      </c>
      <c r="K2" s="8">
        <f>J2/$J$15</f>
        <v>1.3333333333333334E-2</v>
      </c>
      <c r="L2" s="9">
        <f>I2/$J$15</f>
        <v>1.3333333333333334E-2</v>
      </c>
      <c r="N2" s="10" t="s">
        <v>15</v>
      </c>
      <c r="O2" s="11">
        <f>AVERAGE(B$3:B$77)</f>
        <v>549.66666666666663</v>
      </c>
      <c r="P2" s="11">
        <f>AVERAGE(C$3:C$77)</f>
        <v>549.66666666666663</v>
      </c>
      <c r="Q2" s="12">
        <f>AVERAGE(D$3:D$77)</f>
        <v>549.66666666666663</v>
      </c>
    </row>
    <row r="3" spans="1:17" ht="13.5" thickBot="1" x14ac:dyDescent="0.25">
      <c r="A3" s="13">
        <v>1</v>
      </c>
      <c r="B3" s="14">
        <v>495</v>
      </c>
      <c r="C3" s="15">
        <v>176</v>
      </c>
      <c r="D3" s="16">
        <v>346</v>
      </c>
      <c r="F3" s="17" t="str">
        <f t="shared" ref="F3:F14" si="1">G3&amp;" - "&amp;H3</f>
        <v>200 - 300</v>
      </c>
      <c r="G3" s="18">
        <f>H2</f>
        <v>200</v>
      </c>
      <c r="H3" s="18">
        <f t="shared" ref="H3:H14" si="2">G3+100</f>
        <v>300</v>
      </c>
      <c r="I3" s="7">
        <f t="shared" si="0"/>
        <v>11</v>
      </c>
      <c r="J3" s="18">
        <f>I3-I2</f>
        <v>10</v>
      </c>
      <c r="K3" s="19">
        <f t="shared" ref="K3:K14" si="3">J3/$J$15</f>
        <v>0.13333333333333333</v>
      </c>
      <c r="L3" s="20">
        <f t="shared" ref="L3:L14" si="4">I3/$J$15</f>
        <v>0.14666666666666667</v>
      </c>
      <c r="N3" s="21" t="s">
        <v>16</v>
      </c>
      <c r="O3" s="22">
        <f>MAX(B$3:B$77)</f>
        <v>1330</v>
      </c>
      <c r="P3" s="22">
        <f>MAX(C$3:C$77)</f>
        <v>1330</v>
      </c>
      <c r="Q3" s="23">
        <f>MAX(D$3:D$77)</f>
        <v>1330</v>
      </c>
    </row>
    <row r="4" spans="1:17" ht="13.5" thickBot="1" x14ac:dyDescent="0.25">
      <c r="A4" s="13">
        <v>2</v>
      </c>
      <c r="B4" s="24">
        <v>204</v>
      </c>
      <c r="C4" s="25">
        <v>204</v>
      </c>
      <c r="D4" s="26">
        <v>775</v>
      </c>
      <c r="F4" s="17" t="str">
        <f t="shared" si="1"/>
        <v>300 - 400</v>
      </c>
      <c r="G4" s="18">
        <f t="shared" ref="G4:G13" si="5">H3</f>
        <v>300</v>
      </c>
      <c r="H4" s="18">
        <f t="shared" si="2"/>
        <v>400</v>
      </c>
      <c r="I4" s="7">
        <f t="shared" si="0"/>
        <v>24</v>
      </c>
      <c r="J4" s="18">
        <f t="shared" ref="J4:J14" si="6">I4-I3</f>
        <v>13</v>
      </c>
      <c r="K4" s="19">
        <f t="shared" si="3"/>
        <v>0.17333333333333334</v>
      </c>
      <c r="L4" s="20">
        <f t="shared" si="4"/>
        <v>0.32</v>
      </c>
      <c r="N4" s="21" t="s">
        <v>17</v>
      </c>
      <c r="O4" s="22">
        <f>MIN(B$3:B$77)</f>
        <v>176</v>
      </c>
      <c r="P4" s="22">
        <f>MIN(C$3:C$77)</f>
        <v>176</v>
      </c>
      <c r="Q4" s="23">
        <f>MIN(D$3:D$77)</f>
        <v>176</v>
      </c>
    </row>
    <row r="5" spans="1:17" ht="13.5" thickBot="1" x14ac:dyDescent="0.25">
      <c r="A5" s="13">
        <v>3</v>
      </c>
      <c r="B5" s="24">
        <v>318</v>
      </c>
      <c r="C5" s="25">
        <v>218</v>
      </c>
      <c r="D5" s="26">
        <v>572</v>
      </c>
      <c r="F5" s="17" t="str">
        <f t="shared" si="1"/>
        <v>400 - 500</v>
      </c>
      <c r="G5" s="18">
        <f t="shared" si="5"/>
        <v>400</v>
      </c>
      <c r="H5" s="18">
        <f t="shared" si="2"/>
        <v>500</v>
      </c>
      <c r="I5" s="7">
        <f t="shared" si="0"/>
        <v>33</v>
      </c>
      <c r="J5" s="18">
        <f t="shared" si="6"/>
        <v>9</v>
      </c>
      <c r="K5" s="19">
        <f t="shared" si="3"/>
        <v>0.12</v>
      </c>
      <c r="L5" s="20">
        <f t="shared" si="4"/>
        <v>0.44</v>
      </c>
      <c r="N5" s="21" t="s">
        <v>8</v>
      </c>
      <c r="O5" s="22">
        <f>O3-O4</f>
        <v>1154</v>
      </c>
      <c r="P5" s="22">
        <f>P3-P4</f>
        <v>1154</v>
      </c>
      <c r="Q5" s="23">
        <f>Q3-Q4</f>
        <v>1154</v>
      </c>
    </row>
    <row r="6" spans="1:17" ht="13.5" thickBot="1" x14ac:dyDescent="0.25">
      <c r="A6" s="13">
        <v>4</v>
      </c>
      <c r="B6" s="24">
        <v>802</v>
      </c>
      <c r="C6" s="25">
        <v>439</v>
      </c>
      <c r="D6" s="26">
        <v>455</v>
      </c>
      <c r="F6" s="17" t="str">
        <f t="shared" si="1"/>
        <v>500 - 600</v>
      </c>
      <c r="G6" s="18">
        <f t="shared" si="5"/>
        <v>500</v>
      </c>
      <c r="H6" s="18">
        <f t="shared" si="2"/>
        <v>600</v>
      </c>
      <c r="I6" s="7">
        <f t="shared" si="0"/>
        <v>49</v>
      </c>
      <c r="J6" s="18">
        <f t="shared" si="6"/>
        <v>16</v>
      </c>
      <c r="K6" s="19">
        <f t="shared" si="3"/>
        <v>0.21333333333333335</v>
      </c>
      <c r="L6" s="20">
        <f t="shared" si="4"/>
        <v>0.65333333333333332</v>
      </c>
      <c r="N6" s="21" t="s">
        <v>18</v>
      </c>
      <c r="O6" s="22">
        <f>_xlfn.STDEV.S(B$3:B$77)</f>
        <v>244.87626954727034</v>
      </c>
      <c r="P6" s="22">
        <f>_xlfn.STDEV.S(C$3:C$77)</f>
        <v>244.87626954727034</v>
      </c>
      <c r="Q6" s="23">
        <f>_xlfn.STDEV.S(D$3:D$77)</f>
        <v>244.87626954727034</v>
      </c>
    </row>
    <row r="7" spans="1:17" ht="13.5" thickBot="1" x14ac:dyDescent="0.25">
      <c r="A7" s="13">
        <v>5</v>
      </c>
      <c r="B7" s="24">
        <v>446</v>
      </c>
      <c r="C7" s="25">
        <v>229</v>
      </c>
      <c r="D7" s="26">
        <v>176</v>
      </c>
      <c r="F7" s="17" t="str">
        <f t="shared" si="1"/>
        <v>600 - 700</v>
      </c>
      <c r="G7" s="18">
        <f t="shared" si="5"/>
        <v>600</v>
      </c>
      <c r="H7" s="18">
        <f t="shared" si="2"/>
        <v>700</v>
      </c>
      <c r="I7" s="7">
        <f t="shared" si="0"/>
        <v>54</v>
      </c>
      <c r="J7" s="18">
        <f t="shared" si="6"/>
        <v>5</v>
      </c>
      <c r="K7" s="19">
        <f t="shared" si="3"/>
        <v>6.6666666666666666E-2</v>
      </c>
      <c r="L7" s="20">
        <f t="shared" si="4"/>
        <v>0.72</v>
      </c>
      <c r="N7" s="21" t="s">
        <v>19</v>
      </c>
      <c r="O7" s="22">
        <f>O6/O2</f>
        <v>0.44549958074094059</v>
      </c>
      <c r="P7" s="22">
        <f>P6/P2</f>
        <v>0.44549958074094059</v>
      </c>
      <c r="Q7" s="23">
        <f>Q6/Q2</f>
        <v>0.44549958074094059</v>
      </c>
    </row>
    <row r="8" spans="1:17" ht="13.5" thickBot="1" x14ac:dyDescent="0.25">
      <c r="A8" s="13">
        <v>6</v>
      </c>
      <c r="B8" s="24">
        <v>568</v>
      </c>
      <c r="C8" s="25">
        <v>249</v>
      </c>
      <c r="D8" s="26">
        <v>412</v>
      </c>
      <c r="F8" s="17" t="str">
        <f t="shared" si="1"/>
        <v>700 - 800</v>
      </c>
      <c r="G8" s="18">
        <f t="shared" si="5"/>
        <v>700</v>
      </c>
      <c r="H8" s="18">
        <f t="shared" si="2"/>
        <v>800</v>
      </c>
      <c r="I8" s="7">
        <f t="shared" si="0"/>
        <v>61</v>
      </c>
      <c r="J8" s="18">
        <f t="shared" si="6"/>
        <v>7</v>
      </c>
      <c r="K8" s="19">
        <f t="shared" si="3"/>
        <v>9.3333333333333338E-2</v>
      </c>
      <c r="L8" s="20">
        <f t="shared" si="4"/>
        <v>0.81333333333333335</v>
      </c>
      <c r="N8" s="21" t="s">
        <v>20</v>
      </c>
      <c r="O8" s="22">
        <f>O5/O2</f>
        <v>2.099454214675561</v>
      </c>
      <c r="P8" s="22">
        <f>P5/P2</f>
        <v>2.099454214675561</v>
      </c>
      <c r="Q8" s="23">
        <f>Q5/Q2</f>
        <v>2.099454214675561</v>
      </c>
    </row>
    <row r="9" spans="1:17" ht="13.5" thickBot="1" x14ac:dyDescent="0.25">
      <c r="A9" s="13">
        <v>7</v>
      </c>
      <c r="B9" s="24">
        <v>372</v>
      </c>
      <c r="C9" s="25">
        <v>227</v>
      </c>
      <c r="D9" s="26">
        <v>926</v>
      </c>
      <c r="F9" s="17" t="str">
        <f t="shared" si="1"/>
        <v>800 - 900</v>
      </c>
      <c r="G9" s="18">
        <f t="shared" si="5"/>
        <v>800</v>
      </c>
      <c r="H9" s="18">
        <f t="shared" si="2"/>
        <v>900</v>
      </c>
      <c r="I9" s="7">
        <f t="shared" si="0"/>
        <v>69</v>
      </c>
      <c r="J9" s="18">
        <f t="shared" si="6"/>
        <v>8</v>
      </c>
      <c r="K9" s="19">
        <f t="shared" si="3"/>
        <v>0.10666666666666667</v>
      </c>
      <c r="L9" s="20">
        <f t="shared" si="4"/>
        <v>0.92</v>
      </c>
      <c r="N9" s="27" t="s">
        <v>21</v>
      </c>
      <c r="O9" s="28">
        <f>SKEW(B$3:B$77)</f>
        <v>0.77576152004140142</v>
      </c>
      <c r="P9" s="28">
        <f>SKEW(C$3:C$77)</f>
        <v>0.77576152004140153</v>
      </c>
      <c r="Q9" s="29">
        <f>SKEW(D$3:D$77)</f>
        <v>0.77576152004140153</v>
      </c>
    </row>
    <row r="10" spans="1:17" ht="13.5" thickBot="1" x14ac:dyDescent="0.25">
      <c r="A10" s="13">
        <v>8</v>
      </c>
      <c r="B10" s="24">
        <v>281</v>
      </c>
      <c r="C10" s="25">
        <v>256</v>
      </c>
      <c r="D10" s="26">
        <v>710</v>
      </c>
      <c r="F10" s="17" t="str">
        <f t="shared" si="1"/>
        <v>900 - 1000</v>
      </c>
      <c r="G10" s="18">
        <f t="shared" si="5"/>
        <v>900</v>
      </c>
      <c r="H10" s="18">
        <f t="shared" si="2"/>
        <v>1000</v>
      </c>
      <c r="I10" s="7">
        <f t="shared" si="0"/>
        <v>71</v>
      </c>
      <c r="J10" s="18">
        <f t="shared" si="6"/>
        <v>2</v>
      </c>
      <c r="K10" s="19">
        <f t="shared" si="3"/>
        <v>2.6666666666666668E-2</v>
      </c>
      <c r="L10" s="20">
        <f t="shared" si="4"/>
        <v>0.94666666666666666</v>
      </c>
    </row>
    <row r="11" spans="1:17" ht="13.5" thickBot="1" x14ac:dyDescent="0.25">
      <c r="A11" s="13">
        <v>9</v>
      </c>
      <c r="B11" s="24">
        <v>676</v>
      </c>
      <c r="C11" s="25">
        <v>304</v>
      </c>
      <c r="D11" s="26">
        <v>514</v>
      </c>
      <c r="F11" s="17" t="str">
        <f t="shared" si="1"/>
        <v>1000 - 1100</v>
      </c>
      <c r="G11" s="18">
        <f t="shared" si="5"/>
        <v>1000</v>
      </c>
      <c r="H11" s="18">
        <f t="shared" si="2"/>
        <v>1100</v>
      </c>
      <c r="I11" s="7">
        <f t="shared" si="0"/>
        <v>73</v>
      </c>
      <c r="J11" s="18">
        <f t="shared" si="6"/>
        <v>2</v>
      </c>
      <c r="K11" s="19">
        <f t="shared" si="3"/>
        <v>2.6666666666666668E-2</v>
      </c>
      <c r="L11" s="20">
        <f t="shared" si="4"/>
        <v>0.97333333333333338</v>
      </c>
    </row>
    <row r="12" spans="1:17" ht="13.5" thickBot="1" x14ac:dyDescent="0.25">
      <c r="A12" s="13">
        <v>10</v>
      </c>
      <c r="B12" s="24">
        <v>755</v>
      </c>
      <c r="C12" s="25">
        <v>354</v>
      </c>
      <c r="D12" s="26">
        <v>281</v>
      </c>
      <c r="F12" s="17" t="str">
        <f t="shared" si="1"/>
        <v>1100 - 1200</v>
      </c>
      <c r="G12" s="18">
        <f t="shared" si="5"/>
        <v>1100</v>
      </c>
      <c r="H12" s="18">
        <f t="shared" si="2"/>
        <v>1200</v>
      </c>
      <c r="I12" s="7">
        <f t="shared" si="0"/>
        <v>74</v>
      </c>
      <c r="J12" s="18">
        <f t="shared" si="6"/>
        <v>1</v>
      </c>
      <c r="K12" s="19">
        <f t="shared" si="3"/>
        <v>1.3333333333333334E-2</v>
      </c>
      <c r="L12" s="20">
        <f t="shared" si="4"/>
        <v>0.98666666666666669</v>
      </c>
    </row>
    <row r="13" spans="1:17" ht="13.5" thickBot="1" x14ac:dyDescent="0.25">
      <c r="A13" s="13">
        <v>11</v>
      </c>
      <c r="B13" s="24">
        <v>503</v>
      </c>
      <c r="C13" s="25">
        <v>289</v>
      </c>
      <c r="D13" s="26">
        <v>412</v>
      </c>
      <c r="F13" s="17" t="str">
        <f t="shared" si="1"/>
        <v>1200 - 1300</v>
      </c>
      <c r="G13" s="18">
        <f t="shared" si="5"/>
        <v>1200</v>
      </c>
      <c r="H13" s="18">
        <f t="shared" si="2"/>
        <v>1300</v>
      </c>
      <c r="I13" s="7">
        <f t="shared" si="0"/>
        <v>74</v>
      </c>
      <c r="J13" s="18">
        <f t="shared" si="6"/>
        <v>0</v>
      </c>
      <c r="K13" s="19">
        <f t="shared" si="3"/>
        <v>0</v>
      </c>
      <c r="L13" s="20">
        <f t="shared" si="4"/>
        <v>0.98666666666666669</v>
      </c>
    </row>
    <row r="14" spans="1:17" ht="13.5" thickBot="1" x14ac:dyDescent="0.25">
      <c r="A14" s="13">
        <v>12</v>
      </c>
      <c r="B14" s="24">
        <v>511</v>
      </c>
      <c r="C14" s="25">
        <v>273</v>
      </c>
      <c r="D14" s="26">
        <v>939</v>
      </c>
      <c r="F14" s="30" t="str">
        <f t="shared" si="1"/>
        <v>1300 - 1400</v>
      </c>
      <c r="G14" s="31">
        <f>H13</f>
        <v>1300</v>
      </c>
      <c r="H14" s="31">
        <f t="shared" si="2"/>
        <v>1400</v>
      </c>
      <c r="I14" s="32">
        <f t="shared" si="0"/>
        <v>75</v>
      </c>
      <c r="J14" s="31">
        <f t="shared" si="6"/>
        <v>1</v>
      </c>
      <c r="K14" s="33">
        <f t="shared" si="3"/>
        <v>1.3333333333333334E-2</v>
      </c>
      <c r="L14" s="34">
        <f t="shared" si="4"/>
        <v>1</v>
      </c>
    </row>
    <row r="15" spans="1:17" x14ac:dyDescent="0.2">
      <c r="A15" s="13">
        <v>13</v>
      </c>
      <c r="B15" s="24">
        <v>229</v>
      </c>
      <c r="C15" s="25">
        <v>315</v>
      </c>
      <c r="D15" s="26">
        <v>718</v>
      </c>
      <c r="J15" s="35">
        <f>SUM(J2:J14)</f>
        <v>75</v>
      </c>
      <c r="K15" s="35">
        <f>SUM(K2:K14)</f>
        <v>0.99999999999999989</v>
      </c>
      <c r="L15" s="35"/>
    </row>
    <row r="16" spans="1:17" x14ac:dyDescent="0.2">
      <c r="A16" s="13">
        <v>14</v>
      </c>
      <c r="B16" s="24">
        <v>439</v>
      </c>
      <c r="C16" s="25">
        <v>346</v>
      </c>
      <c r="D16" s="26">
        <v>520</v>
      </c>
    </row>
    <row r="17" spans="1:4" x14ac:dyDescent="0.2">
      <c r="A17" s="13">
        <v>15</v>
      </c>
      <c r="B17" s="24">
        <v>412</v>
      </c>
      <c r="C17" s="25">
        <v>318</v>
      </c>
      <c r="D17" s="26">
        <v>289</v>
      </c>
    </row>
    <row r="18" spans="1:4" x14ac:dyDescent="0.2">
      <c r="A18" s="13">
        <v>16</v>
      </c>
      <c r="B18" s="24">
        <v>775</v>
      </c>
      <c r="C18" s="25">
        <v>330</v>
      </c>
      <c r="D18" s="26">
        <v>434</v>
      </c>
    </row>
    <row r="19" spans="1:4" x14ac:dyDescent="0.2">
      <c r="A19" s="13">
        <v>17</v>
      </c>
      <c r="B19" s="24">
        <v>330</v>
      </c>
      <c r="C19" s="25">
        <v>359</v>
      </c>
      <c r="D19" s="26">
        <v>1045</v>
      </c>
    </row>
    <row r="20" spans="1:4" x14ac:dyDescent="0.2">
      <c r="A20" s="13">
        <v>18</v>
      </c>
      <c r="B20" s="24">
        <v>289</v>
      </c>
      <c r="C20" s="25">
        <v>370</v>
      </c>
      <c r="D20" s="26">
        <v>719</v>
      </c>
    </row>
    <row r="21" spans="1:4" x14ac:dyDescent="0.2">
      <c r="A21" s="13">
        <v>19</v>
      </c>
      <c r="B21" s="24">
        <v>1045</v>
      </c>
      <c r="C21" s="25">
        <v>348</v>
      </c>
      <c r="D21" s="26">
        <v>529</v>
      </c>
    </row>
    <row r="22" spans="1:4" x14ac:dyDescent="0.2">
      <c r="A22" s="13">
        <v>20</v>
      </c>
      <c r="B22" s="24">
        <v>348</v>
      </c>
      <c r="C22" s="25">
        <v>281</v>
      </c>
      <c r="D22" s="26">
        <v>304</v>
      </c>
    </row>
    <row r="23" spans="1:4" x14ac:dyDescent="0.2">
      <c r="A23" s="13">
        <v>21</v>
      </c>
      <c r="B23" s="24">
        <v>249</v>
      </c>
      <c r="C23" s="25">
        <v>356</v>
      </c>
      <c r="D23" s="26">
        <v>439</v>
      </c>
    </row>
    <row r="24" spans="1:4" x14ac:dyDescent="0.2">
      <c r="A24" s="13">
        <v>22</v>
      </c>
      <c r="B24" s="24">
        <v>218</v>
      </c>
      <c r="C24" s="25">
        <v>372</v>
      </c>
      <c r="D24" s="26">
        <v>1045</v>
      </c>
    </row>
    <row r="25" spans="1:4" x14ac:dyDescent="0.2">
      <c r="A25" s="13">
        <v>23</v>
      </c>
      <c r="B25" s="24">
        <v>603</v>
      </c>
      <c r="C25" s="25">
        <v>377</v>
      </c>
      <c r="D25" s="26">
        <v>730</v>
      </c>
    </row>
    <row r="26" spans="1:4" x14ac:dyDescent="0.2">
      <c r="A26" s="13">
        <v>24</v>
      </c>
      <c r="B26" s="24">
        <v>412</v>
      </c>
      <c r="C26" s="25">
        <v>412</v>
      </c>
      <c r="D26" s="26">
        <v>532</v>
      </c>
    </row>
    <row r="27" spans="1:4" x14ac:dyDescent="0.2">
      <c r="A27" s="13">
        <v>25</v>
      </c>
      <c r="B27" s="24">
        <v>608</v>
      </c>
      <c r="C27" s="25">
        <v>503</v>
      </c>
      <c r="D27" s="26">
        <v>315</v>
      </c>
    </row>
    <row r="28" spans="1:4" x14ac:dyDescent="0.2">
      <c r="A28" s="13">
        <v>26</v>
      </c>
      <c r="B28" s="24">
        <v>540</v>
      </c>
      <c r="C28" s="25">
        <v>381</v>
      </c>
      <c r="D28" s="26">
        <v>446</v>
      </c>
    </row>
    <row r="29" spans="1:4" x14ac:dyDescent="0.2">
      <c r="A29" s="13">
        <v>27</v>
      </c>
      <c r="B29" s="24">
        <v>744</v>
      </c>
      <c r="C29" s="25">
        <v>434</v>
      </c>
      <c r="D29" s="26">
        <v>1133</v>
      </c>
    </row>
    <row r="30" spans="1:4" x14ac:dyDescent="0.2">
      <c r="A30" s="13">
        <v>28</v>
      </c>
      <c r="B30" s="24">
        <v>465</v>
      </c>
      <c r="C30" s="25">
        <v>229</v>
      </c>
      <c r="D30" s="26">
        <v>744</v>
      </c>
    </row>
    <row r="31" spans="1:4" x14ac:dyDescent="0.2">
      <c r="A31" s="13">
        <v>29</v>
      </c>
      <c r="B31" s="24">
        <v>577</v>
      </c>
      <c r="C31" s="25">
        <v>446</v>
      </c>
      <c r="D31" s="26">
        <v>540</v>
      </c>
    </row>
    <row r="32" spans="1:4" x14ac:dyDescent="0.2">
      <c r="A32" s="13">
        <v>30</v>
      </c>
      <c r="B32" s="24">
        <v>576</v>
      </c>
      <c r="C32" s="25">
        <v>450</v>
      </c>
      <c r="D32" s="26">
        <v>318</v>
      </c>
    </row>
    <row r="33" spans="1:4" x14ac:dyDescent="0.2">
      <c r="A33" s="13">
        <v>31</v>
      </c>
      <c r="B33" s="24">
        <v>681</v>
      </c>
      <c r="C33" s="25">
        <v>455</v>
      </c>
      <c r="D33" s="26">
        <v>450</v>
      </c>
    </row>
    <row r="34" spans="1:4" x14ac:dyDescent="0.2">
      <c r="A34" s="13">
        <v>32</v>
      </c>
      <c r="B34" s="24">
        <v>842</v>
      </c>
      <c r="C34" s="25">
        <v>465</v>
      </c>
      <c r="D34" s="26">
        <v>1330</v>
      </c>
    </row>
    <row r="35" spans="1:4" x14ac:dyDescent="0.2">
      <c r="A35" s="13">
        <v>33</v>
      </c>
      <c r="B35" s="24">
        <v>256</v>
      </c>
      <c r="C35" s="25">
        <v>495</v>
      </c>
      <c r="D35" s="26">
        <v>755</v>
      </c>
    </row>
    <row r="36" spans="1:4" x14ac:dyDescent="0.2">
      <c r="A36" s="13">
        <v>34</v>
      </c>
      <c r="B36" s="24">
        <v>851</v>
      </c>
      <c r="C36" s="25">
        <v>500</v>
      </c>
      <c r="D36" s="26">
        <v>568</v>
      </c>
    </row>
    <row r="37" spans="1:4" x14ac:dyDescent="0.2">
      <c r="A37" s="13">
        <v>35</v>
      </c>
      <c r="B37" s="24">
        <v>273</v>
      </c>
      <c r="C37" s="25">
        <v>412</v>
      </c>
      <c r="D37" s="26">
        <v>330</v>
      </c>
    </row>
    <row r="38" spans="1:4" x14ac:dyDescent="0.2">
      <c r="A38" s="13">
        <v>36</v>
      </c>
      <c r="B38" s="24">
        <v>856</v>
      </c>
      <c r="C38" s="25">
        <v>508</v>
      </c>
      <c r="D38" s="26">
        <v>348</v>
      </c>
    </row>
    <row r="39" spans="1:4" x14ac:dyDescent="0.2">
      <c r="A39" s="13">
        <v>37</v>
      </c>
      <c r="B39" s="24">
        <v>532</v>
      </c>
      <c r="C39" s="25">
        <v>511</v>
      </c>
      <c r="D39" s="26">
        <v>802</v>
      </c>
    </row>
    <row r="40" spans="1:4" x14ac:dyDescent="0.2">
      <c r="A40" s="13">
        <v>38</v>
      </c>
      <c r="B40" s="24">
        <v>508</v>
      </c>
      <c r="C40" s="25">
        <v>612</v>
      </c>
      <c r="D40" s="26">
        <v>576</v>
      </c>
    </row>
    <row r="41" spans="1:4" x14ac:dyDescent="0.2">
      <c r="A41" s="13">
        <v>39</v>
      </c>
      <c r="B41" s="24">
        <v>434</v>
      </c>
      <c r="C41" s="25">
        <v>511</v>
      </c>
      <c r="D41" s="26">
        <v>465</v>
      </c>
    </row>
    <row r="42" spans="1:4" x14ac:dyDescent="0.2">
      <c r="A42" s="13">
        <v>40</v>
      </c>
      <c r="B42" s="24">
        <v>597</v>
      </c>
      <c r="C42" s="25">
        <v>514</v>
      </c>
      <c r="D42" s="26">
        <v>204</v>
      </c>
    </row>
    <row r="43" spans="1:4" x14ac:dyDescent="0.2">
      <c r="A43" s="13">
        <v>41</v>
      </c>
      <c r="B43" s="24">
        <v>315</v>
      </c>
      <c r="C43" s="25">
        <v>520</v>
      </c>
      <c r="D43" s="26">
        <v>354</v>
      </c>
    </row>
    <row r="44" spans="1:4" x14ac:dyDescent="0.2">
      <c r="A44" s="13">
        <v>42</v>
      </c>
      <c r="B44" s="24">
        <v>1045</v>
      </c>
      <c r="C44" s="25">
        <v>710</v>
      </c>
      <c r="D44" s="26">
        <v>836</v>
      </c>
    </row>
    <row r="45" spans="1:4" x14ac:dyDescent="0.2">
      <c r="A45" s="13">
        <v>43</v>
      </c>
      <c r="B45" s="24">
        <v>370</v>
      </c>
      <c r="C45" s="25">
        <v>532</v>
      </c>
      <c r="D45" s="26">
        <v>577</v>
      </c>
    </row>
    <row r="46" spans="1:4" x14ac:dyDescent="0.2">
      <c r="A46" s="13">
        <v>44</v>
      </c>
      <c r="B46" s="24">
        <v>354</v>
      </c>
      <c r="C46" s="25">
        <v>540</v>
      </c>
      <c r="D46" s="26">
        <v>495</v>
      </c>
    </row>
    <row r="47" spans="1:4" x14ac:dyDescent="0.2">
      <c r="A47" s="13">
        <v>45</v>
      </c>
      <c r="B47" s="24">
        <v>500</v>
      </c>
      <c r="C47" s="25">
        <v>568</v>
      </c>
      <c r="D47" s="26">
        <v>218</v>
      </c>
    </row>
    <row r="48" spans="1:4" x14ac:dyDescent="0.2">
      <c r="A48" s="13">
        <v>46</v>
      </c>
      <c r="B48" s="24">
        <v>520</v>
      </c>
      <c r="C48" s="25">
        <v>572</v>
      </c>
      <c r="D48" s="26">
        <v>356</v>
      </c>
    </row>
    <row r="49" spans="1:4" x14ac:dyDescent="0.2">
      <c r="A49" s="13">
        <v>47</v>
      </c>
      <c r="B49" s="24">
        <v>356</v>
      </c>
      <c r="C49" s="25">
        <v>576</v>
      </c>
      <c r="D49" s="26">
        <v>842</v>
      </c>
    </row>
    <row r="50" spans="1:4" x14ac:dyDescent="0.2">
      <c r="A50" s="13">
        <v>48</v>
      </c>
      <c r="B50" s="24">
        <v>572</v>
      </c>
      <c r="C50" s="25">
        <v>577</v>
      </c>
      <c r="D50" s="26">
        <v>597</v>
      </c>
    </row>
    <row r="51" spans="1:4" x14ac:dyDescent="0.2">
      <c r="A51" s="13">
        <v>49</v>
      </c>
      <c r="B51" s="24">
        <v>514</v>
      </c>
      <c r="C51" s="25">
        <v>836</v>
      </c>
      <c r="D51" s="26">
        <v>500</v>
      </c>
    </row>
    <row r="52" spans="1:4" x14ac:dyDescent="0.2">
      <c r="A52" s="13">
        <v>50</v>
      </c>
      <c r="B52" s="24">
        <v>842</v>
      </c>
      <c r="C52" s="25">
        <v>603</v>
      </c>
      <c r="D52" s="26">
        <v>227</v>
      </c>
    </row>
    <row r="53" spans="1:4" x14ac:dyDescent="0.2">
      <c r="A53" s="13">
        <v>51</v>
      </c>
      <c r="B53" s="24">
        <v>176</v>
      </c>
      <c r="C53" s="25">
        <v>608</v>
      </c>
      <c r="D53" s="26">
        <v>359</v>
      </c>
    </row>
    <row r="54" spans="1:4" x14ac:dyDescent="0.2">
      <c r="A54" s="13">
        <v>52</v>
      </c>
      <c r="B54" s="24">
        <v>730</v>
      </c>
      <c r="C54" s="25">
        <v>511</v>
      </c>
      <c r="D54" s="26">
        <v>842</v>
      </c>
    </row>
    <row r="55" spans="1:4" x14ac:dyDescent="0.2">
      <c r="A55" s="13">
        <v>53</v>
      </c>
      <c r="B55" s="24">
        <v>377</v>
      </c>
      <c r="C55" s="25">
        <v>676</v>
      </c>
      <c r="D55" s="26">
        <v>603</v>
      </c>
    </row>
    <row r="56" spans="1:4" x14ac:dyDescent="0.2">
      <c r="A56" s="13">
        <v>54</v>
      </c>
      <c r="B56" s="24">
        <v>866</v>
      </c>
      <c r="C56" s="25">
        <v>681</v>
      </c>
      <c r="D56" s="26">
        <v>503</v>
      </c>
    </row>
    <row r="57" spans="1:4" x14ac:dyDescent="0.2">
      <c r="A57" s="13">
        <v>55</v>
      </c>
      <c r="B57" s="24">
        <v>939</v>
      </c>
      <c r="C57" s="25">
        <v>529</v>
      </c>
      <c r="D57" s="26">
        <v>229</v>
      </c>
    </row>
    <row r="58" spans="1:4" x14ac:dyDescent="0.2">
      <c r="A58" s="13">
        <v>56</v>
      </c>
      <c r="B58" s="24">
        <v>926</v>
      </c>
      <c r="C58" s="25">
        <v>718</v>
      </c>
      <c r="D58" s="26">
        <v>370</v>
      </c>
    </row>
    <row r="59" spans="1:4" x14ac:dyDescent="0.2">
      <c r="A59" s="13">
        <v>57</v>
      </c>
      <c r="B59" s="24">
        <v>229</v>
      </c>
      <c r="C59" s="25">
        <v>719</v>
      </c>
      <c r="D59" s="26">
        <v>843</v>
      </c>
    </row>
    <row r="60" spans="1:4" x14ac:dyDescent="0.2">
      <c r="A60" s="13">
        <v>58</v>
      </c>
      <c r="B60" s="24">
        <v>304</v>
      </c>
      <c r="C60" s="25">
        <v>730</v>
      </c>
      <c r="D60" s="26">
        <v>608</v>
      </c>
    </row>
    <row r="61" spans="1:4" x14ac:dyDescent="0.2">
      <c r="A61" s="13">
        <v>59</v>
      </c>
      <c r="B61" s="24">
        <v>450</v>
      </c>
      <c r="C61" s="25">
        <v>866</v>
      </c>
      <c r="D61" s="26">
        <v>508</v>
      </c>
    </row>
    <row r="62" spans="1:4" x14ac:dyDescent="0.2">
      <c r="A62" s="13">
        <v>60</v>
      </c>
      <c r="B62" s="24">
        <v>843</v>
      </c>
      <c r="C62" s="25">
        <v>755</v>
      </c>
      <c r="D62" s="26">
        <v>229</v>
      </c>
    </row>
    <row r="63" spans="1:4" x14ac:dyDescent="0.2">
      <c r="A63" s="13">
        <v>61</v>
      </c>
      <c r="B63" s="24">
        <v>1330</v>
      </c>
      <c r="C63" s="25">
        <v>775</v>
      </c>
      <c r="D63" s="26">
        <v>372</v>
      </c>
    </row>
    <row r="64" spans="1:4" x14ac:dyDescent="0.2">
      <c r="A64" s="13">
        <v>62</v>
      </c>
      <c r="B64" s="24">
        <v>455</v>
      </c>
      <c r="C64" s="25">
        <v>802</v>
      </c>
      <c r="D64" s="26">
        <v>851</v>
      </c>
    </row>
    <row r="65" spans="1:5" x14ac:dyDescent="0.2">
      <c r="A65" s="13">
        <v>63</v>
      </c>
      <c r="B65" s="24">
        <v>359</v>
      </c>
      <c r="C65" s="25">
        <v>597</v>
      </c>
      <c r="D65" s="26">
        <v>612</v>
      </c>
    </row>
    <row r="66" spans="1:5" x14ac:dyDescent="0.2">
      <c r="A66" s="13">
        <v>64</v>
      </c>
      <c r="B66" s="24">
        <v>1133</v>
      </c>
      <c r="C66" s="25">
        <v>842</v>
      </c>
      <c r="D66" s="26">
        <v>511</v>
      </c>
    </row>
    <row r="67" spans="1:5" x14ac:dyDescent="0.2">
      <c r="A67" s="13">
        <v>65</v>
      </c>
      <c r="B67" s="24">
        <v>710</v>
      </c>
      <c r="C67" s="25">
        <v>851</v>
      </c>
      <c r="D67" s="26">
        <v>249</v>
      </c>
    </row>
    <row r="68" spans="1:5" x14ac:dyDescent="0.2">
      <c r="A68" s="13">
        <v>66</v>
      </c>
      <c r="B68" s="24">
        <v>719</v>
      </c>
      <c r="C68" s="25">
        <v>843</v>
      </c>
      <c r="D68" s="26">
        <v>377</v>
      </c>
    </row>
    <row r="69" spans="1:5" x14ac:dyDescent="0.2">
      <c r="A69" s="13">
        <v>67</v>
      </c>
      <c r="B69" s="24">
        <v>346</v>
      </c>
      <c r="C69" s="25">
        <v>842</v>
      </c>
      <c r="D69" s="26">
        <v>856</v>
      </c>
    </row>
    <row r="70" spans="1:5" x14ac:dyDescent="0.2">
      <c r="A70" s="13">
        <v>68</v>
      </c>
      <c r="B70" s="24">
        <v>511</v>
      </c>
      <c r="C70" s="25">
        <v>856</v>
      </c>
      <c r="D70" s="26">
        <v>676</v>
      </c>
    </row>
    <row r="71" spans="1:5" x14ac:dyDescent="0.2">
      <c r="A71" s="13">
        <v>69</v>
      </c>
      <c r="B71" s="24">
        <v>718</v>
      </c>
      <c r="C71" s="25">
        <v>744</v>
      </c>
      <c r="D71" s="26">
        <v>511</v>
      </c>
    </row>
    <row r="72" spans="1:5" x14ac:dyDescent="0.2">
      <c r="A72" s="13">
        <v>70</v>
      </c>
      <c r="B72" s="24">
        <v>381</v>
      </c>
      <c r="C72" s="25">
        <v>926</v>
      </c>
      <c r="D72" s="26">
        <v>256</v>
      </c>
    </row>
    <row r="73" spans="1:5" x14ac:dyDescent="0.2">
      <c r="A73" s="13">
        <v>71</v>
      </c>
      <c r="B73" s="24">
        <v>529</v>
      </c>
      <c r="C73" s="25">
        <v>939</v>
      </c>
      <c r="D73" s="26">
        <v>381</v>
      </c>
    </row>
    <row r="74" spans="1:5" x14ac:dyDescent="0.2">
      <c r="A74" s="13">
        <v>72</v>
      </c>
      <c r="B74" s="24">
        <v>227</v>
      </c>
      <c r="C74" s="25">
        <v>1045</v>
      </c>
      <c r="D74" s="26">
        <v>866</v>
      </c>
    </row>
    <row r="75" spans="1:5" x14ac:dyDescent="0.2">
      <c r="A75" s="13">
        <v>73</v>
      </c>
      <c r="B75" s="24">
        <v>612</v>
      </c>
      <c r="C75" s="25">
        <v>1330</v>
      </c>
      <c r="D75" s="26">
        <v>681</v>
      </c>
    </row>
    <row r="76" spans="1:5" x14ac:dyDescent="0.2">
      <c r="A76" s="13">
        <v>74</v>
      </c>
      <c r="B76" s="24">
        <v>836</v>
      </c>
      <c r="C76" s="25">
        <v>1133</v>
      </c>
      <c r="D76" s="26">
        <v>511</v>
      </c>
    </row>
    <row r="77" spans="1:5" x14ac:dyDescent="0.2">
      <c r="A77" s="13">
        <v>75</v>
      </c>
      <c r="B77" s="24">
        <v>511</v>
      </c>
      <c r="C77" s="25">
        <v>1045</v>
      </c>
      <c r="D77" s="26">
        <v>273</v>
      </c>
    </row>
    <row r="80" spans="1:5" x14ac:dyDescent="0.2">
      <c r="E80" s="36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1.LALB23TrendLine</vt:lpstr>
      <vt:lpstr>2.LALB23DataAna&amp;Formula</vt:lpstr>
      <vt:lpstr>4.LALB23Solver&amp;Formulas</vt:lpstr>
      <vt:lpstr>1.ES.MAD.MSE.MAPE.TS.Resi</vt:lpstr>
      <vt:lpstr>1.ES.MAD.MSE.MAPE.TS.Resi (2)</vt:lpstr>
      <vt:lpstr>0.ArdiData</vt:lpstr>
      <vt:lpstr>5.Trend&amp;Season</vt:lpstr>
      <vt:lpstr>0.ArdiData&amp;FixedData</vt:lpstr>
      <vt:lpstr>TrAdES</vt:lpstr>
      <vt:lpstr>TrAdES2</vt:lpstr>
      <vt:lpstr>Sheet1</vt:lpstr>
      <vt:lpstr>BookData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2021-02-09T16:32:33Z</dcterms:modified>
</cp:coreProperties>
</file>