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W:\public_html\CourseBase\Forecasting\Reg-Seas-2020\"/>
    </mc:Choice>
  </mc:AlternateContent>
  <xr:revisionPtr revIDLastSave="0" documentId="13_ncr:1_{B67DCA9E-0B67-4430-B5F0-49CF0DCF23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SeasRegChopraMineEvenp4" sheetId="37" r:id="rId1"/>
    <sheet name="2.SeasRegChopraMineEvenp5" sheetId="52" r:id="rId2"/>
    <sheet name="3.Trend&amp;Seas7Period" sheetId="53" r:id="rId3"/>
    <sheet name="0.ArdiData" sheetId="54" r:id="rId4"/>
  </sheets>
  <externalReferences>
    <externalReference r:id="rId5"/>
    <externalReference r:id="rId6"/>
  </externalReferences>
  <definedNames>
    <definedName name="Page1">#REF!</definedName>
    <definedName name="solver_adj" localSheetId="0" hidden="1">'1.SeasRegChopraMineEvenp4'!$C$38:$C$40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'1.SeasRegChopraMineEvenp4'!$C$38:$C$40</definedName>
    <definedName name="solver_lhs2" localSheetId="0" hidden="1">'1.SeasRegChopraMineEvenp4'!$C$38:$C$40</definedName>
    <definedName name="solver_lhs3" localSheetId="0" hidden="1">'1.SeasRegChopraMineEvenp4'!$C$40</definedName>
    <definedName name="solver_lhs4" localSheetId="0" hidden="1">'1.SeasRegChopraMineEvenp4'!$C$40</definedName>
    <definedName name="solver_lhs5" localSheetId="0" hidden="1">'1.SeasRegChopraMineEvenp4'!$C$40</definedName>
    <definedName name="solver_lhs6" localSheetId="0" hidden="1">'1.SeasRegChopraMineEvenp4'!$C$40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'1.SeasRegChopraMineEvenp4'!#REF!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3</definedName>
    <definedName name="solver_rel3" localSheetId="0" hidden="1">3</definedName>
    <definedName name="solver_rel4" localSheetId="0" hidden="1">3</definedName>
    <definedName name="solver_rel5" localSheetId="0" hidden="1">3</definedName>
    <definedName name="solver_rel6" localSheetId="0" hidden="1">3</definedName>
    <definedName name="solver_rhs1" localSheetId="0" hidden="1">1</definedName>
    <definedName name="solver_rhs2" localSheetId="0" hidden="1">0</definedName>
    <definedName name="solver_rhs3" localSheetId="0" hidden="1">0</definedName>
    <definedName name="solver_rhs4" localSheetId="0" hidden="1">0</definedName>
    <definedName name="solver_rhs5" localSheetId="0" hidden="1">0</definedName>
    <definedName name="solver_rhs6" localSheetId="0" hidden="1">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3" hidden="1">2</definedName>
    <definedName name="solver_typ" localSheetId="0" hidden="1">2</definedName>
    <definedName name="solver_typ" localSheetId="1" hidden="1">2</definedName>
    <definedName name="solver_val" localSheetId="0" hidden="1">0</definedName>
    <definedName name="solver_ver" localSheetId="3" hidden="1">17</definedName>
    <definedName name="solver_ver" localSheetId="0" hidden="1">3</definedName>
    <definedName name="solver_ver" localSheetId="1" hidden="1">17</definedName>
    <definedName name="Table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37" l="1"/>
  <c r="AH1" i="54" l="1"/>
  <c r="AI1" i="54"/>
  <c r="AB3" i="54"/>
  <c r="AF3" i="54"/>
  <c r="AB4" i="54"/>
  <c r="AF4" i="54"/>
  <c r="AB5" i="54"/>
  <c r="AF5" i="54"/>
  <c r="AB6" i="54"/>
  <c r="AF6" i="54"/>
  <c r="AB7" i="54"/>
  <c r="AF7" i="54"/>
  <c r="AB8" i="54"/>
  <c r="AF8" i="54"/>
  <c r="AB9" i="54"/>
  <c r="AF9" i="54"/>
  <c r="AB10" i="54"/>
  <c r="AF10" i="54"/>
  <c r="AB11" i="54"/>
  <c r="AF11" i="54"/>
  <c r="AB12" i="54"/>
  <c r="AF12" i="54"/>
  <c r="AB13" i="54"/>
  <c r="AF13" i="54"/>
  <c r="AB14" i="54"/>
  <c r="AF14" i="54"/>
  <c r="AB15" i="54"/>
  <c r="AF15" i="54"/>
  <c r="AB16" i="54"/>
  <c r="AF16" i="54"/>
  <c r="AB17" i="54"/>
  <c r="AF17" i="54"/>
  <c r="AB18" i="54"/>
  <c r="AF18" i="54"/>
  <c r="AB19" i="54"/>
  <c r="AF19" i="54"/>
  <c r="AB20" i="54"/>
  <c r="AF20" i="54"/>
  <c r="AB21" i="54"/>
  <c r="AF21" i="54"/>
  <c r="AB22" i="54"/>
  <c r="AF22" i="54"/>
  <c r="AB23" i="54"/>
  <c r="AF23" i="54"/>
  <c r="AB24" i="54"/>
  <c r="AF24" i="54"/>
  <c r="AB25" i="54"/>
  <c r="AF25" i="54"/>
  <c r="AB26" i="54"/>
  <c r="AF26" i="54"/>
  <c r="AB27" i="54"/>
  <c r="AF27" i="54"/>
  <c r="AB28" i="54"/>
  <c r="AF28" i="54"/>
  <c r="AB29" i="54"/>
  <c r="AF29" i="54"/>
  <c r="AB30" i="54"/>
  <c r="AF30" i="54"/>
  <c r="AB31" i="54"/>
  <c r="AF31" i="54"/>
  <c r="AB32" i="54"/>
  <c r="AF32" i="54"/>
  <c r="AB33" i="54"/>
  <c r="AF33" i="54"/>
  <c r="AB34" i="54"/>
  <c r="AF34" i="54"/>
  <c r="AB35" i="54"/>
  <c r="AF35" i="54"/>
  <c r="AB36" i="54"/>
  <c r="AF36" i="54"/>
  <c r="AB37" i="54"/>
  <c r="AF37" i="54"/>
  <c r="AB38" i="54"/>
  <c r="AF38" i="54"/>
  <c r="AB39" i="54"/>
  <c r="AF39" i="54"/>
  <c r="AB40" i="54"/>
  <c r="AF40" i="54"/>
  <c r="AB41" i="54"/>
  <c r="AF41" i="54"/>
  <c r="AB42" i="54"/>
  <c r="AF42" i="54"/>
  <c r="AB43" i="54"/>
  <c r="AF43" i="54"/>
  <c r="AB44" i="54"/>
  <c r="AF44" i="54"/>
  <c r="AB45" i="54"/>
  <c r="AF45" i="54"/>
  <c r="AB46" i="54"/>
  <c r="AF46" i="54"/>
  <c r="AB47" i="54"/>
  <c r="AF47" i="54"/>
  <c r="AB48" i="54"/>
  <c r="AF48" i="54"/>
  <c r="AB49" i="54"/>
  <c r="AF49" i="54"/>
  <c r="AB50" i="54"/>
  <c r="AF50" i="54"/>
  <c r="AB51" i="54"/>
  <c r="AF51" i="54"/>
  <c r="AB52" i="54"/>
  <c r="AF52" i="54"/>
  <c r="AB53" i="54"/>
  <c r="AF53" i="54"/>
  <c r="AB54" i="54"/>
  <c r="AF54" i="54"/>
  <c r="AB55" i="54"/>
  <c r="AF55" i="54"/>
  <c r="AB56" i="54"/>
  <c r="AF56" i="54"/>
  <c r="AB57" i="54"/>
  <c r="AF57" i="54"/>
  <c r="AB58" i="54"/>
  <c r="AF58" i="54"/>
  <c r="AB59" i="54"/>
  <c r="AF59" i="54"/>
  <c r="AB60" i="54"/>
  <c r="AF60" i="54"/>
  <c r="AB61" i="54"/>
  <c r="AF61" i="54"/>
  <c r="AB62" i="54"/>
  <c r="AF62" i="54"/>
  <c r="AB63" i="54"/>
  <c r="AF63" i="54"/>
  <c r="AB64" i="54"/>
  <c r="AF64" i="54"/>
  <c r="AB65" i="54"/>
  <c r="AF65" i="54"/>
  <c r="AB66" i="54"/>
  <c r="AF66" i="54"/>
  <c r="AB67" i="54"/>
  <c r="AF67" i="54"/>
  <c r="AB68" i="54"/>
  <c r="AF68" i="54"/>
  <c r="AB69" i="54"/>
  <c r="AF69" i="54"/>
  <c r="AB70" i="54"/>
  <c r="AF70" i="54"/>
  <c r="AB71" i="54"/>
  <c r="AF71" i="54"/>
  <c r="AB72" i="54"/>
  <c r="AF72" i="54"/>
  <c r="AB73" i="54"/>
  <c r="AF73" i="54"/>
  <c r="AB74" i="54"/>
  <c r="AF74" i="54"/>
  <c r="AB75" i="54"/>
  <c r="AF75" i="54"/>
  <c r="AB76" i="54"/>
  <c r="AF76" i="54"/>
  <c r="AB77" i="54"/>
  <c r="AF77" i="54"/>
  <c r="A3" i="53"/>
  <c r="C3" i="53"/>
  <c r="A4" i="53"/>
  <c r="G4" i="53" s="1"/>
  <c r="B4" i="53"/>
  <c r="A5" i="53"/>
  <c r="G5" i="53" s="1"/>
  <c r="B5" i="53"/>
  <c r="A6" i="53"/>
  <c r="G6" i="53" s="1"/>
  <c r="B6" i="53"/>
  <c r="A7" i="53"/>
  <c r="G7" i="53" s="1"/>
  <c r="B7" i="53"/>
  <c r="D7" i="53"/>
  <c r="A8" i="53"/>
  <c r="G8" i="53" s="1"/>
  <c r="B8" i="53"/>
  <c r="D8" i="53"/>
  <c r="A9" i="53"/>
  <c r="G9" i="53" s="1"/>
  <c r="B9" i="53"/>
  <c r="D9" i="53"/>
  <c r="A10" i="53"/>
  <c r="G10" i="53" s="1"/>
  <c r="B10" i="53"/>
  <c r="D10" i="53"/>
  <c r="A11" i="53"/>
  <c r="G11" i="53" s="1"/>
  <c r="B11" i="53"/>
  <c r="D11" i="53"/>
  <c r="A12" i="53"/>
  <c r="G12" i="53" s="1"/>
  <c r="B12" i="53"/>
  <c r="D12" i="53"/>
  <c r="A13" i="53"/>
  <c r="G13" i="53" s="1"/>
  <c r="B13" i="53"/>
  <c r="D13" i="53"/>
  <c r="A14" i="53"/>
  <c r="G14" i="53" s="1"/>
  <c r="B14" i="53"/>
  <c r="D14" i="53"/>
  <c r="A15" i="53"/>
  <c r="G15" i="53" s="1"/>
  <c r="B15" i="53"/>
  <c r="D15" i="53"/>
  <c r="A16" i="53"/>
  <c r="G16" i="53" s="1"/>
  <c r="B16" i="53"/>
  <c r="D16" i="53"/>
  <c r="A17" i="53"/>
  <c r="G17" i="53" s="1"/>
  <c r="B17" i="53"/>
  <c r="D17" i="53"/>
  <c r="A18" i="53"/>
  <c r="G18" i="53" s="1"/>
  <c r="B18" i="53"/>
  <c r="D18" i="53"/>
  <c r="A19" i="53"/>
  <c r="G19" i="53" s="1"/>
  <c r="B19" i="53"/>
  <c r="D19" i="53"/>
  <c r="A20" i="53"/>
  <c r="G20" i="53" s="1"/>
  <c r="B20" i="53"/>
  <c r="D20" i="53"/>
  <c r="A21" i="53"/>
  <c r="G21" i="53" s="1"/>
  <c r="B21" i="53"/>
  <c r="D21" i="53"/>
  <c r="A22" i="53"/>
  <c r="G22" i="53" s="1"/>
  <c r="B22" i="53"/>
  <c r="D22" i="53"/>
  <c r="A23" i="53"/>
  <c r="G23" i="53" s="1"/>
  <c r="B23" i="53"/>
  <c r="D23" i="53"/>
  <c r="A24" i="53"/>
  <c r="G24" i="53" s="1"/>
  <c r="B24" i="53"/>
  <c r="D24" i="53"/>
  <c r="A25" i="53"/>
  <c r="G25" i="53" s="1"/>
  <c r="B25" i="53"/>
  <c r="D25" i="53"/>
  <c r="A26" i="53"/>
  <c r="G26" i="53" s="1"/>
  <c r="B26" i="53"/>
  <c r="D26" i="53"/>
  <c r="A27" i="53"/>
  <c r="G27" i="53" s="1"/>
  <c r="B27" i="53"/>
  <c r="D27" i="53"/>
  <c r="A28" i="53"/>
  <c r="G28" i="53" s="1"/>
  <c r="B28" i="53"/>
  <c r="D28" i="53"/>
  <c r="A29" i="53"/>
  <c r="G29" i="53" s="1"/>
  <c r="B29" i="53"/>
  <c r="D29" i="53"/>
  <c r="A30" i="53"/>
  <c r="G30" i="53" s="1"/>
  <c r="B30" i="53"/>
  <c r="D30" i="53"/>
  <c r="A31" i="53"/>
  <c r="G31" i="53" s="1"/>
  <c r="B31" i="53"/>
  <c r="D31" i="53"/>
  <c r="A32" i="53"/>
  <c r="G32" i="53" s="1"/>
  <c r="B32" i="53"/>
  <c r="D32" i="53"/>
  <c r="A33" i="53"/>
  <c r="G33" i="53" s="1"/>
  <c r="B33" i="53"/>
  <c r="D33" i="53"/>
  <c r="A34" i="53"/>
  <c r="G34" i="53" s="1"/>
  <c r="B34" i="53"/>
  <c r="D34" i="53"/>
  <c r="A35" i="53"/>
  <c r="G35" i="53" s="1"/>
  <c r="B35" i="53"/>
  <c r="D35" i="53"/>
  <c r="A36" i="53"/>
  <c r="G36" i="53" s="1"/>
  <c r="B36" i="53"/>
  <c r="D36" i="53"/>
  <c r="A37" i="53"/>
  <c r="G37" i="53" s="1"/>
  <c r="B37" i="53"/>
  <c r="D37" i="53"/>
  <c r="A38" i="53"/>
  <c r="G38" i="53" s="1"/>
  <c r="B38" i="53"/>
  <c r="D38" i="53"/>
  <c r="A39" i="53"/>
  <c r="G39" i="53" s="1"/>
  <c r="B39" i="53"/>
  <c r="D39" i="53"/>
  <c r="A40" i="53"/>
  <c r="G40" i="53" s="1"/>
  <c r="B40" i="53"/>
  <c r="D40" i="53"/>
  <c r="A41" i="53"/>
  <c r="G41" i="53" s="1"/>
  <c r="B41" i="53"/>
  <c r="D41" i="53"/>
  <c r="A42" i="53"/>
  <c r="G42" i="53" s="1"/>
  <c r="B42" i="53"/>
  <c r="D42" i="53"/>
  <c r="A43" i="53"/>
  <c r="G43" i="53" s="1"/>
  <c r="B43" i="53"/>
  <c r="D43" i="53"/>
  <c r="A44" i="53"/>
  <c r="G44" i="53" s="1"/>
  <c r="B44" i="53"/>
  <c r="D44" i="53"/>
  <c r="A45" i="53"/>
  <c r="G45" i="53" s="1"/>
  <c r="B45" i="53"/>
  <c r="D45" i="53"/>
  <c r="A46" i="53"/>
  <c r="G46" i="53" s="1"/>
  <c r="B46" i="53"/>
  <c r="D46" i="53"/>
  <c r="A47" i="53"/>
  <c r="G47" i="53" s="1"/>
  <c r="B47" i="53"/>
  <c r="D47" i="53"/>
  <c r="A48" i="53"/>
  <c r="G48" i="53" s="1"/>
  <c r="B48" i="53"/>
  <c r="D48" i="53"/>
  <c r="A49" i="53"/>
  <c r="G49" i="53" s="1"/>
  <c r="B49" i="53"/>
  <c r="D49" i="53"/>
  <c r="A50" i="53"/>
  <c r="G50" i="53" s="1"/>
  <c r="B50" i="53"/>
  <c r="D50" i="53"/>
  <c r="A51" i="53"/>
  <c r="G51" i="53" s="1"/>
  <c r="B51" i="53"/>
  <c r="D51" i="53"/>
  <c r="A52" i="53"/>
  <c r="G52" i="53" s="1"/>
  <c r="B52" i="53"/>
  <c r="D52" i="53"/>
  <c r="A53" i="53"/>
  <c r="G53" i="53" s="1"/>
  <c r="B53" i="53"/>
  <c r="D53" i="53"/>
  <c r="A54" i="53"/>
  <c r="G54" i="53" s="1"/>
  <c r="B54" i="53"/>
  <c r="D54" i="53"/>
  <c r="A55" i="53"/>
  <c r="G55" i="53" s="1"/>
  <c r="B55" i="53"/>
  <c r="D55" i="53"/>
  <c r="A56" i="53"/>
  <c r="G56" i="53" s="1"/>
  <c r="B56" i="53"/>
  <c r="D56" i="53"/>
  <c r="A57" i="53"/>
  <c r="G57" i="53" s="1"/>
  <c r="B57" i="53"/>
  <c r="D57" i="53"/>
  <c r="A58" i="53"/>
  <c r="G58" i="53" s="1"/>
  <c r="B58" i="53"/>
  <c r="D58" i="53"/>
  <c r="A59" i="53"/>
  <c r="G59" i="53" s="1"/>
  <c r="B59" i="53"/>
  <c r="D59" i="53"/>
  <c r="A60" i="53"/>
  <c r="G60" i="53" s="1"/>
  <c r="B60" i="53"/>
  <c r="D60" i="53"/>
  <c r="A61" i="53"/>
  <c r="G61" i="53" s="1"/>
  <c r="B61" i="53"/>
  <c r="D61" i="53"/>
  <c r="A62" i="53"/>
  <c r="G62" i="53" s="1"/>
  <c r="B62" i="53"/>
  <c r="D62" i="53"/>
  <c r="A63" i="53"/>
  <c r="G63" i="53" s="1"/>
  <c r="B63" i="53"/>
  <c r="D63" i="53"/>
  <c r="A64" i="53"/>
  <c r="G64" i="53" s="1"/>
  <c r="B64" i="53"/>
  <c r="D64" i="53"/>
  <c r="A65" i="53"/>
  <c r="G65" i="53" s="1"/>
  <c r="B65" i="53"/>
  <c r="D65" i="53"/>
  <c r="A66" i="53"/>
  <c r="G66" i="53" s="1"/>
  <c r="B66" i="53"/>
  <c r="D66" i="53"/>
  <c r="A67" i="53"/>
  <c r="G67" i="53" s="1"/>
  <c r="B67" i="53"/>
  <c r="D67" i="53"/>
  <c r="A68" i="53"/>
  <c r="G68" i="53" s="1"/>
  <c r="B68" i="53"/>
  <c r="D68" i="53"/>
  <c r="A69" i="53"/>
  <c r="G69" i="53" s="1"/>
  <c r="B69" i="53"/>
  <c r="D69" i="53"/>
  <c r="A70" i="53"/>
  <c r="G70" i="53" s="1"/>
  <c r="B70" i="53"/>
  <c r="D70" i="53"/>
  <c r="A71" i="53"/>
  <c r="G71" i="53" s="1"/>
  <c r="B71" i="53"/>
  <c r="D71" i="53"/>
  <c r="A72" i="53"/>
  <c r="G72" i="53" s="1"/>
  <c r="B72" i="53"/>
  <c r="D72" i="53"/>
  <c r="A73" i="53"/>
  <c r="G73" i="53" s="1"/>
  <c r="B73" i="53"/>
  <c r="D73" i="53"/>
  <c r="A74" i="53"/>
  <c r="G74" i="53" s="1"/>
  <c r="B74" i="53"/>
  <c r="D74" i="53"/>
  <c r="A75" i="53"/>
  <c r="G75" i="53" s="1"/>
  <c r="B75" i="53"/>
  <c r="D75" i="53"/>
  <c r="A76" i="53"/>
  <c r="G76" i="53" s="1"/>
  <c r="B76" i="53"/>
  <c r="A77" i="53"/>
  <c r="G77" i="53" s="1"/>
  <c r="B77" i="53"/>
  <c r="A78" i="53"/>
  <c r="G78" i="53" s="1"/>
  <c r="B78" i="53"/>
  <c r="AE63" i="54" l="1"/>
  <c r="AG63" i="54" s="1"/>
  <c r="D63" i="54" s="1"/>
  <c r="AE74" i="54"/>
  <c r="AG74" i="54" s="1"/>
  <c r="D74" i="54" s="1"/>
  <c r="AE50" i="54"/>
  <c r="AG50" i="54" s="1"/>
  <c r="D50" i="54" s="1"/>
  <c r="AE62" i="54"/>
  <c r="AG62" i="54" s="1"/>
  <c r="D62" i="54" s="1"/>
  <c r="AE65" i="54"/>
  <c r="AG65" i="54" s="1"/>
  <c r="D65" i="54" s="1"/>
  <c r="AE66" i="54"/>
  <c r="AG66" i="54" s="1"/>
  <c r="D66" i="54" s="1"/>
  <c r="AE47" i="54"/>
  <c r="AG47" i="54" s="1"/>
  <c r="D47" i="54" s="1"/>
  <c r="AE71" i="54"/>
  <c r="AG71" i="54" s="1"/>
  <c r="D71" i="54" s="1"/>
  <c r="AE69" i="54"/>
  <c r="AG69" i="54" s="1"/>
  <c r="D69" i="54" s="1"/>
  <c r="AE53" i="54"/>
  <c r="AG53" i="54" s="1"/>
  <c r="D53" i="54" s="1"/>
  <c r="AE39" i="54"/>
  <c r="AG39" i="54" s="1"/>
  <c r="D39" i="54" s="1"/>
  <c r="AE42" i="54"/>
  <c r="AG42" i="54" s="1"/>
  <c r="D42" i="54" s="1"/>
  <c r="H2" i="53"/>
  <c r="AE77" i="54"/>
  <c r="AG77" i="54" s="1"/>
  <c r="D77" i="54" s="1"/>
  <c r="AE73" i="54"/>
  <c r="AG73" i="54" s="1"/>
  <c r="D73" i="54" s="1"/>
  <c r="AE70" i="54"/>
  <c r="AG70" i="54" s="1"/>
  <c r="D70" i="54" s="1"/>
  <c r="AE61" i="54"/>
  <c r="AG61" i="54" s="1"/>
  <c r="D61" i="54" s="1"/>
  <c r="AE54" i="54"/>
  <c r="AG54" i="54" s="1"/>
  <c r="D54" i="54" s="1"/>
  <c r="AE57" i="54"/>
  <c r="AG57" i="54" s="1"/>
  <c r="D57" i="54" s="1"/>
  <c r="AE33" i="54"/>
  <c r="AG33" i="54" s="1"/>
  <c r="D33" i="54" s="1"/>
  <c r="AE41" i="54"/>
  <c r="AG41" i="54" s="1"/>
  <c r="D41" i="54" s="1"/>
  <c r="AE38" i="54"/>
  <c r="AG38" i="54" s="1"/>
  <c r="D38" i="54" s="1"/>
  <c r="AE34" i="54"/>
  <c r="AG34" i="54" s="1"/>
  <c r="D34" i="54" s="1"/>
  <c r="AE27" i="54"/>
  <c r="AG27" i="54" s="1"/>
  <c r="D27" i="54" s="1"/>
  <c r="AE58" i="54"/>
  <c r="AG58" i="54" s="1"/>
  <c r="D58" i="54" s="1"/>
  <c r="AE55" i="54"/>
  <c r="AG55" i="54" s="1"/>
  <c r="D55" i="54" s="1"/>
  <c r="AE49" i="54"/>
  <c r="AG49" i="54" s="1"/>
  <c r="D49" i="54" s="1"/>
  <c r="AE46" i="54"/>
  <c r="AG46" i="54" s="1"/>
  <c r="D46" i="54" s="1"/>
  <c r="AE40" i="54"/>
  <c r="AG40" i="54" s="1"/>
  <c r="D40" i="54" s="1"/>
  <c r="AE45" i="54"/>
  <c r="AG45" i="54" s="1"/>
  <c r="D45" i="54" s="1"/>
  <c r="AE37" i="54"/>
  <c r="AG37" i="54" s="1"/>
  <c r="D37" i="54" s="1"/>
  <c r="AE76" i="54"/>
  <c r="AG76" i="54" s="1"/>
  <c r="D76" i="54" s="1"/>
  <c r="AE68" i="54"/>
  <c r="AG68" i="54" s="1"/>
  <c r="D68" i="54" s="1"/>
  <c r="AE60" i="54"/>
  <c r="AG60" i="54" s="1"/>
  <c r="D60" i="54" s="1"/>
  <c r="AE52" i="54"/>
  <c r="AG52" i="54" s="1"/>
  <c r="D52" i="54" s="1"/>
  <c r="AE44" i="54"/>
  <c r="AG44" i="54" s="1"/>
  <c r="D44" i="54" s="1"/>
  <c r="AE36" i="54"/>
  <c r="AG36" i="54" s="1"/>
  <c r="D36" i="54" s="1"/>
  <c r="AE30" i="54"/>
  <c r="AG30" i="54" s="1"/>
  <c r="D30" i="54" s="1"/>
  <c r="AE16" i="54"/>
  <c r="AG16" i="54" s="1"/>
  <c r="D16" i="54" s="1"/>
  <c r="AE75" i="54"/>
  <c r="AG75" i="54" s="1"/>
  <c r="D75" i="54" s="1"/>
  <c r="AE67" i="54"/>
  <c r="AG67" i="54" s="1"/>
  <c r="D67" i="54" s="1"/>
  <c r="AE59" i="54"/>
  <c r="AG59" i="54" s="1"/>
  <c r="D59" i="54" s="1"/>
  <c r="AE51" i="54"/>
  <c r="AG51" i="54" s="1"/>
  <c r="D51" i="54" s="1"/>
  <c r="AE43" i="54"/>
  <c r="AG43" i="54" s="1"/>
  <c r="D43" i="54" s="1"/>
  <c r="AE35" i="54"/>
  <c r="AG35" i="54" s="1"/>
  <c r="D35" i="54" s="1"/>
  <c r="AE72" i="54"/>
  <c r="AG72" i="54" s="1"/>
  <c r="D72" i="54" s="1"/>
  <c r="AE64" i="54"/>
  <c r="AG64" i="54" s="1"/>
  <c r="D64" i="54" s="1"/>
  <c r="AE56" i="54"/>
  <c r="AG56" i="54" s="1"/>
  <c r="D56" i="54" s="1"/>
  <c r="AE48" i="54"/>
  <c r="AG48" i="54" s="1"/>
  <c r="D48" i="54" s="1"/>
  <c r="AE19" i="54"/>
  <c r="AG19" i="54" s="1"/>
  <c r="D19" i="54" s="1"/>
  <c r="AE32" i="54"/>
  <c r="AG32" i="54" s="1"/>
  <c r="D32" i="54" s="1"/>
  <c r="AE29" i="54"/>
  <c r="AG29" i="54" s="1"/>
  <c r="D29" i="54" s="1"/>
  <c r="AE11" i="54"/>
  <c r="AG11" i="54" s="1"/>
  <c r="AE24" i="54"/>
  <c r="AG24" i="54" s="1"/>
  <c r="D24" i="54" s="1"/>
  <c r="AE3" i="54"/>
  <c r="AG3" i="54" s="1"/>
  <c r="AE8" i="54"/>
  <c r="AG8" i="54" s="1"/>
  <c r="D8" i="54" s="1"/>
  <c r="AE17" i="54"/>
  <c r="AG17" i="54" s="1"/>
  <c r="D17" i="54" s="1"/>
  <c r="AE14" i="54"/>
  <c r="AG14" i="54" s="1"/>
  <c r="D14" i="54" s="1"/>
  <c r="AE28" i="54"/>
  <c r="AG28" i="54" s="1"/>
  <c r="D28" i="54" s="1"/>
  <c r="AE25" i="54"/>
  <c r="AG25" i="54" s="1"/>
  <c r="D25" i="54" s="1"/>
  <c r="AE22" i="54"/>
  <c r="AG22" i="54" s="1"/>
  <c r="D22" i="54" s="1"/>
  <c r="AE21" i="54"/>
  <c r="AG21" i="54" s="1"/>
  <c r="D21" i="54" s="1"/>
  <c r="AE13" i="54"/>
  <c r="AG13" i="54" s="1"/>
  <c r="D13" i="54" s="1"/>
  <c r="AE10" i="54"/>
  <c r="AG10" i="54" s="1"/>
  <c r="D10" i="54" s="1"/>
  <c r="AE26" i="54"/>
  <c r="AG26" i="54" s="1"/>
  <c r="D26" i="54" s="1"/>
  <c r="AE18" i="54"/>
  <c r="AG18" i="54" s="1"/>
  <c r="D18" i="54" s="1"/>
  <c r="AE7" i="54"/>
  <c r="AG7" i="54" s="1"/>
  <c r="D7" i="54" s="1"/>
  <c r="AE31" i="54"/>
  <c r="AG31" i="54" s="1"/>
  <c r="D31" i="54" s="1"/>
  <c r="AE23" i="54"/>
  <c r="AG23" i="54" s="1"/>
  <c r="AE15" i="54"/>
  <c r="AG15" i="54" s="1"/>
  <c r="D15" i="54" s="1"/>
  <c r="AE20" i="54"/>
  <c r="AG20" i="54" s="1"/>
  <c r="D20" i="54" s="1"/>
  <c r="AE9" i="54"/>
  <c r="AG9" i="54" s="1"/>
  <c r="D9" i="54" s="1"/>
  <c r="AE5" i="54"/>
  <c r="AG5" i="54" s="1"/>
  <c r="D5" i="54" s="1"/>
  <c r="AE6" i="54"/>
  <c r="AG6" i="54" s="1"/>
  <c r="AE4" i="54"/>
  <c r="AG4" i="54" s="1"/>
  <c r="D4" i="54" s="1"/>
  <c r="AE12" i="54"/>
  <c r="AG12" i="54" s="1"/>
  <c r="E2" i="53"/>
  <c r="F2" i="53"/>
  <c r="G2" i="53"/>
  <c r="A3" i="52"/>
  <c r="C3" i="52"/>
  <c r="A4" i="52"/>
  <c r="G4" i="52" s="1"/>
  <c r="C4" i="52"/>
  <c r="A5" i="52"/>
  <c r="G5" i="52" s="1"/>
  <c r="C5" i="52"/>
  <c r="A6" i="52"/>
  <c r="G6" i="52" s="1"/>
  <c r="C6" i="52"/>
  <c r="A7" i="52"/>
  <c r="G7" i="52" s="1"/>
  <c r="C7" i="52"/>
  <c r="A8" i="52"/>
  <c r="G8" i="52" s="1"/>
  <c r="C8" i="52"/>
  <c r="A9" i="52"/>
  <c r="G9" i="52" s="1"/>
  <c r="C9" i="52"/>
  <c r="A10" i="52"/>
  <c r="G10" i="52" s="1"/>
  <c r="C10" i="52"/>
  <c r="A11" i="52"/>
  <c r="G11" i="52" s="1"/>
  <c r="C11" i="52"/>
  <c r="A12" i="52"/>
  <c r="G12" i="52" s="1"/>
  <c r="C12" i="52"/>
  <c r="A13" i="52"/>
  <c r="G13" i="52" s="1"/>
  <c r="C13" i="52"/>
  <c r="A14" i="52"/>
  <c r="G14" i="52" s="1"/>
  <c r="C14" i="52"/>
  <c r="A15" i="52"/>
  <c r="G15" i="52" s="1"/>
  <c r="C15" i="52"/>
  <c r="A16" i="52"/>
  <c r="G16" i="52" s="1"/>
  <c r="C16" i="52"/>
  <c r="A17" i="52"/>
  <c r="G17" i="52" s="1"/>
  <c r="C17" i="52"/>
  <c r="A18" i="52"/>
  <c r="G18" i="52" s="1"/>
  <c r="C18" i="52"/>
  <c r="A19" i="52"/>
  <c r="G19" i="52" s="1"/>
  <c r="C19" i="52"/>
  <c r="A20" i="52"/>
  <c r="G20" i="52" s="1"/>
  <c r="C20" i="52"/>
  <c r="A21" i="52"/>
  <c r="G21" i="52" s="1"/>
  <c r="C21" i="52"/>
  <c r="A22" i="52"/>
  <c r="G22" i="52" s="1"/>
  <c r="C22" i="52"/>
  <c r="A23" i="52"/>
  <c r="G23" i="52" s="1"/>
  <c r="C23" i="52"/>
  <c r="A24" i="52"/>
  <c r="G24" i="52" s="1"/>
  <c r="C24" i="52"/>
  <c r="A25" i="52"/>
  <c r="G25" i="52" s="1"/>
  <c r="C25" i="52"/>
  <c r="A26" i="52"/>
  <c r="G26" i="52" s="1"/>
  <c r="C26" i="52"/>
  <c r="A27" i="52"/>
  <c r="G27" i="52" s="1"/>
  <c r="C27" i="52"/>
  <c r="A28" i="52"/>
  <c r="G28" i="52" s="1"/>
  <c r="C28" i="52"/>
  <c r="A29" i="52"/>
  <c r="G29" i="52" s="1"/>
  <c r="C29" i="52"/>
  <c r="A30" i="52"/>
  <c r="G30" i="52" s="1"/>
  <c r="C30" i="52"/>
  <c r="A31" i="52"/>
  <c r="G31" i="52" s="1"/>
  <c r="C31" i="52"/>
  <c r="A32" i="52"/>
  <c r="G32" i="52" s="1"/>
  <c r="C32" i="52"/>
  <c r="A33" i="52"/>
  <c r="G33" i="52" s="1"/>
  <c r="C33" i="52"/>
  <c r="A34" i="52"/>
  <c r="G34" i="52" s="1"/>
  <c r="C34" i="52"/>
  <c r="A35" i="52"/>
  <c r="G35" i="52" s="1"/>
  <c r="C35" i="52"/>
  <c r="A36" i="52"/>
  <c r="G36" i="52" s="1"/>
  <c r="C36" i="52"/>
  <c r="A37" i="52"/>
  <c r="G37" i="52" s="1"/>
  <c r="C37" i="52"/>
  <c r="A38" i="52"/>
  <c r="G38" i="52" s="1"/>
  <c r="C38" i="52"/>
  <c r="A39" i="52"/>
  <c r="G39" i="52" s="1"/>
  <c r="C39" i="52"/>
  <c r="A40" i="52"/>
  <c r="G40" i="52" s="1"/>
  <c r="C40" i="52"/>
  <c r="A41" i="52"/>
  <c r="G41" i="52" s="1"/>
  <c r="C41" i="52"/>
  <c r="A42" i="52"/>
  <c r="G42" i="52" s="1"/>
  <c r="C42" i="52"/>
  <c r="A43" i="52"/>
  <c r="G43" i="52" s="1"/>
  <c r="C43" i="52"/>
  <c r="A44" i="52"/>
  <c r="G44" i="52" s="1"/>
  <c r="C44" i="52"/>
  <c r="A45" i="52"/>
  <c r="G45" i="52" s="1"/>
  <c r="C45" i="52"/>
  <c r="A46" i="52"/>
  <c r="G46" i="52" s="1"/>
  <c r="C46" i="52"/>
  <c r="A47" i="52"/>
  <c r="G47" i="52" s="1"/>
  <c r="C47" i="52"/>
  <c r="A48" i="52"/>
  <c r="G48" i="52" s="1"/>
  <c r="C48" i="52"/>
  <c r="A49" i="52"/>
  <c r="G49" i="52" s="1"/>
  <c r="C49" i="52"/>
  <c r="A50" i="52"/>
  <c r="G50" i="52" s="1"/>
  <c r="C50" i="52"/>
  <c r="A51" i="52"/>
  <c r="G51" i="52" s="1"/>
  <c r="C51" i="52"/>
  <c r="A52" i="52"/>
  <c r="G52" i="52" s="1"/>
  <c r="C52" i="52"/>
  <c r="A53" i="52"/>
  <c r="G53" i="52" s="1"/>
  <c r="C53" i="52"/>
  <c r="A54" i="52"/>
  <c r="G54" i="52" s="1"/>
  <c r="C54" i="52"/>
  <c r="A55" i="52"/>
  <c r="G55" i="52" s="1"/>
  <c r="C55" i="52"/>
  <c r="A56" i="52"/>
  <c r="G56" i="52" s="1"/>
  <c r="C56" i="52"/>
  <c r="A57" i="52"/>
  <c r="G57" i="52" s="1"/>
  <c r="C57" i="52"/>
  <c r="A58" i="52"/>
  <c r="G58" i="52" s="1"/>
  <c r="C58" i="52"/>
  <c r="A59" i="52"/>
  <c r="G59" i="52" s="1"/>
  <c r="C59" i="52"/>
  <c r="A60" i="52"/>
  <c r="G60" i="52" s="1"/>
  <c r="C60" i="52"/>
  <c r="A61" i="52"/>
  <c r="G61" i="52" s="1"/>
  <c r="C61" i="52"/>
  <c r="A62" i="52"/>
  <c r="G62" i="52" s="1"/>
  <c r="C62" i="52"/>
  <c r="A63" i="52"/>
  <c r="G63" i="52" s="1"/>
  <c r="C63" i="52"/>
  <c r="A64" i="52"/>
  <c r="G64" i="52" s="1"/>
  <c r="C64" i="52"/>
  <c r="A65" i="52"/>
  <c r="G65" i="52" s="1"/>
  <c r="C65" i="52"/>
  <c r="A66" i="52"/>
  <c r="G66" i="52" s="1"/>
  <c r="C66" i="52"/>
  <c r="A67" i="52"/>
  <c r="G67" i="52" s="1"/>
  <c r="C67" i="52"/>
  <c r="A68" i="52"/>
  <c r="G68" i="52" s="1"/>
  <c r="C68" i="52"/>
  <c r="A69" i="52"/>
  <c r="G69" i="52" s="1"/>
  <c r="C69" i="52"/>
  <c r="A70" i="52"/>
  <c r="G70" i="52" s="1"/>
  <c r="C70" i="52"/>
  <c r="A71" i="52"/>
  <c r="G71" i="52" s="1"/>
  <c r="C71" i="52"/>
  <c r="A72" i="52"/>
  <c r="G72" i="52" s="1"/>
  <c r="C72" i="52"/>
  <c r="A73" i="52"/>
  <c r="G73" i="52" s="1"/>
  <c r="C73" i="52"/>
  <c r="A74" i="52"/>
  <c r="G74" i="52" s="1"/>
  <c r="C74" i="52"/>
  <c r="A75" i="52"/>
  <c r="G75" i="52" s="1"/>
  <c r="C75" i="52"/>
  <c r="A76" i="52"/>
  <c r="G76" i="52" s="1"/>
  <c r="C76" i="52"/>
  <c r="A77" i="52"/>
  <c r="G77" i="52" s="1"/>
  <c r="C77" i="52"/>
  <c r="A78" i="52"/>
  <c r="G78" i="52" s="1"/>
  <c r="C78" i="52"/>
  <c r="D68" i="52" l="1"/>
  <c r="D76" i="52"/>
  <c r="D60" i="52"/>
  <c r="D52" i="52"/>
  <c r="D44" i="52"/>
  <c r="D62" i="52"/>
  <c r="D46" i="52"/>
  <c r="D64" i="52"/>
  <c r="D61" i="52"/>
  <c r="D56" i="52"/>
  <c r="D41" i="52"/>
  <c r="D59" i="52"/>
  <c r="D55" i="52"/>
  <c r="D74" i="52"/>
  <c r="D70" i="52"/>
  <c r="D66" i="52"/>
  <c r="D51" i="52"/>
  <c r="D47" i="52"/>
  <c r="D40" i="52"/>
  <c r="D32" i="52"/>
  <c r="D24" i="52"/>
  <c r="D16" i="52"/>
  <c r="D72" i="52"/>
  <c r="D58" i="52"/>
  <c r="D75" i="52"/>
  <c r="D69" i="52"/>
  <c r="D54" i="52"/>
  <c r="D50" i="52"/>
  <c r="D53" i="52"/>
  <c r="D48" i="52"/>
  <c r="D71" i="52"/>
  <c r="D42" i="52"/>
  <c r="D67" i="52"/>
  <c r="D63" i="52"/>
  <c r="D39" i="52"/>
  <c r="D65" i="52"/>
  <c r="D57" i="52"/>
  <c r="D49" i="52"/>
  <c r="D28" i="52"/>
  <c r="D12" i="52"/>
  <c r="D43" i="52"/>
  <c r="D37" i="52"/>
  <c r="D35" i="52"/>
  <c r="D31" i="52"/>
  <c r="D27" i="52"/>
  <c r="D23" i="52"/>
  <c r="D19" i="52"/>
  <c r="D15" i="52"/>
  <c r="D11" i="52"/>
  <c r="D73" i="52"/>
  <c r="D45" i="52"/>
  <c r="D34" i="52"/>
  <c r="D30" i="52"/>
  <c r="D26" i="52"/>
  <c r="D22" i="52"/>
  <c r="D18" i="52"/>
  <c r="D14" i="52"/>
  <c r="D36" i="52"/>
  <c r="D20" i="52"/>
  <c r="D38" i="52"/>
  <c r="D33" i="52"/>
  <c r="D29" i="52"/>
  <c r="D25" i="52"/>
  <c r="D21" i="52"/>
  <c r="D17" i="52"/>
  <c r="D13" i="52"/>
  <c r="B23" i="54"/>
  <c r="B11" i="54"/>
  <c r="B68" i="54"/>
  <c r="B53" i="54"/>
  <c r="D11" i="54"/>
  <c r="B43" i="54"/>
  <c r="B33" i="54"/>
  <c r="B44" i="54"/>
  <c r="B22" i="54"/>
  <c r="B28" i="54"/>
  <c r="B72" i="54"/>
  <c r="D23" i="54"/>
  <c r="B47" i="54"/>
  <c r="B49" i="54"/>
  <c r="B15" i="54"/>
  <c r="B38" i="54"/>
  <c r="B55" i="54"/>
  <c r="B37" i="54"/>
  <c r="B61" i="54"/>
  <c r="B17" i="54"/>
  <c r="B42" i="54"/>
  <c r="B10" i="54"/>
  <c r="B21" i="54"/>
  <c r="B19" i="54"/>
  <c r="B59" i="54"/>
  <c r="B7" i="54"/>
  <c r="B36" i="54"/>
  <c r="B65" i="54"/>
  <c r="D6" i="54"/>
  <c r="B74" i="54"/>
  <c r="B32" i="54"/>
  <c r="B14" i="54"/>
  <c r="B75" i="54"/>
  <c r="B24" i="54"/>
  <c r="B54" i="54"/>
  <c r="B18" i="54"/>
  <c r="B67" i="54"/>
  <c r="B12" i="54"/>
  <c r="B77" i="54"/>
  <c r="B76" i="54"/>
  <c r="B27" i="54"/>
  <c r="B16" i="54"/>
  <c r="B9" i="54"/>
  <c r="B3" i="54"/>
  <c r="B57" i="54"/>
  <c r="B71" i="54"/>
  <c r="B39" i="54"/>
  <c r="B45" i="54"/>
  <c r="B48" i="54"/>
  <c r="B69" i="54"/>
  <c r="B4" i="54"/>
  <c r="B52" i="54"/>
  <c r="B40" i="54"/>
  <c r="B5" i="54"/>
  <c r="B70" i="54"/>
  <c r="B46" i="54"/>
  <c r="B13" i="54"/>
  <c r="B34" i="54"/>
  <c r="B31" i="54"/>
  <c r="B35" i="54"/>
  <c r="B60" i="54"/>
  <c r="B66" i="54"/>
  <c r="B25" i="54"/>
  <c r="B50" i="54"/>
  <c r="B8" i="54"/>
  <c r="C44" i="54"/>
  <c r="B51" i="54"/>
  <c r="B64" i="54"/>
  <c r="B63" i="54"/>
  <c r="D12" i="54"/>
  <c r="B56" i="54"/>
  <c r="B62" i="54"/>
  <c r="B29" i="54"/>
  <c r="B73" i="54"/>
  <c r="B30" i="54"/>
  <c r="B6" i="54"/>
  <c r="D3" i="54"/>
  <c r="B58" i="54"/>
  <c r="B26" i="54"/>
  <c r="C52" i="54"/>
  <c r="C16" i="54"/>
  <c r="C42" i="54"/>
  <c r="C37" i="54"/>
  <c r="C63" i="54"/>
  <c r="C43" i="54"/>
  <c r="C20" i="54"/>
  <c r="C60" i="54"/>
  <c r="C62" i="54"/>
  <c r="C55" i="54"/>
  <c r="C64" i="54"/>
  <c r="C65" i="54"/>
  <c r="C11" i="54"/>
  <c r="C26" i="54"/>
  <c r="C35" i="54"/>
  <c r="C68" i="54"/>
  <c r="C29" i="54"/>
  <c r="C72" i="54"/>
  <c r="C34" i="54"/>
  <c r="C69" i="54"/>
  <c r="C54" i="54"/>
  <c r="C47" i="54"/>
  <c r="C56" i="54"/>
  <c r="C57" i="54"/>
  <c r="C5" i="54"/>
  <c r="C18" i="54"/>
  <c r="C27" i="54"/>
  <c r="C71" i="54"/>
  <c r="C70" i="54"/>
  <c r="C73" i="54"/>
  <c r="C15" i="54"/>
  <c r="B41" i="54"/>
  <c r="C8" i="54"/>
  <c r="C45" i="54"/>
  <c r="C76" i="54"/>
  <c r="C46" i="54"/>
  <c r="C39" i="54"/>
  <c r="C48" i="54"/>
  <c r="C49" i="54"/>
  <c r="C74" i="54"/>
  <c r="C10" i="54"/>
  <c r="C19" i="54"/>
  <c r="E8" i="53"/>
  <c r="E14" i="53"/>
  <c r="E22" i="53"/>
  <c r="E30" i="53"/>
  <c r="E38" i="53"/>
  <c r="E46" i="53"/>
  <c r="E54" i="53"/>
  <c r="E9" i="53"/>
  <c r="E13" i="53"/>
  <c r="E21" i="53"/>
  <c r="E29" i="53"/>
  <c r="E37" i="53"/>
  <c r="E45" i="53"/>
  <c r="E53" i="53"/>
  <c r="E10" i="53"/>
  <c r="E12" i="53"/>
  <c r="E20" i="53"/>
  <c r="E28" i="53"/>
  <c r="E36" i="53"/>
  <c r="E44" i="53"/>
  <c r="E52" i="53"/>
  <c r="E11" i="53"/>
  <c r="E19" i="53"/>
  <c r="E27" i="53"/>
  <c r="E35" i="53"/>
  <c r="E18" i="53"/>
  <c r="E17" i="53"/>
  <c r="E16" i="53"/>
  <c r="E50" i="53"/>
  <c r="E61" i="53"/>
  <c r="E69" i="53"/>
  <c r="E76" i="53"/>
  <c r="E58" i="53"/>
  <c r="E74" i="53"/>
  <c r="E15" i="53"/>
  <c r="E34" i="53"/>
  <c r="E57" i="53"/>
  <c r="E73" i="53"/>
  <c r="E4" i="53"/>
  <c r="E6" i="53"/>
  <c r="E24" i="53"/>
  <c r="E32" i="53"/>
  <c r="E40" i="53"/>
  <c r="E47" i="53"/>
  <c r="E60" i="53"/>
  <c r="E68" i="53"/>
  <c r="E78" i="53"/>
  <c r="E49" i="53"/>
  <c r="E59" i="53"/>
  <c r="E67" i="53"/>
  <c r="E75" i="53"/>
  <c r="E26" i="53"/>
  <c r="E42" i="53"/>
  <c r="E65" i="53"/>
  <c r="E70" i="53"/>
  <c r="E43" i="53"/>
  <c r="E66" i="53"/>
  <c r="E62" i="53"/>
  <c r="E5" i="53"/>
  <c r="E23" i="53"/>
  <c r="E31" i="53"/>
  <c r="E39" i="53"/>
  <c r="E48" i="53"/>
  <c r="E56" i="53"/>
  <c r="E64" i="53"/>
  <c r="E72" i="53"/>
  <c r="E33" i="53"/>
  <c r="E41" i="53"/>
  <c r="E55" i="53"/>
  <c r="E63" i="53"/>
  <c r="E7" i="53"/>
  <c r="E25" i="53"/>
  <c r="E71" i="53"/>
  <c r="E77" i="53"/>
  <c r="E51" i="53"/>
  <c r="C17" i="54"/>
  <c r="C13" i="54"/>
  <c r="C28" i="54"/>
  <c r="C53" i="54"/>
  <c r="C38" i="54"/>
  <c r="C31" i="54"/>
  <c r="C40" i="54"/>
  <c r="C41" i="54"/>
  <c r="C66" i="54"/>
  <c r="C75" i="54"/>
  <c r="C12" i="54"/>
  <c r="B20" i="54"/>
  <c r="C7" i="54"/>
  <c r="C3" i="54"/>
  <c r="C36" i="54"/>
  <c r="C30" i="54"/>
  <c r="C23" i="54"/>
  <c r="C32" i="54"/>
  <c r="C33" i="54"/>
  <c r="C58" i="54"/>
  <c r="C67" i="54"/>
  <c r="C9" i="54"/>
  <c r="C6" i="54"/>
  <c r="C51" i="54"/>
  <c r="C77" i="54"/>
  <c r="C61" i="54"/>
  <c r="C21" i="54"/>
  <c r="C22" i="54"/>
  <c r="C14" i="54"/>
  <c r="C24" i="54"/>
  <c r="C25" i="54"/>
  <c r="C50" i="54"/>
  <c r="C59" i="54"/>
  <c r="C4" i="54"/>
  <c r="D7" i="52"/>
  <c r="D6" i="52"/>
  <c r="D10" i="52"/>
  <c r="D9" i="52"/>
  <c r="D8" i="52"/>
  <c r="Q7" i="54" l="1"/>
  <c r="Q4" i="54"/>
  <c r="Q3" i="54"/>
  <c r="Q5" i="54"/>
  <c r="Q2" i="54"/>
  <c r="O2" i="54"/>
  <c r="F77" i="53"/>
  <c r="F72" i="53"/>
  <c r="F62" i="53"/>
  <c r="F67" i="53"/>
  <c r="F32" i="53"/>
  <c r="F74" i="53"/>
  <c r="F18" i="53"/>
  <c r="F28" i="53"/>
  <c r="F21" i="53"/>
  <c r="F14" i="53"/>
  <c r="P3" i="54"/>
  <c r="P7" i="54"/>
  <c r="P2" i="54"/>
  <c r="P4" i="54"/>
  <c r="P5" i="54"/>
  <c r="F71" i="53"/>
  <c r="F64" i="53"/>
  <c r="F66" i="53"/>
  <c r="F59" i="53"/>
  <c r="F24" i="53"/>
  <c r="F58" i="53"/>
  <c r="F35" i="53"/>
  <c r="F20" i="53"/>
  <c r="F13" i="53"/>
  <c r="F8" i="53"/>
  <c r="O3" i="54"/>
  <c r="F41" i="53"/>
  <c r="F23" i="53"/>
  <c r="F26" i="53"/>
  <c r="F47" i="53"/>
  <c r="F16" i="53"/>
  <c r="F44" i="53"/>
  <c r="F37" i="53"/>
  <c r="F30" i="53"/>
  <c r="F51" i="53"/>
  <c r="F5" i="53"/>
  <c r="F40" i="53"/>
  <c r="F15" i="53"/>
  <c r="F17" i="53"/>
  <c r="F29" i="53"/>
  <c r="F22" i="53"/>
  <c r="F25" i="53"/>
  <c r="F56" i="53"/>
  <c r="F43" i="53"/>
  <c r="F49" i="53"/>
  <c r="F6" i="53"/>
  <c r="F76" i="53"/>
  <c r="F27" i="53"/>
  <c r="F12" i="53"/>
  <c r="F9" i="53"/>
  <c r="O7" i="54"/>
  <c r="F34" i="53"/>
  <c r="F7" i="53"/>
  <c r="F48" i="53"/>
  <c r="F70" i="53"/>
  <c r="F78" i="53"/>
  <c r="F4" i="53"/>
  <c r="F69" i="53"/>
  <c r="F19" i="53"/>
  <c r="F10" i="53"/>
  <c r="F54" i="53"/>
  <c r="O5" i="54"/>
  <c r="F33" i="53"/>
  <c r="F75" i="53"/>
  <c r="F36" i="53"/>
  <c r="F63" i="53"/>
  <c r="F39" i="53"/>
  <c r="F65" i="53"/>
  <c r="F68" i="53"/>
  <c r="F73" i="53"/>
  <c r="F61" i="53"/>
  <c r="F11" i="53"/>
  <c r="F53" i="53"/>
  <c r="F46" i="53"/>
  <c r="O4" i="54"/>
  <c r="F55" i="53"/>
  <c r="F31" i="53"/>
  <c r="F42" i="53"/>
  <c r="F60" i="53"/>
  <c r="F57" i="53"/>
  <c r="F50" i="53"/>
  <c r="F52" i="53"/>
  <c r="F45" i="53"/>
  <c r="F38" i="53"/>
  <c r="E2" i="52"/>
  <c r="F2" i="52"/>
  <c r="G2" i="52"/>
  <c r="H2" i="52"/>
  <c r="O9" i="54" l="1"/>
  <c r="K8" i="53"/>
  <c r="Q8" i="54"/>
  <c r="Q6" i="54"/>
  <c r="Q10" i="54" s="1"/>
  <c r="O8" i="54"/>
  <c r="Q9" i="54"/>
  <c r="P9" i="54"/>
  <c r="O6" i="54"/>
  <c r="K3" i="53"/>
  <c r="K6" i="53"/>
  <c r="K7" i="53"/>
  <c r="K4" i="53"/>
  <c r="K9" i="53"/>
  <c r="P8" i="54"/>
  <c r="K5" i="53"/>
  <c r="P6" i="54"/>
  <c r="P10" i="54" s="1"/>
  <c r="E7" i="52"/>
  <c r="E6" i="52"/>
  <c r="E8" i="52"/>
  <c r="E78" i="52"/>
  <c r="E4" i="52"/>
  <c r="E77" i="52"/>
  <c r="E5" i="52"/>
  <c r="E9" i="52"/>
  <c r="E10" i="52"/>
  <c r="E11" i="52"/>
  <c r="E12" i="52"/>
  <c r="E13" i="52"/>
  <c r="E14" i="52"/>
  <c r="E15" i="52"/>
  <c r="E16" i="52"/>
  <c r="E17" i="52"/>
  <c r="E18" i="52"/>
  <c r="E19" i="52"/>
  <c r="E20" i="52"/>
  <c r="E21" i="52"/>
  <c r="E22" i="52"/>
  <c r="E23" i="52"/>
  <c r="E24" i="52"/>
  <c r="E25" i="52"/>
  <c r="E26" i="52"/>
  <c r="E27" i="52"/>
  <c r="E28" i="52"/>
  <c r="E29" i="52"/>
  <c r="E30" i="52"/>
  <c r="E31" i="52"/>
  <c r="E32" i="52"/>
  <c r="E33" i="52"/>
  <c r="E34" i="52"/>
  <c r="E35" i="52"/>
  <c r="E36" i="52"/>
  <c r="E37" i="52"/>
  <c r="E38" i="52"/>
  <c r="E39" i="52"/>
  <c r="E40" i="52"/>
  <c r="E41" i="52"/>
  <c r="E42" i="52"/>
  <c r="E43" i="52"/>
  <c r="E44" i="52"/>
  <c r="E45" i="52"/>
  <c r="E46" i="52"/>
  <c r="E47" i="52"/>
  <c r="E48" i="52"/>
  <c r="E49" i="52"/>
  <c r="E50" i="52"/>
  <c r="E51" i="52"/>
  <c r="E52" i="52"/>
  <c r="E53" i="52"/>
  <c r="E54" i="52"/>
  <c r="E55" i="52"/>
  <c r="E56" i="52"/>
  <c r="E57" i="52"/>
  <c r="E58" i="52"/>
  <c r="E59" i="52"/>
  <c r="E60" i="52"/>
  <c r="E61" i="52"/>
  <c r="E62" i="52"/>
  <c r="E63" i="52"/>
  <c r="E64" i="52"/>
  <c r="E65" i="52"/>
  <c r="E66" i="52"/>
  <c r="E67" i="52"/>
  <c r="E68" i="52"/>
  <c r="E69" i="52"/>
  <c r="E70" i="52"/>
  <c r="E71" i="52"/>
  <c r="E72" i="52"/>
  <c r="E73" i="52"/>
  <c r="E74" i="52"/>
  <c r="E75" i="52"/>
  <c r="E76" i="52"/>
  <c r="K10" i="53" l="1"/>
  <c r="L8" i="53" s="1"/>
  <c r="O10" i="54"/>
  <c r="Y2" i="54"/>
  <c r="Y3" i="54" s="1"/>
  <c r="F73" i="52"/>
  <c r="F65" i="52"/>
  <c r="F57" i="52"/>
  <c r="F49" i="52"/>
  <c r="F41" i="52"/>
  <c r="F33" i="52"/>
  <c r="F25" i="52"/>
  <c r="F17" i="52"/>
  <c r="F9" i="52"/>
  <c r="F72" i="52"/>
  <c r="F64" i="52"/>
  <c r="F56" i="52"/>
  <c r="F48" i="52"/>
  <c r="F40" i="52"/>
  <c r="F32" i="52"/>
  <c r="F24" i="52"/>
  <c r="F16" i="52"/>
  <c r="F5" i="52"/>
  <c r="F71" i="52"/>
  <c r="F63" i="52"/>
  <c r="F55" i="52"/>
  <c r="F47" i="52"/>
  <c r="F39" i="52"/>
  <c r="F31" i="52"/>
  <c r="F23" i="52"/>
  <c r="F15" i="52"/>
  <c r="F77" i="52"/>
  <c r="F70" i="52"/>
  <c r="F62" i="52"/>
  <c r="F54" i="52"/>
  <c r="F46" i="52"/>
  <c r="F38" i="52"/>
  <c r="F30" i="52"/>
  <c r="F22" i="52"/>
  <c r="F14" i="52"/>
  <c r="F4" i="52"/>
  <c r="F69" i="52"/>
  <c r="F61" i="52"/>
  <c r="F53" i="52"/>
  <c r="F45" i="52"/>
  <c r="F37" i="52"/>
  <c r="F29" i="52"/>
  <c r="F21" i="52"/>
  <c r="F13" i="52"/>
  <c r="F78" i="52"/>
  <c r="F76" i="52"/>
  <c r="F68" i="52"/>
  <c r="F60" i="52"/>
  <c r="F52" i="52"/>
  <c r="F44" i="52"/>
  <c r="F36" i="52"/>
  <c r="F28" i="52"/>
  <c r="F20" i="52"/>
  <c r="F12" i="52"/>
  <c r="F8" i="52"/>
  <c r="F75" i="52"/>
  <c r="F67" i="52"/>
  <c r="F59" i="52"/>
  <c r="F51" i="52"/>
  <c r="F43" i="52"/>
  <c r="F35" i="52"/>
  <c r="F27" i="52"/>
  <c r="F19" i="52"/>
  <c r="F11" i="52"/>
  <c r="F6" i="52"/>
  <c r="F74" i="52"/>
  <c r="F66" i="52"/>
  <c r="F58" i="52"/>
  <c r="F50" i="52"/>
  <c r="F42" i="52"/>
  <c r="F34" i="52"/>
  <c r="F26" i="52"/>
  <c r="F18" i="52"/>
  <c r="F10" i="52"/>
  <c r="F7" i="52"/>
  <c r="K6" i="52" l="1"/>
  <c r="L6" i="53"/>
  <c r="L5" i="53"/>
  <c r="H16" i="53"/>
  <c r="H9" i="53"/>
  <c r="H51" i="53"/>
  <c r="H65" i="53"/>
  <c r="H44" i="53"/>
  <c r="H72" i="53"/>
  <c r="H23" i="53"/>
  <c r="H58" i="53"/>
  <c r="H37" i="53"/>
  <c r="H30" i="53"/>
  <c r="L3" i="53"/>
  <c r="L4" i="53"/>
  <c r="L7" i="53"/>
  <c r="Y4" i="54"/>
  <c r="G2" i="54" s="1"/>
  <c r="Y5" i="54"/>
  <c r="Y6" i="54" s="1"/>
  <c r="L9" i="53"/>
  <c r="K3" i="52"/>
  <c r="K7" i="52"/>
  <c r="K4" i="52"/>
  <c r="K5" i="52"/>
  <c r="H2" i="54" l="1"/>
  <c r="F2" i="54" s="1"/>
  <c r="H19" i="53"/>
  <c r="H47" i="53"/>
  <c r="H5" i="53"/>
  <c r="H75" i="53"/>
  <c r="H33" i="53"/>
  <c r="H68" i="53"/>
  <c r="H61" i="53"/>
  <c r="H26" i="53"/>
  <c r="H40" i="53"/>
  <c r="H54" i="53"/>
  <c r="H12" i="53"/>
  <c r="H57" i="53"/>
  <c r="H71" i="53"/>
  <c r="H78" i="53"/>
  <c r="H50" i="53"/>
  <c r="H15" i="53"/>
  <c r="H29" i="53"/>
  <c r="H64" i="53"/>
  <c r="H43" i="53"/>
  <c r="H36" i="53"/>
  <c r="H8" i="53"/>
  <c r="H22" i="53"/>
  <c r="L10" i="53"/>
  <c r="H67" i="53"/>
  <c r="H39" i="53"/>
  <c r="H32" i="53"/>
  <c r="H11" i="53"/>
  <c r="H18" i="53"/>
  <c r="H53" i="53"/>
  <c r="H60" i="53"/>
  <c r="H74" i="53"/>
  <c r="H4" i="53"/>
  <c r="H46" i="53"/>
  <c r="H25" i="53"/>
  <c r="H41" i="53"/>
  <c r="H55" i="53"/>
  <c r="H20" i="53"/>
  <c r="H76" i="53"/>
  <c r="H34" i="53"/>
  <c r="H6" i="53"/>
  <c r="H13" i="53"/>
  <c r="H62" i="53"/>
  <c r="H48" i="53"/>
  <c r="H27" i="53"/>
  <c r="H69" i="53"/>
  <c r="H17" i="53"/>
  <c r="H59" i="53"/>
  <c r="H38" i="53"/>
  <c r="H24" i="53"/>
  <c r="H73" i="53"/>
  <c r="H66" i="53"/>
  <c r="H45" i="53"/>
  <c r="H10" i="53"/>
  <c r="H31" i="53"/>
  <c r="H52" i="53"/>
  <c r="H28" i="53"/>
  <c r="H35" i="53"/>
  <c r="H77" i="53"/>
  <c r="H56" i="53"/>
  <c r="H70" i="53"/>
  <c r="H63" i="53"/>
  <c r="H21" i="53"/>
  <c r="H14" i="53"/>
  <c r="H42" i="53"/>
  <c r="H49" i="53"/>
  <c r="H7" i="53"/>
  <c r="K8" i="52"/>
  <c r="L6" i="52" s="1"/>
  <c r="L3" i="52" l="1"/>
  <c r="H24" i="52" s="1"/>
  <c r="G3" i="54"/>
  <c r="I2" i="54"/>
  <c r="H9" i="52"/>
  <c r="H69" i="52"/>
  <c r="H54" i="52"/>
  <c r="H29" i="52"/>
  <c r="H64" i="52"/>
  <c r="H39" i="52"/>
  <c r="H19" i="52"/>
  <c r="H49" i="52"/>
  <c r="H62" i="52"/>
  <c r="H37" i="52"/>
  <c r="H67" i="52"/>
  <c r="H52" i="52"/>
  <c r="H72" i="52"/>
  <c r="H22" i="52"/>
  <c r="H12" i="52"/>
  <c r="H42" i="52"/>
  <c r="H47" i="52"/>
  <c r="H27" i="52"/>
  <c r="H57" i="52"/>
  <c r="H32" i="52"/>
  <c r="H77" i="52"/>
  <c r="H7" i="52"/>
  <c r="H17" i="52"/>
  <c r="L7" i="52"/>
  <c r="L5" i="52"/>
  <c r="L4" i="52"/>
  <c r="H4" i="52" l="1"/>
  <c r="H74" i="52"/>
  <c r="H34" i="52"/>
  <c r="H59" i="52"/>
  <c r="H14" i="52"/>
  <c r="H44" i="52"/>
  <c r="L8" i="52"/>
  <c r="J2" i="54"/>
  <c r="H3" i="54"/>
  <c r="F3" i="54" s="1"/>
  <c r="H41" i="52"/>
  <c r="H16" i="52"/>
  <c r="H76" i="52"/>
  <c r="H61" i="52"/>
  <c r="H71" i="52"/>
  <c r="H56" i="52"/>
  <c r="H26" i="52"/>
  <c r="H46" i="52"/>
  <c r="H21" i="52"/>
  <c r="H36" i="52"/>
  <c r="H51" i="52"/>
  <c r="H66" i="52"/>
  <c r="H31" i="52"/>
  <c r="H11" i="52"/>
  <c r="H6" i="52"/>
  <c r="H73" i="52"/>
  <c r="H48" i="52"/>
  <c r="H23" i="52"/>
  <c r="H28" i="52"/>
  <c r="H33" i="52"/>
  <c r="H53" i="52"/>
  <c r="H68" i="52"/>
  <c r="H8" i="52"/>
  <c r="H63" i="52"/>
  <c r="H38" i="52"/>
  <c r="H13" i="52"/>
  <c r="H58" i="52"/>
  <c r="H78" i="52"/>
  <c r="H18" i="52"/>
  <c r="H43" i="52"/>
  <c r="H55" i="52"/>
  <c r="H20" i="52"/>
  <c r="H30" i="52"/>
  <c r="H35" i="52"/>
  <c r="H50" i="52"/>
  <c r="H40" i="52"/>
  <c r="H10" i="52"/>
  <c r="H65" i="52"/>
  <c r="H5" i="52"/>
  <c r="H15" i="52"/>
  <c r="H25" i="52"/>
  <c r="H75" i="52"/>
  <c r="H60" i="52"/>
  <c r="H45" i="52"/>
  <c r="H70" i="52"/>
  <c r="I3" i="54" l="1"/>
  <c r="G4" i="54"/>
  <c r="J3" i="54" l="1"/>
  <c r="H4" i="54"/>
  <c r="F4" i="54" s="1"/>
  <c r="F31" i="37"/>
  <c r="F32" i="37"/>
  <c r="F33" i="37"/>
  <c r="F34" i="37"/>
  <c r="C28" i="37"/>
  <c r="C6" i="37"/>
  <c r="C7" i="37"/>
  <c r="C8" i="37"/>
  <c r="C9" i="37"/>
  <c r="C10" i="37"/>
  <c r="C11" i="37"/>
  <c r="C12" i="37"/>
  <c r="C13" i="37"/>
  <c r="C14" i="37"/>
  <c r="C15" i="37"/>
  <c r="C16" i="37"/>
  <c r="C17" i="37"/>
  <c r="C18" i="37"/>
  <c r="C19" i="37"/>
  <c r="C20" i="37"/>
  <c r="C21" i="37"/>
  <c r="C22" i="37"/>
  <c r="C23" i="37"/>
  <c r="C24" i="37"/>
  <c r="C25" i="37"/>
  <c r="C26" i="37"/>
  <c r="C27" i="37"/>
  <c r="C2" i="37" l="1"/>
  <c r="I4" i="54"/>
  <c r="G5" i="54"/>
  <c r="F4" i="37"/>
  <c r="F5" i="37"/>
  <c r="F6" i="37"/>
  <c r="F7" i="37"/>
  <c r="F8" i="37"/>
  <c r="F9" i="37"/>
  <c r="F10" i="37"/>
  <c r="F11" i="37"/>
  <c r="F12" i="37"/>
  <c r="F13" i="37"/>
  <c r="F14" i="37"/>
  <c r="F15" i="37"/>
  <c r="F16" i="37"/>
  <c r="F17" i="37"/>
  <c r="F18" i="37"/>
  <c r="F19" i="37"/>
  <c r="F20" i="37"/>
  <c r="F21" i="37"/>
  <c r="F22" i="37"/>
  <c r="F23" i="37"/>
  <c r="F24" i="37"/>
  <c r="F25" i="37"/>
  <c r="F26" i="37"/>
  <c r="F27" i="37"/>
  <c r="F28" i="37"/>
  <c r="F29" i="37"/>
  <c r="F30" i="37"/>
  <c r="F3" i="37"/>
  <c r="H5" i="54" l="1"/>
  <c r="J4" i="54"/>
  <c r="D2" i="37"/>
  <c r="G6" i="54" l="1"/>
  <c r="I5" i="54"/>
  <c r="F5" i="54"/>
  <c r="D31" i="37"/>
  <c r="D33" i="37"/>
  <c r="D32" i="37"/>
  <c r="D34" i="37"/>
  <c r="D4" i="37"/>
  <c r="E4" i="37" s="1"/>
  <c r="D12" i="37"/>
  <c r="E12" i="37" s="1"/>
  <c r="D20" i="37"/>
  <c r="E20" i="37" s="1"/>
  <c r="D28" i="37"/>
  <c r="E28" i="37" s="1"/>
  <c r="D5" i="37"/>
  <c r="E5" i="37" s="1"/>
  <c r="D13" i="37"/>
  <c r="E13" i="37" s="1"/>
  <c r="D21" i="37"/>
  <c r="E21" i="37" s="1"/>
  <c r="D29" i="37"/>
  <c r="E29" i="37" s="1"/>
  <c r="D18" i="37"/>
  <c r="E18" i="37" s="1"/>
  <c r="D6" i="37"/>
  <c r="E6" i="37" s="1"/>
  <c r="D14" i="37"/>
  <c r="E14" i="37" s="1"/>
  <c r="D22" i="37"/>
  <c r="E22" i="37" s="1"/>
  <c r="D30" i="37"/>
  <c r="D26" i="37"/>
  <c r="E26" i="37" s="1"/>
  <c r="D11" i="37"/>
  <c r="E11" i="37" s="1"/>
  <c r="D27" i="37"/>
  <c r="E27" i="37" s="1"/>
  <c r="D7" i="37"/>
  <c r="E7" i="37" s="1"/>
  <c r="D15" i="37"/>
  <c r="E15" i="37" s="1"/>
  <c r="D23" i="37"/>
  <c r="E23" i="37" s="1"/>
  <c r="D3" i="37"/>
  <c r="E3" i="37" s="1"/>
  <c r="D8" i="37"/>
  <c r="E8" i="37" s="1"/>
  <c r="D16" i="37"/>
  <c r="E16" i="37" s="1"/>
  <c r="D24" i="37"/>
  <c r="E24" i="37" s="1"/>
  <c r="D19" i="37"/>
  <c r="E19" i="37" s="1"/>
  <c r="D9" i="37"/>
  <c r="E9" i="37" s="1"/>
  <c r="D17" i="37"/>
  <c r="E17" i="37" s="1"/>
  <c r="D25" i="37"/>
  <c r="E25" i="37" s="1"/>
  <c r="D10" i="37"/>
  <c r="E10" i="37" s="1"/>
  <c r="J5" i="54" l="1"/>
  <c r="H6" i="54"/>
  <c r="F6" i="54" s="1"/>
  <c r="E30" i="37"/>
  <c r="G5" i="37"/>
  <c r="G3" i="37"/>
  <c r="G6" i="37"/>
  <c r="G4" i="37"/>
  <c r="I6" i="54" l="1"/>
  <c r="G7" i="54"/>
  <c r="H5" i="37"/>
  <c r="H6" i="37"/>
  <c r="H4" i="37"/>
  <c r="G7" i="37"/>
  <c r="H3" i="37"/>
  <c r="H7" i="54" l="1"/>
  <c r="F7" i="54" s="1"/>
  <c r="J6" i="54"/>
  <c r="I31" i="37"/>
  <c r="I32" i="37"/>
  <c r="I5" i="37"/>
  <c r="I33" i="37"/>
  <c r="I34" i="37"/>
  <c r="I30" i="37"/>
  <c r="I13" i="37"/>
  <c r="I29" i="37"/>
  <c r="I9" i="37"/>
  <c r="I17" i="37"/>
  <c r="I21" i="37"/>
  <c r="I25" i="37"/>
  <c r="H7" i="37"/>
  <c r="I3" i="37"/>
  <c r="I27" i="37"/>
  <c r="I19" i="37"/>
  <c r="I11" i="37"/>
  <c r="I7" i="37"/>
  <c r="I23" i="37"/>
  <c r="I15" i="37"/>
  <c r="I24" i="37"/>
  <c r="I4" i="37"/>
  <c r="I28" i="37"/>
  <c r="I20" i="37"/>
  <c r="I12" i="37"/>
  <c r="I16" i="37"/>
  <c r="I8" i="37"/>
  <c r="I14" i="37"/>
  <c r="I22" i="37"/>
  <c r="I26" i="37"/>
  <c r="I10" i="37"/>
  <c r="I6" i="37"/>
  <c r="I18" i="37"/>
  <c r="G8" i="54" l="1"/>
  <c r="I7" i="54"/>
  <c r="J7" i="54" l="1"/>
  <c r="H8" i="54"/>
  <c r="G9" i="54" l="1"/>
  <c r="I8" i="54"/>
  <c r="F8" i="54"/>
  <c r="J8" i="54" l="1"/>
  <c r="H9" i="54"/>
  <c r="G10" i="54" l="1"/>
  <c r="I9" i="54"/>
  <c r="F9" i="54"/>
  <c r="H10" i="54" l="1"/>
  <c r="J9" i="54"/>
  <c r="G11" i="54" l="1"/>
  <c r="I10" i="54"/>
  <c r="F10" i="54"/>
  <c r="J10" i="54" l="1"/>
  <c r="H11" i="54"/>
  <c r="G12" i="54" l="1"/>
  <c r="I11" i="54"/>
  <c r="F11" i="54"/>
  <c r="J11" i="54" l="1"/>
  <c r="H12" i="54"/>
  <c r="G13" i="54" l="1"/>
  <c r="I12" i="54"/>
  <c r="F12" i="54"/>
  <c r="J12" i="54" l="1"/>
  <c r="H13" i="54"/>
  <c r="I13" i="54" l="1"/>
  <c r="G14" i="54"/>
  <c r="F13" i="54"/>
  <c r="J13" i="54" l="1"/>
  <c r="H14" i="54"/>
  <c r="I14" i="54" s="1"/>
  <c r="F14" i="54" l="1"/>
  <c r="J14" i="54"/>
  <c r="J15" i="54" l="1"/>
  <c r="L2" i="54" l="1"/>
  <c r="K2" i="54"/>
  <c r="L3" i="54"/>
  <c r="K3" i="54"/>
  <c r="L4" i="54"/>
  <c r="K4" i="54"/>
  <c r="L5" i="54"/>
  <c r="K5" i="54"/>
  <c r="L6" i="54"/>
  <c r="K6" i="54"/>
  <c r="L7" i="54"/>
  <c r="K7" i="54"/>
  <c r="L8" i="54"/>
  <c r="K8" i="54"/>
  <c r="L9" i="54"/>
  <c r="K9" i="54"/>
  <c r="L10" i="54"/>
  <c r="K10" i="54"/>
  <c r="L11" i="54"/>
  <c r="K11" i="54"/>
  <c r="L12" i="54"/>
  <c r="K12" i="54"/>
  <c r="L13" i="54"/>
  <c r="L14" i="54"/>
  <c r="K13" i="54"/>
  <c r="K14" i="54"/>
  <c r="K15" i="54" l="1"/>
  <c r="B9" i="52" l="1"/>
  <c r="B52" i="52"/>
  <c r="B20" i="52"/>
  <c r="B62" i="52"/>
  <c r="B30" i="52"/>
  <c r="B19" i="52"/>
  <c r="B8" i="52"/>
  <c r="B33" i="52"/>
  <c r="B69" i="52"/>
  <c r="B23" i="52"/>
  <c r="B44" i="52"/>
  <c r="B12" i="52"/>
  <c r="B54" i="52"/>
  <c r="B22" i="52"/>
  <c r="B53" i="52"/>
  <c r="B27" i="52"/>
  <c r="B55" i="52"/>
  <c r="B47" i="52"/>
  <c r="B65" i="52"/>
  <c r="B76" i="52"/>
  <c r="B72" i="52"/>
  <c r="B40" i="52"/>
  <c r="B7" i="52"/>
  <c r="B50" i="52"/>
  <c r="B18" i="52"/>
  <c r="B21" i="52"/>
  <c r="B39" i="52"/>
  <c r="B31" i="52"/>
  <c r="B71" i="52"/>
  <c r="B67" i="52"/>
  <c r="B16" i="52"/>
  <c r="B59" i="52"/>
  <c r="B78" i="52"/>
  <c r="B46" i="52"/>
  <c r="B14" i="52"/>
  <c r="B41" i="52"/>
  <c r="B43" i="52"/>
  <c r="B37" i="52"/>
  <c r="B29" i="52"/>
  <c r="B45" i="52"/>
  <c r="B58" i="52"/>
  <c r="B68" i="52"/>
  <c r="B74" i="52"/>
  <c r="B42" i="52"/>
  <c r="B10" i="52"/>
  <c r="B77" i="52"/>
  <c r="B61" i="52"/>
  <c r="B13" i="52"/>
  <c r="B73" i="52"/>
  <c r="B26" i="52"/>
  <c r="B64" i="52"/>
  <c r="B60" i="52"/>
  <c r="B28" i="52"/>
  <c r="B70" i="52"/>
  <c r="B38" i="52"/>
  <c r="B25" i="52"/>
  <c r="B15" i="52"/>
  <c r="B49" i="52"/>
  <c r="B57" i="52"/>
  <c r="B6" i="52"/>
  <c r="B36" i="52"/>
  <c r="B32" i="52"/>
  <c r="B56" i="52"/>
  <c r="B24" i="52"/>
  <c r="B66" i="52"/>
  <c r="B34" i="52"/>
  <c r="B5" i="52"/>
  <c r="B17" i="52"/>
  <c r="B11" i="52"/>
  <c r="B51" i="52"/>
  <c r="B63" i="52"/>
  <c r="B4" i="52"/>
  <c r="B48" i="52" l="1"/>
  <c r="B35" i="52"/>
  <c r="B75" i="52"/>
</calcChain>
</file>

<file path=xl/sharedStrings.xml><?xml version="1.0" encoding="utf-8"?>
<sst xmlns="http://schemas.openxmlformats.org/spreadsheetml/2006/main" count="96" uniqueCount="77">
  <si>
    <t>Per.</t>
  </si>
  <si>
    <t>Trend</t>
  </si>
  <si>
    <t>Seas</t>
  </si>
  <si>
    <t>SE</t>
  </si>
  <si>
    <t>b0</t>
  </si>
  <si>
    <t>b1</t>
  </si>
  <si>
    <t>Centered-MA</t>
  </si>
  <si>
    <t>R2</t>
  </si>
  <si>
    <t>Reg-Cen-MA</t>
  </si>
  <si>
    <t>Index</t>
  </si>
  <si>
    <t>Season</t>
  </si>
  <si>
    <t>Normlized Index</t>
  </si>
  <si>
    <t>Forecast</t>
  </si>
  <si>
    <t>Periodicity</t>
  </si>
  <si>
    <t>https://www.youtube.com/watch?v=VxYX8t5OZNc&amp;t=2s</t>
  </si>
  <si>
    <t>TrendData</t>
  </si>
  <si>
    <t>The Forecast for New Level is the Previous Lever + Previous Trend</t>
  </si>
  <si>
    <t>Actual Trend is the difference between current Level and previous Level</t>
  </si>
  <si>
    <t>L0: INTERCEPT</t>
  </si>
  <si>
    <t>T0: SLOPE</t>
  </si>
  <si>
    <t>Initial Seasonality for the first N periods are Demand divided by the average of the first N periods</t>
  </si>
  <si>
    <t>Actual for Level is Actual Data divided by Seasonality of N Period ago</t>
  </si>
  <si>
    <t>Actual Seasonality is current demand divided by the current level</t>
  </si>
  <si>
    <t>Centered.MA</t>
  </si>
  <si>
    <t>Deseas.Reg</t>
  </si>
  <si>
    <t>Seas.Ind</t>
  </si>
  <si>
    <t>SeasInd</t>
  </si>
  <si>
    <t>SeasIndAdj</t>
  </si>
  <si>
    <t>Beta</t>
  </si>
  <si>
    <t>Gamma</t>
  </si>
  <si>
    <t>Alpha</t>
  </si>
  <si>
    <t>Ft (Stat.Reg)</t>
  </si>
  <si>
    <t xml:space="preserve">You then need to use L3 to L6 for forecasting. </t>
  </si>
  <si>
    <t>This is done by dividing each of K3 to K6 by K7.</t>
  </si>
  <si>
    <t>IMPORTANT. Please note that after computing cells K3 to K7. You need to normalized them in cells L3 to L7.</t>
  </si>
  <si>
    <t>.</t>
  </si>
  <si>
    <t>This Excelsheet was designed by Dr. Asef. It is violation of academic integrity is a sudent uses this file in Exams and Quizzes</t>
  </si>
  <si>
    <t>The Lecture for the first part is at</t>
  </si>
  <si>
    <t>It contains the Static Seasonality Enhanced Regression</t>
  </si>
  <si>
    <t xml:space="preserve">https://youtu.be/tq2U_I7b4KQ </t>
  </si>
  <si>
    <t>Forecast Trend is (1-Beta) multiplied the  previous trend forecast + Beta time the actual trend (the difference between current level and previous level)</t>
  </si>
  <si>
    <t>Forecast Seasonality is (1-Gamma) times seasonality of P periods ago  plus Gamma times Actual Seasonality</t>
  </si>
  <si>
    <t>18 Minutes</t>
  </si>
  <si>
    <t>35 mins.</t>
  </si>
  <si>
    <t xml:space="preserve">The Lectre is available at </t>
  </si>
  <si>
    <t>Range/Mean</t>
  </si>
  <si>
    <t>Mean/Median</t>
  </si>
  <si>
    <t>CV</t>
  </si>
  <si>
    <t>StdDev</t>
  </si>
  <si>
    <t>Max (Round)</t>
  </si>
  <si>
    <t>Range</t>
  </si>
  <si>
    <t>Max How Many Width</t>
  </si>
  <si>
    <t>Min</t>
  </si>
  <si>
    <t xml:space="preserve">Min (Round) </t>
  </si>
  <si>
    <t>Max</t>
  </si>
  <si>
    <t>Width (Round)</t>
  </si>
  <si>
    <t>Median</t>
  </si>
  <si>
    <t>T&amp;RanS</t>
  </si>
  <si>
    <t>TrendForSEason</t>
  </si>
  <si>
    <t>Width (Range/10)</t>
  </si>
  <si>
    <t>Mean</t>
  </si>
  <si>
    <t>Trend&amp;Seas</t>
  </si>
  <si>
    <t xml:space="preserve">No Trend </t>
  </si>
  <si>
    <t>Do Not Write on these four columns A-D</t>
  </si>
  <si>
    <t>=RANDBETWEEN(INT((ROWS($AC$3:AC15)/($AA$2)))*$AA$2,(INT((ROWS($AC$3:AC15)/($AA$2))+1)*$AA$2-1))</t>
  </si>
  <si>
    <t>Set 3</t>
  </si>
  <si>
    <t>Set 2</t>
  </si>
  <si>
    <t>Set 1</t>
  </si>
  <si>
    <t>Statistics</t>
  </si>
  <si>
    <t>CumFreq</t>
  </si>
  <si>
    <t>Freq</t>
  </si>
  <si>
    <t>Count</t>
  </si>
  <si>
    <t>CumCount</t>
  </si>
  <si>
    <t>UB</t>
  </si>
  <si>
    <t>LB</t>
  </si>
  <si>
    <t>These data were generated using the procedure in columns AB to AI</t>
  </si>
  <si>
    <t>This lecture will be also discussed in Seasonality Enhanced Regression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</si>
</sst>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"/>
    <numFmt numFmtId="166" formatCode="0.0000"/>
    <numFmt numFmtId="167" formatCode="0.000000"/>
    <numFmt numFmtId="168" formatCode="0.000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Book Antiqua"/>
      <family val="1"/>
    </font>
    <font>
      <sz val="10"/>
      <name val="Book Antiqua"/>
      <family val="1"/>
    </font>
    <font>
      <b/>
      <sz val="10"/>
      <name val="Book Antiqua"/>
      <family val="1"/>
    </font>
    <font>
      <b/>
      <sz val="10"/>
      <color theme="0"/>
      <name val="Book Antiqua"/>
      <family val="1"/>
    </font>
    <font>
      <b/>
      <sz val="14"/>
      <color theme="0"/>
      <name val="Book Antiqua"/>
      <family val="1"/>
    </font>
    <font>
      <sz val="11"/>
      <color theme="0"/>
      <name val="Book Antiqua"/>
      <family val="1"/>
    </font>
    <font>
      <sz val="11"/>
      <name val="Book Antiqua"/>
      <family val="1"/>
    </font>
    <font>
      <b/>
      <sz val="12"/>
      <color theme="0"/>
      <name val="Book Antiqua"/>
      <family val="1"/>
    </font>
    <font>
      <b/>
      <sz val="10"/>
      <color rgb="FFFF0000"/>
      <name val="Book Antiqua"/>
      <family val="1"/>
    </font>
    <font>
      <sz val="10"/>
      <color theme="0"/>
      <name val="Book Antiqua"/>
      <family val="1"/>
    </font>
    <font>
      <sz val="14"/>
      <name val="Book Antiqua"/>
      <family val="1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Book Antiqua"/>
      <family val="1"/>
    </font>
    <font>
      <b/>
      <sz val="11"/>
      <color theme="1"/>
      <name val="Book Antiqua"/>
      <family val="1"/>
    </font>
    <font>
      <b/>
      <sz val="11"/>
      <color rgb="FFFF0000"/>
      <name val="Book Antiqua"/>
      <family val="1"/>
    </font>
  </fonts>
  <fills count="1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4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0" xfId="0" applyFill="1"/>
    <xf numFmtId="0" fontId="3" fillId="0" borderId="0" xfId="0" applyFont="1"/>
    <xf numFmtId="0" fontId="4" fillId="0" borderId="0" xfId="2" applyFont="1"/>
    <xf numFmtId="0" fontId="4" fillId="0" borderId="0" xfId="2" applyFont="1" applyFill="1"/>
    <xf numFmtId="0" fontId="3" fillId="0" borderId="0" xfId="1" applyFont="1" applyFill="1" applyAlignment="1">
      <alignment horizontal="center"/>
    </xf>
    <xf numFmtId="0" fontId="4" fillId="0" borderId="0" xfId="2" applyFont="1" applyAlignment="1">
      <alignment horizontal="center"/>
    </xf>
    <xf numFmtId="0" fontId="6" fillId="7" borderId="0" xfId="2" applyFont="1" applyFill="1" applyAlignment="1">
      <alignment horizontal="center" vertical="center"/>
    </xf>
    <xf numFmtId="164" fontId="6" fillId="7" borderId="0" xfId="2" applyNumberFormat="1" applyFont="1" applyFill="1" applyAlignment="1">
      <alignment horizontal="center" vertical="center"/>
    </xf>
    <xf numFmtId="165" fontId="6" fillId="7" borderId="0" xfId="2" applyNumberFormat="1" applyFont="1" applyFill="1" applyAlignment="1">
      <alignment horizontal="center" vertical="center"/>
    </xf>
    <xf numFmtId="0" fontId="4" fillId="0" borderId="0" xfId="2" applyFont="1" applyAlignment="1">
      <alignment horizontal="left"/>
    </xf>
    <xf numFmtId="165" fontId="4" fillId="0" borderId="0" xfId="2" applyNumberFormat="1" applyFont="1" applyAlignment="1">
      <alignment horizontal="center"/>
    </xf>
    <xf numFmtId="164" fontId="6" fillId="4" borderId="0" xfId="2" applyNumberFormat="1" applyFont="1" applyFill="1" applyAlignment="1">
      <alignment horizontal="center"/>
    </xf>
    <xf numFmtId="2" fontId="4" fillId="0" borderId="0" xfId="2" applyNumberFormat="1" applyFont="1" applyAlignment="1">
      <alignment horizontal="center"/>
    </xf>
    <xf numFmtId="1" fontId="6" fillId="5" borderId="0" xfId="2" applyNumberFormat="1" applyFont="1" applyFill="1" applyAlignment="1">
      <alignment horizontal="center"/>
    </xf>
    <xf numFmtId="167" fontId="4" fillId="0" borderId="0" xfId="2" applyNumberFormat="1" applyFont="1" applyAlignment="1">
      <alignment horizontal="center"/>
    </xf>
    <xf numFmtId="2" fontId="5" fillId="2" borderId="0" xfId="2" applyNumberFormat="1" applyFont="1" applyFill="1" applyAlignment="1">
      <alignment horizontal="center"/>
    </xf>
    <xf numFmtId="0" fontId="4" fillId="2" borderId="0" xfId="2" applyFont="1" applyFill="1"/>
    <xf numFmtId="0" fontId="7" fillId="2" borderId="0" xfId="2" applyFont="1" applyFill="1"/>
    <xf numFmtId="166" fontId="0" fillId="0" borderId="0" xfId="0" applyNumberFormat="1" applyAlignment="1">
      <alignment horizontal="left"/>
    </xf>
    <xf numFmtId="0" fontId="3" fillId="0" borderId="1" xfId="1" applyFont="1" applyFill="1" applyBorder="1" applyAlignment="1">
      <alignment horizontal="left"/>
    </xf>
    <xf numFmtId="0" fontId="3" fillId="0" borderId="2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2" fontId="8" fillId="2" borderId="0" xfId="1" applyNumberFormat="1" applyFont="1" applyFill="1" applyBorder="1" applyAlignment="1">
      <alignment horizontal="center"/>
    </xf>
    <xf numFmtId="0" fontId="8" fillId="8" borderId="0" xfId="1" applyFont="1" applyFill="1" applyBorder="1" applyAlignment="1">
      <alignment horizontal="center"/>
    </xf>
    <xf numFmtId="2" fontId="8" fillId="8" borderId="0" xfId="1" applyNumberFormat="1" applyFont="1" applyFill="1" applyBorder="1" applyAlignment="1">
      <alignment horizontal="center"/>
    </xf>
    <xf numFmtId="2" fontId="8" fillId="9" borderId="0" xfId="1" applyNumberFormat="1" applyFont="1" applyFill="1" applyBorder="1" applyAlignment="1">
      <alignment horizontal="center"/>
    </xf>
    <xf numFmtId="165" fontId="8" fillId="6" borderId="0" xfId="1" applyNumberFormat="1" applyFont="1" applyFill="1" applyBorder="1" applyAlignment="1">
      <alignment horizontal="center"/>
    </xf>
    <xf numFmtId="1" fontId="8" fillId="6" borderId="0" xfId="1" applyNumberFormat="1" applyFont="1" applyFill="1" applyBorder="1" applyAlignment="1">
      <alignment horizontal="center"/>
    </xf>
    <xf numFmtId="2" fontId="8" fillId="6" borderId="0" xfId="1" applyNumberFormat="1" applyFont="1" applyFill="1" applyBorder="1" applyAlignment="1">
      <alignment horizontal="center"/>
    </xf>
    <xf numFmtId="168" fontId="8" fillId="6" borderId="0" xfId="1" applyNumberFormat="1" applyFont="1" applyFill="1" applyBorder="1" applyAlignment="1">
      <alignment horizontal="center"/>
    </xf>
    <xf numFmtId="2" fontId="0" fillId="0" borderId="0" xfId="0" applyNumberFormat="1" applyAlignment="1">
      <alignment horizontal="left" vertical="top"/>
    </xf>
    <xf numFmtId="1" fontId="4" fillId="0" borderId="0" xfId="2" applyNumberFormat="1" applyFont="1" applyAlignment="1">
      <alignment horizontal="left" vertical="top"/>
    </xf>
    <xf numFmtId="0" fontId="8" fillId="10" borderId="0" xfId="1" applyFont="1" applyFill="1" applyBorder="1" applyAlignment="1">
      <alignment horizontal="center"/>
    </xf>
    <xf numFmtId="2" fontId="9" fillId="0" borderId="0" xfId="1" applyNumberFormat="1" applyFont="1" applyFill="1" applyBorder="1" applyAlignment="1">
      <alignment horizontal="center"/>
    </xf>
    <xf numFmtId="1" fontId="6" fillId="6" borderId="0" xfId="2" applyNumberFormat="1" applyFont="1" applyFill="1" applyAlignment="1">
      <alignment horizontal="center"/>
    </xf>
    <xf numFmtId="0" fontId="4" fillId="10" borderId="0" xfId="2" applyFont="1" applyFill="1" applyAlignment="1">
      <alignment horizontal="left"/>
    </xf>
    <xf numFmtId="0" fontId="11" fillId="0" borderId="0" xfId="2" applyFont="1"/>
    <xf numFmtId="1" fontId="4" fillId="0" borderId="0" xfId="2" applyNumberFormat="1" applyFont="1" applyAlignment="1">
      <alignment horizontal="center"/>
    </xf>
    <xf numFmtId="0" fontId="12" fillId="0" borderId="0" xfId="2" applyFont="1"/>
    <xf numFmtId="0" fontId="7" fillId="0" borderId="0" xfId="2" applyFont="1"/>
    <xf numFmtId="0" fontId="13" fillId="0" borderId="0" xfId="2" applyFont="1"/>
    <xf numFmtId="0" fontId="15" fillId="0" borderId="0" xfId="5" applyFont="1" applyFill="1"/>
    <xf numFmtId="0" fontId="10" fillId="2" borderId="0" xfId="2" applyFont="1" applyFill="1"/>
    <xf numFmtId="0" fontId="16" fillId="2" borderId="0" xfId="0" applyFont="1" applyFill="1"/>
    <xf numFmtId="0" fontId="17" fillId="0" borderId="0" xfId="5" applyFont="1"/>
    <xf numFmtId="0" fontId="18" fillId="0" borderId="0" xfId="0" applyFont="1"/>
    <xf numFmtId="0" fontId="16" fillId="0" borderId="0" xfId="0" applyFont="1" applyFill="1"/>
    <xf numFmtId="0" fontId="10" fillId="0" borderId="0" xfId="2" applyFont="1" applyFill="1"/>
    <xf numFmtId="0" fontId="3" fillId="0" borderId="0" xfId="1" applyFont="1"/>
    <xf numFmtId="0" fontId="3" fillId="0" borderId="0" xfId="4" applyFont="1"/>
    <xf numFmtId="0" fontId="3" fillId="11" borderId="0" xfId="1" applyFont="1" applyFill="1"/>
    <xf numFmtId="0" fontId="3" fillId="0" borderId="0" xfId="1" applyFont="1" applyAlignment="1">
      <alignment horizontal="center"/>
    </xf>
    <xf numFmtId="0" fontId="3" fillId="12" borderId="0" xfId="1" applyFont="1" applyFill="1" applyAlignment="1">
      <alignment horizontal="center"/>
    </xf>
    <xf numFmtId="0" fontId="3" fillId="13" borderId="0" xfId="1" applyFont="1" applyFill="1" applyAlignment="1">
      <alignment horizontal="center"/>
    </xf>
    <xf numFmtId="0" fontId="3" fillId="14" borderId="0" xfId="1" applyFont="1" applyFill="1" applyAlignment="1">
      <alignment horizontal="center"/>
    </xf>
    <xf numFmtId="0" fontId="3" fillId="0" borderId="0" xfId="1" applyFont="1" applyAlignment="1">
      <alignment horizontal="left"/>
    </xf>
    <xf numFmtId="0" fontId="4" fillId="15" borderId="0" xfId="2" applyFont="1" applyFill="1"/>
    <xf numFmtId="0" fontId="3" fillId="15" borderId="0" xfId="1" applyFont="1" applyFill="1" applyAlignment="1">
      <alignment horizontal="center"/>
    </xf>
    <xf numFmtId="0" fontId="4" fillId="0" borderId="0" xfId="3" applyFont="1"/>
    <xf numFmtId="2" fontId="4" fillId="0" borderId="3" xfId="2" applyNumberFormat="1" applyFont="1" applyBorder="1" applyAlignment="1">
      <alignment horizontal="center"/>
    </xf>
    <xf numFmtId="2" fontId="4" fillId="0" borderId="4" xfId="2" applyNumberFormat="1" applyFont="1" applyBorder="1" applyAlignment="1">
      <alignment horizontal="center"/>
    </xf>
    <xf numFmtId="1" fontId="4" fillId="0" borderId="4" xfId="2" applyNumberFormat="1" applyFont="1" applyBorder="1" applyAlignment="1">
      <alignment horizontal="center"/>
    </xf>
    <xf numFmtId="1" fontId="4" fillId="0" borderId="3" xfId="2" applyNumberFormat="1" applyFont="1" applyBorder="1" applyAlignment="1">
      <alignment horizontal="center"/>
    </xf>
    <xf numFmtId="1" fontId="4" fillId="0" borderId="5" xfId="2" applyNumberFormat="1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2" fontId="4" fillId="0" borderId="6" xfId="2" applyNumberFormat="1" applyFont="1" applyBorder="1" applyAlignment="1">
      <alignment horizontal="center"/>
    </xf>
    <xf numFmtId="1" fontId="4" fillId="0" borderId="6" xfId="2" applyNumberFormat="1" applyFont="1" applyBorder="1" applyAlignment="1">
      <alignment horizontal="center"/>
    </xf>
    <xf numFmtId="1" fontId="4" fillId="0" borderId="7" xfId="2" applyNumberFormat="1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166" fontId="19" fillId="0" borderId="8" xfId="2" applyNumberFormat="1" applyFont="1" applyBorder="1"/>
    <xf numFmtId="0" fontId="19" fillId="0" borderId="8" xfId="2" applyFont="1" applyBorder="1"/>
    <xf numFmtId="167" fontId="4" fillId="0" borderId="9" xfId="2" applyNumberFormat="1" applyFont="1" applyBorder="1"/>
    <xf numFmtId="0" fontId="4" fillId="0" borderId="9" xfId="2" applyFont="1" applyBorder="1"/>
    <xf numFmtId="166" fontId="19" fillId="0" borderId="9" xfId="2" applyNumberFormat="1" applyFont="1" applyBorder="1"/>
    <xf numFmtId="0" fontId="19" fillId="0" borderId="9" xfId="2" applyFont="1" applyBorder="1"/>
    <xf numFmtId="166" fontId="19" fillId="0" borderId="10" xfId="2" applyNumberFormat="1" applyFont="1" applyBorder="1"/>
    <xf numFmtId="0" fontId="19" fillId="0" borderId="10" xfId="2" applyFont="1" applyBorder="1"/>
    <xf numFmtId="2" fontId="4" fillId="0" borderId="11" xfId="2" applyNumberFormat="1" applyFont="1" applyBorder="1" applyAlignment="1">
      <alignment horizontal="center"/>
    </xf>
    <xf numFmtId="2" fontId="4" fillId="0" borderId="12" xfId="2" applyNumberFormat="1" applyFont="1" applyBorder="1" applyAlignment="1">
      <alignment horizontal="center"/>
    </xf>
    <xf numFmtId="1" fontId="4" fillId="0" borderId="12" xfId="2" applyNumberFormat="1" applyFont="1" applyBorder="1" applyAlignment="1">
      <alignment horizontal="center"/>
    </xf>
    <xf numFmtId="1" fontId="4" fillId="0" borderId="11" xfId="2" applyNumberFormat="1" applyFont="1" applyBorder="1" applyAlignment="1">
      <alignment horizontal="center"/>
    </xf>
    <xf numFmtId="1" fontId="4" fillId="0" borderId="13" xfId="2" applyNumberFormat="1" applyFont="1" applyBorder="1" applyAlignment="1">
      <alignment horizontal="center"/>
    </xf>
    <xf numFmtId="0" fontId="4" fillId="0" borderId="13" xfId="2" applyFont="1" applyBorder="1" applyAlignment="1">
      <alignment horizontal="center"/>
    </xf>
    <xf numFmtId="0" fontId="3" fillId="12" borderId="14" xfId="1" applyFont="1" applyFill="1" applyBorder="1" applyAlignment="1">
      <alignment horizontal="center"/>
    </xf>
    <xf numFmtId="0" fontId="3" fillId="13" borderId="2" xfId="1" applyFont="1" applyFill="1" applyBorder="1" applyAlignment="1">
      <alignment horizontal="center"/>
    </xf>
    <xf numFmtId="0" fontId="3" fillId="14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left"/>
    </xf>
    <xf numFmtId="0" fontId="20" fillId="0" borderId="0" xfId="1" applyFont="1"/>
    <xf numFmtId="0" fontId="4" fillId="0" borderId="0" xfId="2" quotePrefix="1" applyFont="1"/>
    <xf numFmtId="0" fontId="4" fillId="0" borderId="14" xfId="2" applyFont="1" applyBorder="1"/>
    <xf numFmtId="0" fontId="4" fillId="0" borderId="15" xfId="2" applyFont="1" applyBorder="1"/>
    <xf numFmtId="0" fontId="4" fillId="0" borderId="1" xfId="2" applyFont="1" applyBorder="1"/>
    <xf numFmtId="0" fontId="5" fillId="0" borderId="0" xfId="2" applyFont="1" applyAlignment="1">
      <alignment horizontal="center"/>
    </xf>
    <xf numFmtId="0" fontId="5" fillId="0" borderId="11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0" fontId="3" fillId="3" borderId="0" xfId="1" applyFont="1" applyFill="1" applyAlignment="1">
      <alignment horizontal="right"/>
    </xf>
    <xf numFmtId="0" fontId="3" fillId="3" borderId="0" xfId="1" applyFont="1" applyFill="1" applyAlignment="1">
      <alignment horizontal="left"/>
    </xf>
    <xf numFmtId="0" fontId="21" fillId="3" borderId="0" xfId="1" applyFont="1" applyFill="1"/>
  </cellXfs>
  <cellStyles count="6">
    <cellStyle name="Hyperlink" xfId="5" builtinId="8"/>
    <cellStyle name="Normal" xfId="0" builtinId="0"/>
    <cellStyle name="Normal 2" xfId="2" xr:uid="{00000000-0005-0000-0000-000001000000}"/>
    <cellStyle name="Normal 2 2" xfId="1" xr:uid="{00000000-0005-0000-0000-000002000000}"/>
    <cellStyle name="Normal 3 2" xfId="4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colors>
    <mruColors>
      <color rgb="FFED7D31"/>
      <color rgb="FF4472C4"/>
      <color rgb="FF00B05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'1.SeasRegChopraMineEvenp4'!$I$1</c:f>
          <c:strCache>
            <c:ptCount val="1"/>
            <c:pt idx="0">
              <c:v>Ft (Stat.Reg)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'1.SeasRegChopraMineEvenp4'!$B$1</c:f>
              <c:strCache>
                <c:ptCount val="1"/>
                <c:pt idx="0">
                  <c:v>TrendData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xVal>
            <c:numRef>
              <c:f>'1.SeasRegChopraMineEvenp4'!$A$3:$A$30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'1.SeasRegChopraMineEvenp4'!$B$3:$B$30</c:f>
              <c:numCache>
                <c:formatCode>General</c:formatCode>
                <c:ptCount val="28"/>
                <c:pt idx="0">
                  <c:v>21</c:v>
                </c:pt>
                <c:pt idx="1">
                  <c:v>27</c:v>
                </c:pt>
                <c:pt idx="2">
                  <c:v>38</c:v>
                </c:pt>
                <c:pt idx="3">
                  <c:v>28</c:v>
                </c:pt>
                <c:pt idx="4">
                  <c:v>38</c:v>
                </c:pt>
                <c:pt idx="5">
                  <c:v>49</c:v>
                </c:pt>
                <c:pt idx="6">
                  <c:v>47</c:v>
                </c:pt>
                <c:pt idx="7">
                  <c:v>35</c:v>
                </c:pt>
                <c:pt idx="8">
                  <c:v>42</c:v>
                </c:pt>
                <c:pt idx="9">
                  <c:v>55</c:v>
                </c:pt>
                <c:pt idx="10">
                  <c:v>56</c:v>
                </c:pt>
                <c:pt idx="11">
                  <c:v>32</c:v>
                </c:pt>
                <c:pt idx="12">
                  <c:v>35</c:v>
                </c:pt>
                <c:pt idx="13">
                  <c:v>55</c:v>
                </c:pt>
                <c:pt idx="14">
                  <c:v>50</c:v>
                </c:pt>
                <c:pt idx="15">
                  <c:v>46</c:v>
                </c:pt>
                <c:pt idx="16">
                  <c:v>44</c:v>
                </c:pt>
                <c:pt idx="17">
                  <c:v>45</c:v>
                </c:pt>
                <c:pt idx="18">
                  <c:v>59</c:v>
                </c:pt>
                <c:pt idx="19">
                  <c:v>49</c:v>
                </c:pt>
                <c:pt idx="20">
                  <c:v>39</c:v>
                </c:pt>
                <c:pt idx="21">
                  <c:v>73</c:v>
                </c:pt>
                <c:pt idx="22">
                  <c:v>75</c:v>
                </c:pt>
                <c:pt idx="23">
                  <c:v>56</c:v>
                </c:pt>
                <c:pt idx="24">
                  <c:v>60</c:v>
                </c:pt>
                <c:pt idx="25">
                  <c:v>71</c:v>
                </c:pt>
                <c:pt idx="26">
                  <c:v>84</c:v>
                </c:pt>
                <c:pt idx="27">
                  <c:v>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28-4239-A2CD-3973028C4AE9}"/>
            </c:ext>
          </c:extLst>
        </c:ser>
        <c:ser>
          <c:idx val="0"/>
          <c:order val="1"/>
          <c:tx>
            <c:strRef>
              <c:f>'1.SeasRegChopraMineEvenp4'!#REF!</c:f>
              <c:strCache>
                <c:ptCount val="1"/>
                <c:pt idx="0">
                  <c:v>#REF!</c:v>
                </c:pt>
              </c:strCache>
            </c:strRef>
          </c:tx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'1.SeasRegChopraMineEvenp4'!$A$3:$A$34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xVal>
          <c:yVal>
            <c:numRef>
              <c:f>'1.SeasRegChopraMineEvenp4'!$I$3:$I$34</c:f>
              <c:numCache>
                <c:formatCode>0.00</c:formatCode>
                <c:ptCount val="32"/>
                <c:pt idx="0">
                  <c:v>27.474864240286269</c:v>
                </c:pt>
                <c:pt idx="1">
                  <c:v>37.222571176867334</c:v>
                </c:pt>
                <c:pt idx="2">
                  <c:v>41.029053287233381</c:v>
                </c:pt>
                <c:pt idx="3">
                  <c:v>29.476340867545851</c:v>
                </c:pt>
                <c:pt idx="4">
                  <c:v>31.818445307733892</c:v>
                </c:pt>
                <c:pt idx="5">
                  <c:v>42.88345899062093</c:v>
                </c:pt>
                <c:pt idx="6">
                  <c:v>47.040288633420154</c:v>
                </c:pt>
                <c:pt idx="7">
                  <c:v>33.642375770592636</c:v>
                </c:pt>
                <c:pt idx="8">
                  <c:v>36.162026375181505</c:v>
                </c:pt>
                <c:pt idx="9">
                  <c:v>48.544346804374527</c:v>
                </c:pt>
                <c:pt idx="10">
                  <c:v>53.051523979606927</c:v>
                </c:pt>
                <c:pt idx="11">
                  <c:v>37.808410673639422</c:v>
                </c:pt>
                <c:pt idx="12">
                  <c:v>40.505607442629127</c:v>
                </c:pt>
                <c:pt idx="13">
                  <c:v>54.205234618128138</c:v>
                </c:pt>
                <c:pt idx="14">
                  <c:v>59.062759325793706</c:v>
                </c:pt>
                <c:pt idx="15">
                  <c:v>41.974445576686215</c:v>
                </c:pt>
                <c:pt idx="16">
                  <c:v>44.849188510076743</c:v>
                </c:pt>
                <c:pt idx="17">
                  <c:v>59.866122431881735</c:v>
                </c:pt>
                <c:pt idx="18">
                  <c:v>65.073994671980486</c:v>
                </c:pt>
                <c:pt idx="19">
                  <c:v>46.140480479733</c:v>
                </c:pt>
                <c:pt idx="20">
                  <c:v>49.192769577524359</c:v>
                </c:pt>
                <c:pt idx="21">
                  <c:v>65.527010245635324</c:v>
                </c:pt>
                <c:pt idx="22">
                  <c:v>71.085230018167252</c:v>
                </c:pt>
                <c:pt idx="23">
                  <c:v>50.306515382779793</c:v>
                </c:pt>
                <c:pt idx="24">
                  <c:v>53.536350644971975</c:v>
                </c:pt>
                <c:pt idx="25">
                  <c:v>71.187898059388928</c:v>
                </c:pt>
                <c:pt idx="26">
                  <c:v>77.096465364354017</c:v>
                </c:pt>
                <c:pt idx="27">
                  <c:v>54.472550285826571</c:v>
                </c:pt>
                <c:pt idx="28">
                  <c:v>57.879931712419591</c:v>
                </c:pt>
                <c:pt idx="29">
                  <c:v>76.848785873142532</c:v>
                </c:pt>
                <c:pt idx="30">
                  <c:v>83.107700710540811</c:v>
                </c:pt>
                <c:pt idx="31">
                  <c:v>58.638585188873371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28-4239-A2CD-3973028C4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32"/>
          <c:min val="1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'0.ArdiData'!$B$2</c:f>
          <c:strCache>
            <c:ptCount val="1"/>
            <c:pt idx="0">
              <c:v>No Trend 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'0.ArdiData'!$K$1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'0.ArdiData'!$F$2:$F$14</c:f>
              <c:strCache>
                <c:ptCount val="13"/>
                <c:pt idx="0">
                  <c:v>700 - 1400</c:v>
                </c:pt>
                <c:pt idx="1">
                  <c:v>1400 - 2100</c:v>
                </c:pt>
                <c:pt idx="2">
                  <c:v>2100 - 2800</c:v>
                </c:pt>
                <c:pt idx="3">
                  <c:v>2800 - 3500</c:v>
                </c:pt>
                <c:pt idx="4">
                  <c:v>3500 - 4200</c:v>
                </c:pt>
                <c:pt idx="5">
                  <c:v>4200 - 4900</c:v>
                </c:pt>
                <c:pt idx="6">
                  <c:v>4900 - 5600</c:v>
                </c:pt>
                <c:pt idx="7">
                  <c:v>5600 - 6300</c:v>
                </c:pt>
                <c:pt idx="8">
                  <c:v>6300 - 7000</c:v>
                </c:pt>
                <c:pt idx="9">
                  <c:v>7000 - 7700</c:v>
                </c:pt>
                <c:pt idx="10">
                  <c:v>7700 - 8400</c:v>
                </c:pt>
                <c:pt idx="11">
                  <c:v>8400 - 9100</c:v>
                </c:pt>
                <c:pt idx="12">
                  <c:v>9100 - 9800</c:v>
                </c:pt>
              </c:strCache>
            </c:strRef>
          </c:cat>
          <c:val>
            <c:numRef>
              <c:f>'0.ArdiData'!$K$2:$K$14</c:f>
              <c:numCache>
                <c:formatCode>0.00</c:formatCode>
                <c:ptCount val="13"/>
                <c:pt idx="0">
                  <c:v>1.3333333333333334E-2</c:v>
                </c:pt>
                <c:pt idx="1">
                  <c:v>0.17333333333333334</c:v>
                </c:pt>
                <c:pt idx="2">
                  <c:v>0.14666666666666667</c:v>
                </c:pt>
                <c:pt idx="3">
                  <c:v>0.14666666666666667</c:v>
                </c:pt>
                <c:pt idx="4">
                  <c:v>0.13333333333333333</c:v>
                </c:pt>
                <c:pt idx="5">
                  <c:v>0.12</c:v>
                </c:pt>
                <c:pt idx="6">
                  <c:v>0.10666666666666667</c:v>
                </c:pt>
                <c:pt idx="7">
                  <c:v>0.12</c:v>
                </c:pt>
                <c:pt idx="8">
                  <c:v>2.6666666666666668E-2</c:v>
                </c:pt>
                <c:pt idx="9">
                  <c:v>0</c:v>
                </c:pt>
                <c:pt idx="10">
                  <c:v>1.3333333333333334E-2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1B-4401-A401-0CAA0D78C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1088"/>
        <c:axId val="663601480"/>
      </c:barChart>
      <c:catAx>
        <c:axId val="6636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1480"/>
        <c:crosses val="autoZero"/>
        <c:auto val="1"/>
        <c:lblAlgn val="ctr"/>
        <c:lblOffset val="100"/>
        <c:noMultiLvlLbl val="0"/>
      </c:catAx>
      <c:valAx>
        <c:axId val="66360148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1088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'0.ArdiData'!$C$2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'0.ArdiData'!$K$1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'0.ArdiData'!$F$2:$F$14</c:f>
              <c:strCache>
                <c:ptCount val="13"/>
                <c:pt idx="0">
                  <c:v>700 - 1400</c:v>
                </c:pt>
                <c:pt idx="1">
                  <c:v>1400 - 2100</c:v>
                </c:pt>
                <c:pt idx="2">
                  <c:v>2100 - 2800</c:v>
                </c:pt>
                <c:pt idx="3">
                  <c:v>2800 - 3500</c:v>
                </c:pt>
                <c:pt idx="4">
                  <c:v>3500 - 4200</c:v>
                </c:pt>
                <c:pt idx="5">
                  <c:v>4200 - 4900</c:v>
                </c:pt>
                <c:pt idx="6">
                  <c:v>4900 - 5600</c:v>
                </c:pt>
                <c:pt idx="7">
                  <c:v>5600 - 6300</c:v>
                </c:pt>
                <c:pt idx="8">
                  <c:v>6300 - 7000</c:v>
                </c:pt>
                <c:pt idx="9">
                  <c:v>7000 - 7700</c:v>
                </c:pt>
                <c:pt idx="10">
                  <c:v>7700 - 8400</c:v>
                </c:pt>
                <c:pt idx="11">
                  <c:v>8400 - 9100</c:v>
                </c:pt>
                <c:pt idx="12">
                  <c:v>9100 - 9800</c:v>
                </c:pt>
              </c:strCache>
            </c:strRef>
          </c:cat>
          <c:val>
            <c:numRef>
              <c:f>'0.ArdiData'!$K$2:$K$14</c:f>
              <c:numCache>
                <c:formatCode>0.00</c:formatCode>
                <c:ptCount val="13"/>
                <c:pt idx="0">
                  <c:v>1.3333333333333334E-2</c:v>
                </c:pt>
                <c:pt idx="1">
                  <c:v>0.17333333333333334</c:v>
                </c:pt>
                <c:pt idx="2">
                  <c:v>0.14666666666666667</c:v>
                </c:pt>
                <c:pt idx="3">
                  <c:v>0.14666666666666667</c:v>
                </c:pt>
                <c:pt idx="4">
                  <c:v>0.13333333333333333</c:v>
                </c:pt>
                <c:pt idx="5">
                  <c:v>0.12</c:v>
                </c:pt>
                <c:pt idx="6">
                  <c:v>0.10666666666666667</c:v>
                </c:pt>
                <c:pt idx="7">
                  <c:v>0.12</c:v>
                </c:pt>
                <c:pt idx="8">
                  <c:v>2.6666666666666668E-2</c:v>
                </c:pt>
                <c:pt idx="9">
                  <c:v>0</c:v>
                </c:pt>
                <c:pt idx="10">
                  <c:v>1.3333333333333334E-2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B-4415-8DA4-1F2F599F3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2264"/>
        <c:axId val="663602656"/>
      </c:barChart>
      <c:catAx>
        <c:axId val="66360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2656"/>
        <c:crosses val="autoZero"/>
        <c:auto val="1"/>
        <c:lblAlgn val="ctr"/>
        <c:lblOffset val="100"/>
        <c:noMultiLvlLbl val="0"/>
      </c:catAx>
      <c:valAx>
        <c:axId val="66360265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2264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'0.ArdiData'!$D$2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'0.ArdiData'!$K$1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'0.ArdiData'!$F$2:$F$14</c:f>
              <c:strCache>
                <c:ptCount val="13"/>
                <c:pt idx="0">
                  <c:v>700 - 1400</c:v>
                </c:pt>
                <c:pt idx="1">
                  <c:v>1400 - 2100</c:v>
                </c:pt>
                <c:pt idx="2">
                  <c:v>2100 - 2800</c:v>
                </c:pt>
                <c:pt idx="3">
                  <c:v>2800 - 3500</c:v>
                </c:pt>
                <c:pt idx="4">
                  <c:v>3500 - 4200</c:v>
                </c:pt>
                <c:pt idx="5">
                  <c:v>4200 - 4900</c:v>
                </c:pt>
                <c:pt idx="6">
                  <c:v>4900 - 5600</c:v>
                </c:pt>
                <c:pt idx="7">
                  <c:v>5600 - 6300</c:v>
                </c:pt>
                <c:pt idx="8">
                  <c:v>6300 - 7000</c:v>
                </c:pt>
                <c:pt idx="9">
                  <c:v>7000 - 7700</c:v>
                </c:pt>
                <c:pt idx="10">
                  <c:v>7700 - 8400</c:v>
                </c:pt>
                <c:pt idx="11">
                  <c:v>8400 - 9100</c:v>
                </c:pt>
                <c:pt idx="12">
                  <c:v>9100 - 9800</c:v>
                </c:pt>
              </c:strCache>
            </c:strRef>
          </c:cat>
          <c:val>
            <c:numRef>
              <c:f>'0.ArdiData'!$K$2:$K$14</c:f>
              <c:numCache>
                <c:formatCode>0.00</c:formatCode>
                <c:ptCount val="13"/>
                <c:pt idx="0">
                  <c:v>1.3333333333333334E-2</c:v>
                </c:pt>
                <c:pt idx="1">
                  <c:v>0.17333333333333334</c:v>
                </c:pt>
                <c:pt idx="2">
                  <c:v>0.14666666666666667</c:v>
                </c:pt>
                <c:pt idx="3">
                  <c:v>0.14666666666666667</c:v>
                </c:pt>
                <c:pt idx="4">
                  <c:v>0.13333333333333333</c:v>
                </c:pt>
                <c:pt idx="5">
                  <c:v>0.12</c:v>
                </c:pt>
                <c:pt idx="6">
                  <c:v>0.10666666666666667</c:v>
                </c:pt>
                <c:pt idx="7">
                  <c:v>0.12</c:v>
                </c:pt>
                <c:pt idx="8">
                  <c:v>2.6666666666666668E-2</c:v>
                </c:pt>
                <c:pt idx="9">
                  <c:v>0</c:v>
                </c:pt>
                <c:pt idx="10">
                  <c:v>1.3333333333333334E-2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0D-4334-901E-35670FB50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'0.ArdiData'!$B$2</c:f>
          <c:strCache>
            <c:ptCount val="1"/>
            <c:pt idx="0">
              <c:v>No Trend 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'0.ArdiData'!$A$3:$A$77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'0.ArdiData'!$B$3:$B$77</c:f>
              <c:numCache>
                <c:formatCode>General</c:formatCode>
                <c:ptCount val="75"/>
                <c:pt idx="0">
                  <c:v>4684</c:v>
                </c:pt>
                <c:pt idx="1">
                  <c:v>3687</c:v>
                </c:pt>
                <c:pt idx="2">
                  <c:v>8211</c:v>
                </c:pt>
                <c:pt idx="3">
                  <c:v>6446</c:v>
                </c:pt>
                <c:pt idx="4">
                  <c:v>3460</c:v>
                </c:pt>
                <c:pt idx="5">
                  <c:v>1628</c:v>
                </c:pt>
                <c:pt idx="6">
                  <c:v>1862</c:v>
                </c:pt>
                <c:pt idx="7">
                  <c:v>5172</c:v>
                </c:pt>
                <c:pt idx="8">
                  <c:v>1967</c:v>
                </c:pt>
                <c:pt idx="9">
                  <c:v>6204</c:v>
                </c:pt>
                <c:pt idx="10">
                  <c:v>3362</c:v>
                </c:pt>
                <c:pt idx="11">
                  <c:v>4644</c:v>
                </c:pt>
                <c:pt idx="12">
                  <c:v>6271</c:v>
                </c:pt>
                <c:pt idx="13">
                  <c:v>3854</c:v>
                </c:pt>
                <c:pt idx="14">
                  <c:v>3890</c:v>
                </c:pt>
                <c:pt idx="15">
                  <c:v>3144</c:v>
                </c:pt>
                <c:pt idx="16">
                  <c:v>1410</c:v>
                </c:pt>
                <c:pt idx="17">
                  <c:v>1888</c:v>
                </c:pt>
                <c:pt idx="18">
                  <c:v>4234</c:v>
                </c:pt>
                <c:pt idx="19">
                  <c:v>4968</c:v>
                </c:pt>
                <c:pt idx="20">
                  <c:v>4724</c:v>
                </c:pt>
                <c:pt idx="21">
                  <c:v>2942</c:v>
                </c:pt>
                <c:pt idx="22">
                  <c:v>5914</c:v>
                </c:pt>
                <c:pt idx="23">
                  <c:v>5287</c:v>
                </c:pt>
                <c:pt idx="24">
                  <c:v>1665</c:v>
                </c:pt>
                <c:pt idx="25">
                  <c:v>2099</c:v>
                </c:pt>
                <c:pt idx="26">
                  <c:v>3026</c:v>
                </c:pt>
                <c:pt idx="27">
                  <c:v>4826</c:v>
                </c:pt>
                <c:pt idx="28">
                  <c:v>1859</c:v>
                </c:pt>
                <c:pt idx="29">
                  <c:v>2706</c:v>
                </c:pt>
                <c:pt idx="30">
                  <c:v>4002</c:v>
                </c:pt>
                <c:pt idx="31">
                  <c:v>2314</c:v>
                </c:pt>
                <c:pt idx="32">
                  <c:v>1134</c:v>
                </c:pt>
                <c:pt idx="33">
                  <c:v>3284</c:v>
                </c:pt>
                <c:pt idx="34">
                  <c:v>4174</c:v>
                </c:pt>
                <c:pt idx="35">
                  <c:v>5621</c:v>
                </c:pt>
                <c:pt idx="36">
                  <c:v>4488</c:v>
                </c:pt>
                <c:pt idx="37">
                  <c:v>5611</c:v>
                </c:pt>
                <c:pt idx="38">
                  <c:v>4125</c:v>
                </c:pt>
                <c:pt idx="39">
                  <c:v>6088</c:v>
                </c:pt>
                <c:pt idx="40">
                  <c:v>2651</c:v>
                </c:pt>
                <c:pt idx="41">
                  <c:v>4530</c:v>
                </c:pt>
                <c:pt idx="42">
                  <c:v>1611</c:v>
                </c:pt>
                <c:pt idx="43">
                  <c:v>5174</c:v>
                </c:pt>
                <c:pt idx="44">
                  <c:v>5660</c:v>
                </c:pt>
                <c:pt idx="45">
                  <c:v>2669</c:v>
                </c:pt>
                <c:pt idx="46">
                  <c:v>2704</c:v>
                </c:pt>
                <c:pt idx="47">
                  <c:v>6903</c:v>
                </c:pt>
                <c:pt idx="48">
                  <c:v>4620</c:v>
                </c:pt>
                <c:pt idx="49">
                  <c:v>6033</c:v>
                </c:pt>
                <c:pt idx="50">
                  <c:v>3124</c:v>
                </c:pt>
                <c:pt idx="51">
                  <c:v>2772</c:v>
                </c:pt>
                <c:pt idx="52">
                  <c:v>3876</c:v>
                </c:pt>
                <c:pt idx="53">
                  <c:v>3542</c:v>
                </c:pt>
                <c:pt idx="54">
                  <c:v>2256</c:v>
                </c:pt>
                <c:pt idx="55">
                  <c:v>4955</c:v>
                </c:pt>
                <c:pt idx="56">
                  <c:v>3283</c:v>
                </c:pt>
                <c:pt idx="57">
                  <c:v>2769</c:v>
                </c:pt>
                <c:pt idx="58">
                  <c:v>2869</c:v>
                </c:pt>
                <c:pt idx="59">
                  <c:v>1844</c:v>
                </c:pt>
                <c:pt idx="60">
                  <c:v>5750</c:v>
                </c:pt>
                <c:pt idx="61">
                  <c:v>1458</c:v>
                </c:pt>
                <c:pt idx="62">
                  <c:v>5225</c:v>
                </c:pt>
                <c:pt idx="63">
                  <c:v>1438</c:v>
                </c:pt>
                <c:pt idx="64">
                  <c:v>2150</c:v>
                </c:pt>
                <c:pt idx="65">
                  <c:v>2305</c:v>
                </c:pt>
                <c:pt idx="66">
                  <c:v>4948</c:v>
                </c:pt>
                <c:pt idx="67">
                  <c:v>5092</c:v>
                </c:pt>
                <c:pt idx="68">
                  <c:v>4075</c:v>
                </c:pt>
                <c:pt idx="69">
                  <c:v>4508</c:v>
                </c:pt>
                <c:pt idx="70">
                  <c:v>1524</c:v>
                </c:pt>
                <c:pt idx="71">
                  <c:v>3284</c:v>
                </c:pt>
                <c:pt idx="72">
                  <c:v>2893</c:v>
                </c:pt>
                <c:pt idx="73">
                  <c:v>3941</c:v>
                </c:pt>
                <c:pt idx="74">
                  <c:v>2571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9EC-4318-A202-EABE71494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'0.ArdiData'!$C$2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'0.ArdiData'!$A$3:$A$77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'0.ArdiData'!$C$3:$C$77</c:f>
              <c:numCache>
                <c:formatCode>General</c:formatCode>
                <c:ptCount val="75"/>
                <c:pt idx="0">
                  <c:v>1134</c:v>
                </c:pt>
                <c:pt idx="1">
                  <c:v>1410</c:v>
                </c:pt>
                <c:pt idx="2">
                  <c:v>1438</c:v>
                </c:pt>
                <c:pt idx="3">
                  <c:v>1458</c:v>
                </c:pt>
                <c:pt idx="4">
                  <c:v>1524</c:v>
                </c:pt>
                <c:pt idx="5">
                  <c:v>1611</c:v>
                </c:pt>
                <c:pt idx="6">
                  <c:v>1665</c:v>
                </c:pt>
                <c:pt idx="7">
                  <c:v>1628</c:v>
                </c:pt>
                <c:pt idx="8">
                  <c:v>1888</c:v>
                </c:pt>
                <c:pt idx="9">
                  <c:v>1844</c:v>
                </c:pt>
                <c:pt idx="10">
                  <c:v>1859</c:v>
                </c:pt>
                <c:pt idx="11">
                  <c:v>1862</c:v>
                </c:pt>
                <c:pt idx="12">
                  <c:v>2099</c:v>
                </c:pt>
                <c:pt idx="13">
                  <c:v>2256</c:v>
                </c:pt>
                <c:pt idx="14">
                  <c:v>2314</c:v>
                </c:pt>
                <c:pt idx="15">
                  <c:v>1967</c:v>
                </c:pt>
                <c:pt idx="16">
                  <c:v>2305</c:v>
                </c:pt>
                <c:pt idx="17">
                  <c:v>2150</c:v>
                </c:pt>
                <c:pt idx="18">
                  <c:v>2571</c:v>
                </c:pt>
                <c:pt idx="19">
                  <c:v>2651</c:v>
                </c:pt>
                <c:pt idx="20">
                  <c:v>2769</c:v>
                </c:pt>
                <c:pt idx="21">
                  <c:v>2704</c:v>
                </c:pt>
                <c:pt idx="22">
                  <c:v>2706</c:v>
                </c:pt>
                <c:pt idx="23">
                  <c:v>2772</c:v>
                </c:pt>
                <c:pt idx="24">
                  <c:v>2669</c:v>
                </c:pt>
                <c:pt idx="25">
                  <c:v>2893</c:v>
                </c:pt>
                <c:pt idx="26">
                  <c:v>2869</c:v>
                </c:pt>
                <c:pt idx="27">
                  <c:v>3284</c:v>
                </c:pt>
                <c:pt idx="28">
                  <c:v>3284</c:v>
                </c:pt>
                <c:pt idx="29">
                  <c:v>2942</c:v>
                </c:pt>
                <c:pt idx="30">
                  <c:v>3124</c:v>
                </c:pt>
                <c:pt idx="31">
                  <c:v>3026</c:v>
                </c:pt>
                <c:pt idx="32">
                  <c:v>3144</c:v>
                </c:pt>
                <c:pt idx="33">
                  <c:v>3283</c:v>
                </c:pt>
                <c:pt idx="34">
                  <c:v>3362</c:v>
                </c:pt>
                <c:pt idx="35">
                  <c:v>3854</c:v>
                </c:pt>
                <c:pt idx="36">
                  <c:v>3460</c:v>
                </c:pt>
                <c:pt idx="37">
                  <c:v>3542</c:v>
                </c:pt>
                <c:pt idx="38">
                  <c:v>3687</c:v>
                </c:pt>
                <c:pt idx="39">
                  <c:v>3890</c:v>
                </c:pt>
                <c:pt idx="40">
                  <c:v>3876</c:v>
                </c:pt>
                <c:pt idx="41">
                  <c:v>4174</c:v>
                </c:pt>
                <c:pt idx="42">
                  <c:v>4075</c:v>
                </c:pt>
                <c:pt idx="43">
                  <c:v>4125</c:v>
                </c:pt>
                <c:pt idx="44">
                  <c:v>4234</c:v>
                </c:pt>
                <c:pt idx="45">
                  <c:v>4488</c:v>
                </c:pt>
                <c:pt idx="46">
                  <c:v>3941</c:v>
                </c:pt>
                <c:pt idx="47">
                  <c:v>4002</c:v>
                </c:pt>
                <c:pt idx="48">
                  <c:v>4530</c:v>
                </c:pt>
                <c:pt idx="49">
                  <c:v>4508</c:v>
                </c:pt>
                <c:pt idx="50">
                  <c:v>4620</c:v>
                </c:pt>
                <c:pt idx="51">
                  <c:v>4724</c:v>
                </c:pt>
                <c:pt idx="52">
                  <c:v>4684</c:v>
                </c:pt>
                <c:pt idx="53">
                  <c:v>4644</c:v>
                </c:pt>
                <c:pt idx="54">
                  <c:v>4826</c:v>
                </c:pt>
                <c:pt idx="55">
                  <c:v>4948</c:v>
                </c:pt>
                <c:pt idx="56">
                  <c:v>4968</c:v>
                </c:pt>
                <c:pt idx="57">
                  <c:v>5225</c:v>
                </c:pt>
                <c:pt idx="58">
                  <c:v>4955</c:v>
                </c:pt>
                <c:pt idx="59">
                  <c:v>5092</c:v>
                </c:pt>
                <c:pt idx="60">
                  <c:v>5172</c:v>
                </c:pt>
                <c:pt idx="61">
                  <c:v>5174</c:v>
                </c:pt>
                <c:pt idx="62">
                  <c:v>5611</c:v>
                </c:pt>
                <c:pt idx="63">
                  <c:v>5287</c:v>
                </c:pt>
                <c:pt idx="64">
                  <c:v>5914</c:v>
                </c:pt>
                <c:pt idx="65">
                  <c:v>5660</c:v>
                </c:pt>
                <c:pt idx="66">
                  <c:v>5750</c:v>
                </c:pt>
                <c:pt idx="67">
                  <c:v>5621</c:v>
                </c:pt>
                <c:pt idx="68">
                  <c:v>6033</c:v>
                </c:pt>
                <c:pt idx="69">
                  <c:v>6088</c:v>
                </c:pt>
                <c:pt idx="70">
                  <c:v>6271</c:v>
                </c:pt>
                <c:pt idx="71">
                  <c:v>8211</c:v>
                </c:pt>
                <c:pt idx="72">
                  <c:v>6204</c:v>
                </c:pt>
                <c:pt idx="73">
                  <c:v>6446</c:v>
                </c:pt>
                <c:pt idx="74">
                  <c:v>6903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53F-4A2D-AD30-B5245E2F0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'0.ArdiData'!$D$2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'0.ArdiData'!$A$3:$A$77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'0.ArdiData'!$D$3:$D$77</c:f>
              <c:numCache>
                <c:formatCode>General</c:formatCode>
                <c:ptCount val="75"/>
                <c:pt idx="0">
                  <c:v>1134</c:v>
                </c:pt>
                <c:pt idx="1">
                  <c:v>1458</c:v>
                </c:pt>
                <c:pt idx="2">
                  <c:v>1665</c:v>
                </c:pt>
                <c:pt idx="3">
                  <c:v>1524</c:v>
                </c:pt>
                <c:pt idx="4">
                  <c:v>1410</c:v>
                </c:pt>
                <c:pt idx="5">
                  <c:v>1438</c:v>
                </c:pt>
                <c:pt idx="6">
                  <c:v>1862</c:v>
                </c:pt>
                <c:pt idx="7">
                  <c:v>2150</c:v>
                </c:pt>
                <c:pt idx="8">
                  <c:v>1967</c:v>
                </c:pt>
                <c:pt idx="9">
                  <c:v>1611</c:v>
                </c:pt>
                <c:pt idx="10">
                  <c:v>1628</c:v>
                </c:pt>
                <c:pt idx="11">
                  <c:v>1859</c:v>
                </c:pt>
                <c:pt idx="12">
                  <c:v>2706</c:v>
                </c:pt>
                <c:pt idx="13">
                  <c:v>2099</c:v>
                </c:pt>
                <c:pt idx="14">
                  <c:v>1844</c:v>
                </c:pt>
                <c:pt idx="15">
                  <c:v>1888</c:v>
                </c:pt>
                <c:pt idx="16">
                  <c:v>2305</c:v>
                </c:pt>
                <c:pt idx="17">
                  <c:v>2772</c:v>
                </c:pt>
                <c:pt idx="18">
                  <c:v>2704</c:v>
                </c:pt>
                <c:pt idx="19">
                  <c:v>2314</c:v>
                </c:pt>
                <c:pt idx="20">
                  <c:v>2256</c:v>
                </c:pt>
                <c:pt idx="21">
                  <c:v>2651</c:v>
                </c:pt>
                <c:pt idx="22">
                  <c:v>2893</c:v>
                </c:pt>
                <c:pt idx="23">
                  <c:v>2869</c:v>
                </c:pt>
                <c:pt idx="24">
                  <c:v>2669</c:v>
                </c:pt>
                <c:pt idx="25">
                  <c:v>2571</c:v>
                </c:pt>
                <c:pt idx="26">
                  <c:v>3026</c:v>
                </c:pt>
                <c:pt idx="27">
                  <c:v>3542</c:v>
                </c:pt>
                <c:pt idx="28">
                  <c:v>3124</c:v>
                </c:pt>
                <c:pt idx="29">
                  <c:v>2769</c:v>
                </c:pt>
                <c:pt idx="30">
                  <c:v>2942</c:v>
                </c:pt>
                <c:pt idx="31">
                  <c:v>3144</c:v>
                </c:pt>
                <c:pt idx="32">
                  <c:v>3890</c:v>
                </c:pt>
                <c:pt idx="33">
                  <c:v>3854</c:v>
                </c:pt>
                <c:pt idx="34">
                  <c:v>3284</c:v>
                </c:pt>
                <c:pt idx="35">
                  <c:v>3362</c:v>
                </c:pt>
                <c:pt idx="36">
                  <c:v>3460</c:v>
                </c:pt>
                <c:pt idx="37">
                  <c:v>4002</c:v>
                </c:pt>
                <c:pt idx="38">
                  <c:v>4174</c:v>
                </c:pt>
                <c:pt idx="39">
                  <c:v>3283</c:v>
                </c:pt>
                <c:pt idx="40">
                  <c:v>3284</c:v>
                </c:pt>
                <c:pt idx="41">
                  <c:v>4488</c:v>
                </c:pt>
                <c:pt idx="42">
                  <c:v>5225</c:v>
                </c:pt>
                <c:pt idx="43">
                  <c:v>4125</c:v>
                </c:pt>
                <c:pt idx="44">
                  <c:v>3687</c:v>
                </c:pt>
                <c:pt idx="45">
                  <c:v>3941</c:v>
                </c:pt>
                <c:pt idx="46">
                  <c:v>4075</c:v>
                </c:pt>
                <c:pt idx="47">
                  <c:v>5914</c:v>
                </c:pt>
                <c:pt idx="48">
                  <c:v>5092</c:v>
                </c:pt>
                <c:pt idx="49">
                  <c:v>3876</c:v>
                </c:pt>
                <c:pt idx="50">
                  <c:v>4234</c:v>
                </c:pt>
                <c:pt idx="51">
                  <c:v>5174</c:v>
                </c:pt>
                <c:pt idx="52">
                  <c:v>5621</c:v>
                </c:pt>
                <c:pt idx="53">
                  <c:v>4724</c:v>
                </c:pt>
                <c:pt idx="54">
                  <c:v>4508</c:v>
                </c:pt>
                <c:pt idx="55">
                  <c:v>4620</c:v>
                </c:pt>
                <c:pt idx="56">
                  <c:v>4968</c:v>
                </c:pt>
                <c:pt idx="57">
                  <c:v>6204</c:v>
                </c:pt>
                <c:pt idx="58">
                  <c:v>4948</c:v>
                </c:pt>
                <c:pt idx="59">
                  <c:v>4826</c:v>
                </c:pt>
                <c:pt idx="60">
                  <c:v>4530</c:v>
                </c:pt>
                <c:pt idx="61">
                  <c:v>5172</c:v>
                </c:pt>
                <c:pt idx="62">
                  <c:v>6446</c:v>
                </c:pt>
                <c:pt idx="63">
                  <c:v>5660</c:v>
                </c:pt>
                <c:pt idx="64">
                  <c:v>4644</c:v>
                </c:pt>
                <c:pt idx="65">
                  <c:v>4684</c:v>
                </c:pt>
                <c:pt idx="66">
                  <c:v>6088</c:v>
                </c:pt>
                <c:pt idx="67">
                  <c:v>6903</c:v>
                </c:pt>
                <c:pt idx="68">
                  <c:v>5611</c:v>
                </c:pt>
                <c:pt idx="69">
                  <c:v>4955</c:v>
                </c:pt>
                <c:pt idx="70">
                  <c:v>5287</c:v>
                </c:pt>
                <c:pt idx="71">
                  <c:v>6271</c:v>
                </c:pt>
                <c:pt idx="72">
                  <c:v>8211</c:v>
                </c:pt>
                <c:pt idx="73">
                  <c:v>6033</c:v>
                </c:pt>
                <c:pt idx="74">
                  <c:v>5750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9D0-40ED-A039-8A89C649F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'2.SeasRegChopraMineEvenp5'!$A$4:$A$78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'2.SeasRegChopraMineEvenp5'!$C$4:$C$78</c:f>
              <c:numCache>
                <c:formatCode>0</c:formatCode>
                <c:ptCount val="75"/>
                <c:pt idx="0">
                  <c:v>1120</c:v>
                </c:pt>
                <c:pt idx="1">
                  <c:v>1461</c:v>
                </c:pt>
                <c:pt idx="2">
                  <c:v>1719</c:v>
                </c:pt>
                <c:pt idx="3">
                  <c:v>1692</c:v>
                </c:pt>
                <c:pt idx="4">
                  <c:v>1362</c:v>
                </c:pt>
                <c:pt idx="5">
                  <c:v>1505</c:v>
                </c:pt>
                <c:pt idx="6">
                  <c:v>1823</c:v>
                </c:pt>
                <c:pt idx="7">
                  <c:v>2041</c:v>
                </c:pt>
                <c:pt idx="8">
                  <c:v>2045</c:v>
                </c:pt>
                <c:pt idx="9">
                  <c:v>1780</c:v>
                </c:pt>
                <c:pt idx="10">
                  <c:v>1866</c:v>
                </c:pt>
                <c:pt idx="11">
                  <c:v>2079</c:v>
                </c:pt>
                <c:pt idx="12">
                  <c:v>2977</c:v>
                </c:pt>
                <c:pt idx="13">
                  <c:v>2300</c:v>
                </c:pt>
                <c:pt idx="14">
                  <c:v>2043</c:v>
                </c:pt>
                <c:pt idx="15">
                  <c:v>2108</c:v>
                </c:pt>
                <c:pt idx="16">
                  <c:v>2488</c:v>
                </c:pt>
                <c:pt idx="17">
                  <c:v>3176</c:v>
                </c:pt>
                <c:pt idx="18">
                  <c:v>2532</c:v>
                </c:pt>
                <c:pt idx="19">
                  <c:v>2474</c:v>
                </c:pt>
                <c:pt idx="20">
                  <c:v>2596</c:v>
                </c:pt>
                <c:pt idx="21">
                  <c:v>3039</c:v>
                </c:pt>
                <c:pt idx="22">
                  <c:v>3674</c:v>
                </c:pt>
                <c:pt idx="23">
                  <c:v>3489</c:v>
                </c:pt>
                <c:pt idx="24">
                  <c:v>2914</c:v>
                </c:pt>
                <c:pt idx="25">
                  <c:v>2723</c:v>
                </c:pt>
                <c:pt idx="26">
                  <c:v>3440</c:v>
                </c:pt>
                <c:pt idx="27">
                  <c:v>4085</c:v>
                </c:pt>
                <c:pt idx="28">
                  <c:v>3608</c:v>
                </c:pt>
                <c:pt idx="29">
                  <c:v>3057</c:v>
                </c:pt>
                <c:pt idx="30">
                  <c:v>3152</c:v>
                </c:pt>
                <c:pt idx="31">
                  <c:v>4138</c:v>
                </c:pt>
                <c:pt idx="32">
                  <c:v>4569</c:v>
                </c:pt>
                <c:pt idx="33">
                  <c:v>3875</c:v>
                </c:pt>
                <c:pt idx="34">
                  <c:v>3446</c:v>
                </c:pt>
                <c:pt idx="35">
                  <c:v>3371</c:v>
                </c:pt>
                <c:pt idx="36">
                  <c:v>3948</c:v>
                </c:pt>
                <c:pt idx="37">
                  <c:v>4932</c:v>
                </c:pt>
                <c:pt idx="38">
                  <c:v>4541</c:v>
                </c:pt>
                <c:pt idx="39">
                  <c:v>3825</c:v>
                </c:pt>
                <c:pt idx="40">
                  <c:v>3752</c:v>
                </c:pt>
                <c:pt idx="41">
                  <c:v>4684</c:v>
                </c:pt>
                <c:pt idx="42">
                  <c:v>5464</c:v>
                </c:pt>
                <c:pt idx="43">
                  <c:v>4813</c:v>
                </c:pt>
                <c:pt idx="44">
                  <c:v>4251</c:v>
                </c:pt>
                <c:pt idx="45">
                  <c:v>4209</c:v>
                </c:pt>
                <c:pt idx="46">
                  <c:v>4963</c:v>
                </c:pt>
                <c:pt idx="47">
                  <c:v>6340</c:v>
                </c:pt>
                <c:pt idx="48">
                  <c:v>5678</c:v>
                </c:pt>
                <c:pt idx="49">
                  <c:v>4483</c:v>
                </c:pt>
                <c:pt idx="50">
                  <c:v>4798</c:v>
                </c:pt>
                <c:pt idx="51">
                  <c:v>5479</c:v>
                </c:pt>
                <c:pt idx="52">
                  <c:v>5616</c:v>
                </c:pt>
                <c:pt idx="53">
                  <c:v>5762</c:v>
                </c:pt>
                <c:pt idx="54">
                  <c:v>4740</c:v>
                </c:pt>
                <c:pt idx="55">
                  <c:v>5189</c:v>
                </c:pt>
                <c:pt idx="56">
                  <c:v>6383</c:v>
                </c:pt>
                <c:pt idx="57">
                  <c:v>7473</c:v>
                </c:pt>
                <c:pt idx="58">
                  <c:v>6110</c:v>
                </c:pt>
                <c:pt idx="59">
                  <c:v>5294</c:v>
                </c:pt>
                <c:pt idx="60">
                  <c:v>5087</c:v>
                </c:pt>
                <c:pt idx="61">
                  <c:v>6800</c:v>
                </c:pt>
                <c:pt idx="62">
                  <c:v>6534</c:v>
                </c:pt>
                <c:pt idx="63">
                  <c:v>6708</c:v>
                </c:pt>
                <c:pt idx="64">
                  <c:v>5734</c:v>
                </c:pt>
                <c:pt idx="65">
                  <c:v>5374</c:v>
                </c:pt>
                <c:pt idx="66">
                  <c:v>6780</c:v>
                </c:pt>
                <c:pt idx="67">
                  <c:v>6999</c:v>
                </c:pt>
                <c:pt idx="68">
                  <c:v>6735</c:v>
                </c:pt>
                <c:pt idx="69">
                  <c:v>6144</c:v>
                </c:pt>
                <c:pt idx="70">
                  <c:v>5859</c:v>
                </c:pt>
                <c:pt idx="71">
                  <c:v>7351</c:v>
                </c:pt>
                <c:pt idx="72">
                  <c:v>8831</c:v>
                </c:pt>
                <c:pt idx="73">
                  <c:v>7406</c:v>
                </c:pt>
                <c:pt idx="74">
                  <c:v>6382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DE-4E13-9E73-3FBDEA19C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608008"/>
        <c:axId val="839030296"/>
      </c:scatterChart>
      <c:valAx>
        <c:axId val="829608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030296"/>
        <c:crosses val="autoZero"/>
        <c:crossBetween val="midCat"/>
      </c:valAx>
      <c:valAx>
        <c:axId val="83903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608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'2.SeasRegChopraMineEvenp5'!$D$3</c:f>
          <c:strCache>
            <c:ptCount val="1"/>
            <c:pt idx="0">
              <c:v>Centered-MA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'2.SeasRegChopraMineEvenp5'!$A$4:$A$78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'2.SeasRegChopraMineEvenp5'!$D$4:$D$78</c:f>
              <c:numCache>
                <c:formatCode>General</c:formatCode>
                <c:ptCount val="75"/>
                <c:pt idx="2" formatCode="0">
                  <c:v>1470.8</c:v>
                </c:pt>
                <c:pt idx="3" formatCode="0">
                  <c:v>1547.8</c:v>
                </c:pt>
                <c:pt idx="4" formatCode="0">
                  <c:v>1620.2</c:v>
                </c:pt>
                <c:pt idx="5" formatCode="0">
                  <c:v>1684.6</c:v>
                </c:pt>
                <c:pt idx="6" formatCode="0">
                  <c:v>1755.2</c:v>
                </c:pt>
                <c:pt idx="7" formatCode="0">
                  <c:v>1838.8</c:v>
                </c:pt>
                <c:pt idx="8" formatCode="0">
                  <c:v>1911</c:v>
                </c:pt>
                <c:pt idx="9" formatCode="0">
                  <c:v>1962.2</c:v>
                </c:pt>
                <c:pt idx="10" formatCode="0">
                  <c:v>2149.4</c:v>
                </c:pt>
                <c:pt idx="11" formatCode="0">
                  <c:v>2200.4</c:v>
                </c:pt>
                <c:pt idx="12" formatCode="0">
                  <c:v>2253</c:v>
                </c:pt>
                <c:pt idx="13" formatCode="0">
                  <c:v>2301.4</c:v>
                </c:pt>
                <c:pt idx="14" formatCode="0">
                  <c:v>2383.1999999999998</c:v>
                </c:pt>
                <c:pt idx="15" formatCode="0">
                  <c:v>2423</c:v>
                </c:pt>
                <c:pt idx="16" formatCode="0">
                  <c:v>2469.4</c:v>
                </c:pt>
                <c:pt idx="17" formatCode="0">
                  <c:v>2555.6</c:v>
                </c:pt>
                <c:pt idx="18" formatCode="0">
                  <c:v>2653.2</c:v>
                </c:pt>
                <c:pt idx="19" formatCode="0">
                  <c:v>2763.4</c:v>
                </c:pt>
                <c:pt idx="20" formatCode="0">
                  <c:v>2863</c:v>
                </c:pt>
                <c:pt idx="21" formatCode="0">
                  <c:v>3054.4</c:v>
                </c:pt>
                <c:pt idx="22" formatCode="0">
                  <c:v>3142.4</c:v>
                </c:pt>
                <c:pt idx="23" formatCode="0">
                  <c:v>3167.8</c:v>
                </c:pt>
                <c:pt idx="24" formatCode="0">
                  <c:v>3248</c:v>
                </c:pt>
                <c:pt idx="25" formatCode="0">
                  <c:v>3330.2</c:v>
                </c:pt>
                <c:pt idx="26" formatCode="0">
                  <c:v>3354</c:v>
                </c:pt>
                <c:pt idx="27" formatCode="0">
                  <c:v>3382.6</c:v>
                </c:pt>
                <c:pt idx="28" formatCode="0">
                  <c:v>3468.4</c:v>
                </c:pt>
                <c:pt idx="29" formatCode="0">
                  <c:v>3608</c:v>
                </c:pt>
                <c:pt idx="30" formatCode="0">
                  <c:v>3704.8</c:v>
                </c:pt>
                <c:pt idx="31" formatCode="0">
                  <c:v>3758.2</c:v>
                </c:pt>
                <c:pt idx="32" formatCode="0">
                  <c:v>3836</c:v>
                </c:pt>
                <c:pt idx="33" formatCode="0">
                  <c:v>3879.8</c:v>
                </c:pt>
                <c:pt idx="34" formatCode="0">
                  <c:v>3841.8</c:v>
                </c:pt>
                <c:pt idx="35" formatCode="0">
                  <c:v>3914.4</c:v>
                </c:pt>
                <c:pt idx="36" formatCode="0">
                  <c:v>4047.6</c:v>
                </c:pt>
                <c:pt idx="37" formatCode="0">
                  <c:v>4123.3999999999996</c:v>
                </c:pt>
                <c:pt idx="38" formatCode="0">
                  <c:v>4199.6000000000004</c:v>
                </c:pt>
                <c:pt idx="39" formatCode="0">
                  <c:v>4346.8</c:v>
                </c:pt>
                <c:pt idx="40" formatCode="0">
                  <c:v>4453.2</c:v>
                </c:pt>
                <c:pt idx="41" formatCode="0">
                  <c:v>4507.6000000000004</c:v>
                </c:pt>
                <c:pt idx="42" formatCode="0">
                  <c:v>4592.8</c:v>
                </c:pt>
                <c:pt idx="43" formatCode="0">
                  <c:v>4684.2</c:v>
                </c:pt>
                <c:pt idx="44" formatCode="0">
                  <c:v>4740</c:v>
                </c:pt>
                <c:pt idx="45" formatCode="0">
                  <c:v>4915.2</c:v>
                </c:pt>
                <c:pt idx="46" formatCode="0">
                  <c:v>5088.2</c:v>
                </c:pt>
                <c:pt idx="47" formatCode="0">
                  <c:v>5134.6000000000004</c:v>
                </c:pt>
                <c:pt idx="48" formatCode="0">
                  <c:v>5252.4</c:v>
                </c:pt>
                <c:pt idx="49" formatCode="0">
                  <c:v>5355.6</c:v>
                </c:pt>
                <c:pt idx="50" formatCode="0">
                  <c:v>5210.8</c:v>
                </c:pt>
                <c:pt idx="51" formatCode="0">
                  <c:v>5227.6000000000004</c:v>
                </c:pt>
                <c:pt idx="52" formatCode="0">
                  <c:v>5279</c:v>
                </c:pt>
                <c:pt idx="53" formatCode="0">
                  <c:v>5357.2</c:v>
                </c:pt>
                <c:pt idx="54" formatCode="0">
                  <c:v>5538</c:v>
                </c:pt>
                <c:pt idx="55" formatCode="0">
                  <c:v>5909.4</c:v>
                </c:pt>
                <c:pt idx="56" formatCode="0">
                  <c:v>5979</c:v>
                </c:pt>
                <c:pt idx="57" formatCode="0">
                  <c:v>6089.8</c:v>
                </c:pt>
                <c:pt idx="58" formatCode="0">
                  <c:v>6069.4</c:v>
                </c:pt>
                <c:pt idx="59" formatCode="0">
                  <c:v>6152.8</c:v>
                </c:pt>
                <c:pt idx="60" formatCode="0">
                  <c:v>5965</c:v>
                </c:pt>
                <c:pt idx="61" formatCode="0">
                  <c:v>6084.6</c:v>
                </c:pt>
                <c:pt idx="62" formatCode="0">
                  <c:v>6172.6</c:v>
                </c:pt>
                <c:pt idx="63" formatCode="0">
                  <c:v>6230</c:v>
                </c:pt>
                <c:pt idx="64" formatCode="0">
                  <c:v>6226</c:v>
                </c:pt>
                <c:pt idx="65" formatCode="0">
                  <c:v>6319</c:v>
                </c:pt>
                <c:pt idx="66" formatCode="0">
                  <c:v>6324.4</c:v>
                </c:pt>
                <c:pt idx="67" formatCode="0">
                  <c:v>6406.4</c:v>
                </c:pt>
                <c:pt idx="68" formatCode="0">
                  <c:v>6503.4</c:v>
                </c:pt>
                <c:pt idx="69" formatCode="0">
                  <c:v>6617.6</c:v>
                </c:pt>
                <c:pt idx="70" formatCode="0">
                  <c:v>6984</c:v>
                </c:pt>
                <c:pt idx="71" formatCode="0">
                  <c:v>7118.2</c:v>
                </c:pt>
                <c:pt idx="72" formatCode="0">
                  <c:v>7165.8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35-45B4-A496-371699591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608008"/>
        <c:axId val="839030296"/>
      </c:scatterChart>
      <c:valAx>
        <c:axId val="829608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030296"/>
        <c:crosses val="autoZero"/>
        <c:crossBetween val="midCat"/>
      </c:valAx>
      <c:valAx>
        <c:axId val="83903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608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'2.SeasRegChopraMineEvenp5'!$E$3</c:f>
          <c:strCache>
            <c:ptCount val="1"/>
            <c:pt idx="0">
              <c:v>Reg-Cen-MA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D7D31"/>
              </a:solidFill>
              <a:ln w="9525">
                <a:solidFill>
                  <a:srgbClr val="ED7D31"/>
                </a:solidFill>
              </a:ln>
              <a:effectLst/>
            </c:spPr>
          </c:marker>
          <c:xVal>
            <c:numRef>
              <c:f>'2.SeasRegChopraMineEvenp5'!$A$4:$A$78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'2.SeasRegChopraMineEvenp5'!$E$4:$E$78</c:f>
              <c:numCache>
                <c:formatCode>0.0</c:formatCode>
                <c:ptCount val="75"/>
                <c:pt idx="0">
                  <c:v>1282.398021462107</c:v>
                </c:pt>
                <c:pt idx="1">
                  <c:v>1361.8869215291759</c:v>
                </c:pt>
                <c:pt idx="2">
                  <c:v>1441.375821596245</c:v>
                </c:pt>
                <c:pt idx="3">
                  <c:v>1520.8647216633142</c:v>
                </c:pt>
                <c:pt idx="4">
                  <c:v>1600.3536217303831</c:v>
                </c:pt>
                <c:pt idx="5">
                  <c:v>1679.8425217974523</c:v>
                </c:pt>
                <c:pt idx="6">
                  <c:v>1759.3314218645214</c:v>
                </c:pt>
                <c:pt idx="7">
                  <c:v>1838.8203219315906</c:v>
                </c:pt>
                <c:pt idx="8">
                  <c:v>1918.3092219986595</c:v>
                </c:pt>
                <c:pt idx="9">
                  <c:v>1997.7981220657286</c:v>
                </c:pt>
                <c:pt idx="10">
                  <c:v>2077.2870221327976</c:v>
                </c:pt>
                <c:pt idx="11">
                  <c:v>2156.7759221998667</c:v>
                </c:pt>
                <c:pt idx="12">
                  <c:v>2236.2648222669359</c:v>
                </c:pt>
                <c:pt idx="13">
                  <c:v>2315.753722334005</c:v>
                </c:pt>
                <c:pt idx="14">
                  <c:v>2395.2426224010742</c:v>
                </c:pt>
                <c:pt idx="15">
                  <c:v>2474.7315224681433</c:v>
                </c:pt>
                <c:pt idx="16">
                  <c:v>2554.2204225352125</c:v>
                </c:pt>
                <c:pt idx="17">
                  <c:v>2633.7093226022812</c:v>
                </c:pt>
                <c:pt idx="18">
                  <c:v>2713.1982226693503</c:v>
                </c:pt>
                <c:pt idx="19">
                  <c:v>2792.6871227364195</c:v>
                </c:pt>
                <c:pt idx="20">
                  <c:v>2872.1760228034882</c:v>
                </c:pt>
                <c:pt idx="21">
                  <c:v>2951.6649228705573</c:v>
                </c:pt>
                <c:pt idx="22">
                  <c:v>3031.1538229376265</c:v>
                </c:pt>
                <c:pt idx="23">
                  <c:v>3110.6427230046957</c:v>
                </c:pt>
                <c:pt idx="24">
                  <c:v>3190.1316230717648</c:v>
                </c:pt>
                <c:pt idx="25">
                  <c:v>3269.620523138834</c:v>
                </c:pt>
                <c:pt idx="26">
                  <c:v>3349.1094232059031</c:v>
                </c:pt>
                <c:pt idx="27">
                  <c:v>3428.5983232729723</c:v>
                </c:pt>
                <c:pt idx="28">
                  <c:v>3508.087223340041</c:v>
                </c:pt>
                <c:pt idx="29">
                  <c:v>3587.5761234071101</c:v>
                </c:pt>
                <c:pt idx="30">
                  <c:v>3667.0650234741793</c:v>
                </c:pt>
                <c:pt idx="31">
                  <c:v>3746.5539235412484</c:v>
                </c:pt>
                <c:pt idx="32">
                  <c:v>3826.0428236083176</c:v>
                </c:pt>
                <c:pt idx="33">
                  <c:v>3905.5317236753867</c:v>
                </c:pt>
                <c:pt idx="34">
                  <c:v>3985.0206237424559</c:v>
                </c:pt>
                <c:pt idx="35">
                  <c:v>4064.5095238095246</c:v>
                </c:pt>
                <c:pt idx="36">
                  <c:v>4143.9984238765937</c:v>
                </c:pt>
                <c:pt idx="37">
                  <c:v>4223.4873239436629</c:v>
                </c:pt>
                <c:pt idx="38">
                  <c:v>4302.976224010732</c:v>
                </c:pt>
                <c:pt idx="39">
                  <c:v>4382.4651240778012</c:v>
                </c:pt>
                <c:pt idx="40">
                  <c:v>4461.9540241448703</c:v>
                </c:pt>
                <c:pt idx="41">
                  <c:v>4541.4429242119386</c:v>
                </c:pt>
                <c:pt idx="42">
                  <c:v>4620.9318242790087</c:v>
                </c:pt>
                <c:pt idx="43">
                  <c:v>4700.4207243460769</c:v>
                </c:pt>
                <c:pt idx="44">
                  <c:v>4779.909624413147</c:v>
                </c:pt>
                <c:pt idx="45">
                  <c:v>4859.3985244802152</c:v>
                </c:pt>
                <c:pt idx="46">
                  <c:v>4938.8874245472853</c:v>
                </c:pt>
                <c:pt idx="47">
                  <c:v>5018.3763246143535</c:v>
                </c:pt>
                <c:pt idx="48">
                  <c:v>5097.8652246814227</c:v>
                </c:pt>
                <c:pt idx="49">
                  <c:v>5177.3541247484918</c:v>
                </c:pt>
                <c:pt idx="50">
                  <c:v>5256.843024815561</c:v>
                </c:pt>
                <c:pt idx="51">
                  <c:v>5336.3319248826301</c:v>
                </c:pt>
                <c:pt idx="52">
                  <c:v>5415.8208249496993</c:v>
                </c:pt>
                <c:pt idx="53">
                  <c:v>5495.3097250167684</c:v>
                </c:pt>
                <c:pt idx="54">
                  <c:v>5574.7986250838376</c:v>
                </c:pt>
                <c:pt idx="55">
                  <c:v>5654.2875251509067</c:v>
                </c:pt>
                <c:pt idx="56">
                  <c:v>5733.7764252179759</c:v>
                </c:pt>
                <c:pt idx="57">
                  <c:v>5813.2653252850441</c:v>
                </c:pt>
                <c:pt idx="58">
                  <c:v>5892.7542253521133</c:v>
                </c:pt>
                <c:pt idx="59">
                  <c:v>5972.2431254191824</c:v>
                </c:pt>
                <c:pt idx="60">
                  <c:v>6051.7320254862516</c:v>
                </c:pt>
                <c:pt idx="61">
                  <c:v>6131.2209255533207</c:v>
                </c:pt>
                <c:pt idx="62">
                  <c:v>6210.7098256203899</c:v>
                </c:pt>
                <c:pt idx="63">
                  <c:v>6290.198725687459</c:v>
                </c:pt>
                <c:pt idx="64">
                  <c:v>6369.6876257545282</c:v>
                </c:pt>
                <c:pt idx="65">
                  <c:v>6449.1765258215974</c:v>
                </c:pt>
                <c:pt idx="66">
                  <c:v>6528.6654258886665</c:v>
                </c:pt>
                <c:pt idx="67">
                  <c:v>6608.1543259557357</c:v>
                </c:pt>
                <c:pt idx="68">
                  <c:v>6687.6432260228048</c:v>
                </c:pt>
                <c:pt idx="69">
                  <c:v>6767.132126089874</c:v>
                </c:pt>
                <c:pt idx="70">
                  <c:v>6846.6210261569422</c:v>
                </c:pt>
                <c:pt idx="71">
                  <c:v>6926.1099262240114</c:v>
                </c:pt>
                <c:pt idx="72">
                  <c:v>7005.5988262910805</c:v>
                </c:pt>
                <c:pt idx="73">
                  <c:v>7085.0877263581497</c:v>
                </c:pt>
                <c:pt idx="74">
                  <c:v>7164.5766264252188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F6-44BE-9450-569D80798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608008"/>
        <c:axId val="839030296"/>
      </c:scatterChart>
      <c:valAx>
        <c:axId val="829608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030296"/>
        <c:crosses val="autoZero"/>
        <c:crossBetween val="midCat"/>
      </c:valAx>
      <c:valAx>
        <c:axId val="83903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608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'2.SeasRegChopraMineEvenp5'!$H$3</c:f>
          <c:strCache>
            <c:ptCount val="1"/>
            <c:pt idx="0">
              <c:v>Forecast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'2.SeasRegChopraMineEvenp5'!$A$4:$A$78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'2.SeasRegChopraMineEvenp5'!$C$4:$C$78</c:f>
              <c:numCache>
                <c:formatCode>0</c:formatCode>
                <c:ptCount val="75"/>
                <c:pt idx="0">
                  <c:v>1120</c:v>
                </c:pt>
                <c:pt idx="1">
                  <c:v>1461</c:v>
                </c:pt>
                <c:pt idx="2">
                  <c:v>1719</c:v>
                </c:pt>
                <c:pt idx="3">
                  <c:v>1692</c:v>
                </c:pt>
                <c:pt idx="4">
                  <c:v>1362</c:v>
                </c:pt>
                <c:pt idx="5">
                  <c:v>1505</c:v>
                </c:pt>
                <c:pt idx="6">
                  <c:v>1823</c:v>
                </c:pt>
                <c:pt idx="7">
                  <c:v>2041</c:v>
                </c:pt>
                <c:pt idx="8">
                  <c:v>2045</c:v>
                </c:pt>
                <c:pt idx="9">
                  <c:v>1780</c:v>
                </c:pt>
                <c:pt idx="10">
                  <c:v>1866</c:v>
                </c:pt>
                <c:pt idx="11">
                  <c:v>2079</c:v>
                </c:pt>
                <c:pt idx="12">
                  <c:v>2977</c:v>
                </c:pt>
                <c:pt idx="13">
                  <c:v>2300</c:v>
                </c:pt>
                <c:pt idx="14">
                  <c:v>2043</c:v>
                </c:pt>
                <c:pt idx="15">
                  <c:v>2108</c:v>
                </c:pt>
                <c:pt idx="16">
                  <c:v>2488</c:v>
                </c:pt>
                <c:pt idx="17">
                  <c:v>3176</c:v>
                </c:pt>
                <c:pt idx="18">
                  <c:v>2532</c:v>
                </c:pt>
                <c:pt idx="19">
                  <c:v>2474</c:v>
                </c:pt>
                <c:pt idx="20">
                  <c:v>2596</c:v>
                </c:pt>
                <c:pt idx="21">
                  <c:v>3039</c:v>
                </c:pt>
                <c:pt idx="22">
                  <c:v>3674</c:v>
                </c:pt>
                <c:pt idx="23">
                  <c:v>3489</c:v>
                </c:pt>
                <c:pt idx="24">
                  <c:v>2914</c:v>
                </c:pt>
                <c:pt idx="25">
                  <c:v>2723</c:v>
                </c:pt>
                <c:pt idx="26">
                  <c:v>3440</c:v>
                </c:pt>
                <c:pt idx="27">
                  <c:v>4085</c:v>
                </c:pt>
                <c:pt idx="28">
                  <c:v>3608</c:v>
                </c:pt>
                <c:pt idx="29">
                  <c:v>3057</c:v>
                </c:pt>
                <c:pt idx="30">
                  <c:v>3152</c:v>
                </c:pt>
                <c:pt idx="31">
                  <c:v>4138</c:v>
                </c:pt>
                <c:pt idx="32">
                  <c:v>4569</c:v>
                </c:pt>
                <c:pt idx="33">
                  <c:v>3875</c:v>
                </c:pt>
                <c:pt idx="34">
                  <c:v>3446</c:v>
                </c:pt>
                <c:pt idx="35">
                  <c:v>3371</c:v>
                </c:pt>
                <c:pt idx="36">
                  <c:v>3948</c:v>
                </c:pt>
                <c:pt idx="37">
                  <c:v>4932</c:v>
                </c:pt>
                <c:pt idx="38">
                  <c:v>4541</c:v>
                </c:pt>
                <c:pt idx="39">
                  <c:v>3825</c:v>
                </c:pt>
                <c:pt idx="40">
                  <c:v>3752</c:v>
                </c:pt>
                <c:pt idx="41">
                  <c:v>4684</c:v>
                </c:pt>
                <c:pt idx="42">
                  <c:v>5464</c:v>
                </c:pt>
                <c:pt idx="43">
                  <c:v>4813</c:v>
                </c:pt>
                <c:pt idx="44">
                  <c:v>4251</c:v>
                </c:pt>
                <c:pt idx="45">
                  <c:v>4209</c:v>
                </c:pt>
                <c:pt idx="46">
                  <c:v>4963</c:v>
                </c:pt>
                <c:pt idx="47">
                  <c:v>6340</c:v>
                </c:pt>
                <c:pt idx="48">
                  <c:v>5678</c:v>
                </c:pt>
                <c:pt idx="49">
                  <c:v>4483</c:v>
                </c:pt>
                <c:pt idx="50">
                  <c:v>4798</c:v>
                </c:pt>
                <c:pt idx="51">
                  <c:v>5479</c:v>
                </c:pt>
                <c:pt idx="52">
                  <c:v>5616</c:v>
                </c:pt>
                <c:pt idx="53">
                  <c:v>5762</c:v>
                </c:pt>
                <c:pt idx="54">
                  <c:v>4740</c:v>
                </c:pt>
                <c:pt idx="55">
                  <c:v>5189</c:v>
                </c:pt>
                <c:pt idx="56">
                  <c:v>6383</c:v>
                </c:pt>
                <c:pt idx="57">
                  <c:v>7473</c:v>
                </c:pt>
                <c:pt idx="58">
                  <c:v>6110</c:v>
                </c:pt>
                <c:pt idx="59">
                  <c:v>5294</c:v>
                </c:pt>
                <c:pt idx="60">
                  <c:v>5087</c:v>
                </c:pt>
                <c:pt idx="61">
                  <c:v>6800</c:v>
                </c:pt>
                <c:pt idx="62">
                  <c:v>6534</c:v>
                </c:pt>
                <c:pt idx="63">
                  <c:v>6708</c:v>
                </c:pt>
                <c:pt idx="64">
                  <c:v>5734</c:v>
                </c:pt>
                <c:pt idx="65">
                  <c:v>5374</c:v>
                </c:pt>
                <c:pt idx="66">
                  <c:v>6780</c:v>
                </c:pt>
                <c:pt idx="67">
                  <c:v>6999</c:v>
                </c:pt>
                <c:pt idx="68">
                  <c:v>6735</c:v>
                </c:pt>
                <c:pt idx="69">
                  <c:v>6144</c:v>
                </c:pt>
                <c:pt idx="70">
                  <c:v>5859</c:v>
                </c:pt>
                <c:pt idx="71">
                  <c:v>7351</c:v>
                </c:pt>
                <c:pt idx="72">
                  <c:v>8831</c:v>
                </c:pt>
                <c:pt idx="73">
                  <c:v>7406</c:v>
                </c:pt>
                <c:pt idx="74">
                  <c:v>6382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03-4805-9951-2692FBA5BDE3}"/>
            </c:ext>
          </c:extLst>
        </c:ser>
        <c:ser>
          <c:idx val="1"/>
          <c:order val="1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'2.SeasRegChopraMineEvenp5'!$A$4:$A$78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'2.SeasRegChopraMineEvenp5'!$H$4:$H$83</c:f>
              <c:numCache>
                <c:formatCode>0.00</c:formatCode>
                <c:ptCount val="80"/>
                <c:pt idx="0">
                  <c:v>1110.6261044772873</c:v>
                </c:pt>
                <c:pt idx="1">
                  <c:v>1409.160246779006</c:v>
                </c:pt>
                <c:pt idx="2">
                  <c:v>1702.3844873772532</c:v>
                </c:pt>
                <c:pt idx="3">
                  <c:v>1583.6261987070432</c:v>
                </c:pt>
                <c:pt idx="4">
                  <c:v>1403.3248962376874</c:v>
                </c:pt>
                <c:pt idx="5">
                  <c:v>1454.8345559610916</c:v>
                </c:pt>
                <c:pt idx="6">
                  <c:v>1820.4006965695476</c:v>
                </c:pt>
                <c:pt idx="7">
                  <c:v>2171.7994323393482</c:v>
                </c:pt>
                <c:pt idx="8">
                  <c:v>1997.4720288442084</c:v>
                </c:pt>
                <c:pt idx="9">
                  <c:v>1751.8377215408084</c:v>
                </c:pt>
                <c:pt idx="10">
                  <c:v>1799.0430074448961</c:v>
                </c:pt>
                <c:pt idx="11">
                  <c:v>2231.6411463600889</c:v>
                </c:pt>
                <c:pt idx="12">
                  <c:v>2641.2143773014427</c:v>
                </c:pt>
                <c:pt idx="13">
                  <c:v>2411.3178589813738</c:v>
                </c:pt>
                <c:pt idx="14">
                  <c:v>2100.3505468439298</c:v>
                </c:pt>
                <c:pt idx="15">
                  <c:v>2143.2514589287011</c:v>
                </c:pt>
                <c:pt idx="16">
                  <c:v>2642.8815961506307</c:v>
                </c:pt>
                <c:pt idx="17">
                  <c:v>3110.6293222635377</c:v>
                </c:pt>
                <c:pt idx="18">
                  <c:v>2825.1636891185394</c:v>
                </c:pt>
                <c:pt idx="19">
                  <c:v>2448.8633721470505</c:v>
                </c:pt>
                <c:pt idx="20">
                  <c:v>2487.459910412505</c:v>
                </c:pt>
                <c:pt idx="21">
                  <c:v>3054.1220459411716</c:v>
                </c:pt>
                <c:pt idx="22">
                  <c:v>3580.0442672256322</c:v>
                </c:pt>
                <c:pt idx="23">
                  <c:v>3239.0095192557046</c:v>
                </c:pt>
                <c:pt idx="24">
                  <c:v>2797.3761974501717</c:v>
                </c:pt>
                <c:pt idx="25">
                  <c:v>2831.6683618963098</c:v>
                </c:pt>
                <c:pt idx="26">
                  <c:v>3465.3624957317134</c:v>
                </c:pt>
                <c:pt idx="27">
                  <c:v>4049.4592121877272</c:v>
                </c:pt>
                <c:pt idx="28">
                  <c:v>3652.8553493928698</c:v>
                </c:pt>
                <c:pt idx="29">
                  <c:v>3145.8890227532925</c:v>
                </c:pt>
                <c:pt idx="30">
                  <c:v>3175.8768133801141</c:v>
                </c:pt>
                <c:pt idx="31">
                  <c:v>3876.6029455222542</c:v>
                </c:pt>
                <c:pt idx="32">
                  <c:v>4518.8741571498222</c:v>
                </c:pt>
                <c:pt idx="33">
                  <c:v>4066.7011795300355</c:v>
                </c:pt>
                <c:pt idx="34">
                  <c:v>3494.4018480564141</c:v>
                </c:pt>
                <c:pt idx="35">
                  <c:v>3520.0852648639188</c:v>
                </c:pt>
                <c:pt idx="36">
                  <c:v>4287.843395312796</c:v>
                </c:pt>
                <c:pt idx="37">
                  <c:v>4988.2891021119167</c:v>
                </c:pt>
                <c:pt idx="38">
                  <c:v>4480.5470096672007</c:v>
                </c:pt>
                <c:pt idx="39">
                  <c:v>3842.9146733595348</c:v>
                </c:pt>
                <c:pt idx="40">
                  <c:v>3864.2937163477236</c:v>
                </c:pt>
                <c:pt idx="41">
                  <c:v>4699.0838451033369</c:v>
                </c:pt>
                <c:pt idx="42">
                  <c:v>5457.7040470740121</c:v>
                </c:pt>
                <c:pt idx="43">
                  <c:v>4894.3928398043654</c:v>
                </c:pt>
                <c:pt idx="44">
                  <c:v>4191.427498662656</c:v>
                </c:pt>
                <c:pt idx="45">
                  <c:v>4208.5021678315279</c:v>
                </c:pt>
                <c:pt idx="46">
                  <c:v>5110.3242948938796</c:v>
                </c:pt>
                <c:pt idx="47">
                  <c:v>5927.1189920361057</c:v>
                </c:pt>
                <c:pt idx="48">
                  <c:v>5308.238669941531</c:v>
                </c:pt>
                <c:pt idx="49">
                  <c:v>4539.9403239657768</c:v>
                </c:pt>
                <c:pt idx="50">
                  <c:v>4552.7106193153322</c:v>
                </c:pt>
                <c:pt idx="51">
                  <c:v>5521.5647446844205</c:v>
                </c:pt>
                <c:pt idx="52">
                  <c:v>6396.5339369982012</c:v>
                </c:pt>
                <c:pt idx="53">
                  <c:v>5722.0845000786967</c:v>
                </c:pt>
                <c:pt idx="54">
                  <c:v>4888.4531492688984</c:v>
                </c:pt>
                <c:pt idx="55">
                  <c:v>4896.9190707991374</c:v>
                </c:pt>
                <c:pt idx="56">
                  <c:v>5932.8051944749623</c:v>
                </c:pt>
                <c:pt idx="57">
                  <c:v>6865.9488819602957</c:v>
                </c:pt>
                <c:pt idx="58">
                  <c:v>6135.9303302158614</c:v>
                </c:pt>
                <c:pt idx="59">
                  <c:v>5236.9659745720191</c:v>
                </c:pt>
                <c:pt idx="60">
                  <c:v>5241.1275222829418</c:v>
                </c:pt>
                <c:pt idx="61">
                  <c:v>6344.0456442655031</c:v>
                </c:pt>
                <c:pt idx="62">
                  <c:v>7335.3638269223902</c:v>
                </c:pt>
                <c:pt idx="63">
                  <c:v>6549.7761603530271</c:v>
                </c:pt>
                <c:pt idx="64">
                  <c:v>5585.4787998751399</c:v>
                </c:pt>
                <c:pt idx="65">
                  <c:v>5585.3359737667461</c:v>
                </c:pt>
                <c:pt idx="66">
                  <c:v>6755.2860940560449</c:v>
                </c:pt>
                <c:pt idx="67">
                  <c:v>7804.7787718844856</c:v>
                </c:pt>
                <c:pt idx="68">
                  <c:v>6963.6219904901936</c:v>
                </c:pt>
                <c:pt idx="69">
                  <c:v>5933.9916251782615</c:v>
                </c:pt>
                <c:pt idx="70">
                  <c:v>5929.5444252505504</c:v>
                </c:pt>
                <c:pt idx="71">
                  <c:v>7166.5265438465849</c:v>
                </c:pt>
                <c:pt idx="72">
                  <c:v>8274.1937168465793</c:v>
                </c:pt>
                <c:pt idx="73">
                  <c:v>7377.4678206273584</c:v>
                </c:pt>
                <c:pt idx="74">
                  <c:v>6282.5044504813823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03-4805-9951-2692FBA5B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608008"/>
        <c:axId val="839030296"/>
      </c:scatterChart>
      <c:valAx>
        <c:axId val="829608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030296"/>
        <c:crosses val="autoZero"/>
        <c:crossBetween val="midCat"/>
      </c:valAx>
      <c:valAx>
        <c:axId val="83903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608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'3.Trend&amp;Seas7Period'!$A$4:$A$78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'3.Trend&amp;Seas7Period'!$C$4:$C$78</c:f>
              <c:numCache>
                <c:formatCode>0</c:formatCode>
                <c:ptCount val="75"/>
                <c:pt idx="0">
                  <c:v>35</c:v>
                </c:pt>
                <c:pt idx="1">
                  <c:v>74</c:v>
                </c:pt>
                <c:pt idx="2">
                  <c:v>89</c:v>
                </c:pt>
                <c:pt idx="3">
                  <c:v>163</c:v>
                </c:pt>
                <c:pt idx="4">
                  <c:v>41</c:v>
                </c:pt>
                <c:pt idx="5">
                  <c:v>73</c:v>
                </c:pt>
                <c:pt idx="6">
                  <c:v>29</c:v>
                </c:pt>
                <c:pt idx="7">
                  <c:v>54</c:v>
                </c:pt>
                <c:pt idx="8">
                  <c:v>79</c:v>
                </c:pt>
                <c:pt idx="9">
                  <c:v>124</c:v>
                </c:pt>
                <c:pt idx="10">
                  <c:v>229</c:v>
                </c:pt>
                <c:pt idx="11">
                  <c:v>194</c:v>
                </c:pt>
                <c:pt idx="12">
                  <c:v>92</c:v>
                </c:pt>
                <c:pt idx="13">
                  <c:v>58</c:v>
                </c:pt>
                <c:pt idx="14">
                  <c:v>71</c:v>
                </c:pt>
                <c:pt idx="15">
                  <c:v>130</c:v>
                </c:pt>
                <c:pt idx="16">
                  <c:v>186</c:v>
                </c:pt>
                <c:pt idx="17">
                  <c:v>286</c:v>
                </c:pt>
                <c:pt idx="18">
                  <c:v>150</c:v>
                </c:pt>
                <c:pt idx="19">
                  <c:v>102</c:v>
                </c:pt>
                <c:pt idx="20">
                  <c:v>47</c:v>
                </c:pt>
                <c:pt idx="21">
                  <c:v>82</c:v>
                </c:pt>
                <c:pt idx="22">
                  <c:v>211</c:v>
                </c:pt>
                <c:pt idx="23">
                  <c:v>161</c:v>
                </c:pt>
                <c:pt idx="24">
                  <c:v>315</c:v>
                </c:pt>
                <c:pt idx="25">
                  <c:v>337</c:v>
                </c:pt>
                <c:pt idx="26">
                  <c:v>225</c:v>
                </c:pt>
                <c:pt idx="27">
                  <c:v>75</c:v>
                </c:pt>
                <c:pt idx="28">
                  <c:v>104</c:v>
                </c:pt>
                <c:pt idx="29">
                  <c:v>230</c:v>
                </c:pt>
                <c:pt idx="30">
                  <c:v>214</c:v>
                </c:pt>
                <c:pt idx="31">
                  <c:v>446</c:v>
                </c:pt>
                <c:pt idx="32">
                  <c:v>220</c:v>
                </c:pt>
                <c:pt idx="33">
                  <c:v>219</c:v>
                </c:pt>
                <c:pt idx="34">
                  <c:v>97</c:v>
                </c:pt>
                <c:pt idx="35">
                  <c:v>94</c:v>
                </c:pt>
                <c:pt idx="36">
                  <c:v>285</c:v>
                </c:pt>
                <c:pt idx="37">
                  <c:v>365</c:v>
                </c:pt>
                <c:pt idx="38">
                  <c:v>492</c:v>
                </c:pt>
                <c:pt idx="39">
                  <c:v>161</c:v>
                </c:pt>
                <c:pt idx="40">
                  <c:v>197</c:v>
                </c:pt>
                <c:pt idx="41">
                  <c:v>131</c:v>
                </c:pt>
                <c:pt idx="42">
                  <c:v>161</c:v>
                </c:pt>
                <c:pt idx="43">
                  <c:v>201</c:v>
                </c:pt>
                <c:pt idx="44">
                  <c:v>415</c:v>
                </c:pt>
                <c:pt idx="45">
                  <c:v>494</c:v>
                </c:pt>
                <c:pt idx="46">
                  <c:v>362</c:v>
                </c:pt>
                <c:pt idx="47">
                  <c:v>255</c:v>
                </c:pt>
                <c:pt idx="48">
                  <c:v>173</c:v>
                </c:pt>
                <c:pt idx="49">
                  <c:v>128</c:v>
                </c:pt>
                <c:pt idx="50">
                  <c:v>295</c:v>
                </c:pt>
                <c:pt idx="51">
                  <c:v>317</c:v>
                </c:pt>
                <c:pt idx="52">
                  <c:v>556</c:v>
                </c:pt>
                <c:pt idx="53">
                  <c:v>507</c:v>
                </c:pt>
                <c:pt idx="54">
                  <c:v>228</c:v>
                </c:pt>
                <c:pt idx="55">
                  <c:v>159</c:v>
                </c:pt>
                <c:pt idx="56">
                  <c:v>153</c:v>
                </c:pt>
                <c:pt idx="57">
                  <c:v>268</c:v>
                </c:pt>
                <c:pt idx="58">
                  <c:v>447</c:v>
                </c:pt>
                <c:pt idx="59">
                  <c:v>523</c:v>
                </c:pt>
                <c:pt idx="60">
                  <c:v>559</c:v>
                </c:pt>
                <c:pt idx="61">
                  <c:v>332</c:v>
                </c:pt>
                <c:pt idx="62">
                  <c:v>203</c:v>
                </c:pt>
                <c:pt idx="63">
                  <c:v>205</c:v>
                </c:pt>
                <c:pt idx="64">
                  <c:v>383</c:v>
                </c:pt>
                <c:pt idx="65">
                  <c:v>320</c:v>
                </c:pt>
                <c:pt idx="66">
                  <c:v>699</c:v>
                </c:pt>
                <c:pt idx="67">
                  <c:v>480</c:v>
                </c:pt>
                <c:pt idx="68">
                  <c:v>323</c:v>
                </c:pt>
                <c:pt idx="69">
                  <c:v>160</c:v>
                </c:pt>
                <c:pt idx="70">
                  <c:v>105</c:v>
                </c:pt>
                <c:pt idx="71">
                  <c:v>433</c:v>
                </c:pt>
                <c:pt idx="72">
                  <c:v>628</c:v>
                </c:pt>
                <c:pt idx="73">
                  <c:v>674</c:v>
                </c:pt>
                <c:pt idx="74">
                  <c:v>484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F2-477D-8260-66265AF96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608008"/>
        <c:axId val="839030296"/>
      </c:scatterChart>
      <c:valAx>
        <c:axId val="829608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030296"/>
        <c:crosses val="autoZero"/>
        <c:crossBetween val="midCat"/>
      </c:valAx>
      <c:valAx>
        <c:axId val="83903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608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'3.Trend&amp;Seas7Period'!$D$3</c:f>
          <c:strCache>
            <c:ptCount val="1"/>
            <c:pt idx="0">
              <c:v>Centered-MA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'3.Trend&amp;Seas7Period'!$A$4:$A$78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'3.Trend&amp;Seas7Period'!$D$4:$D$78</c:f>
              <c:numCache>
                <c:formatCode>General</c:formatCode>
                <c:ptCount val="75"/>
                <c:pt idx="3" formatCode="0">
                  <c:v>72</c:v>
                </c:pt>
                <c:pt idx="4" formatCode="0">
                  <c:v>74.714285714285708</c:v>
                </c:pt>
                <c:pt idx="5" formatCode="0">
                  <c:v>75.428571428571431</c:v>
                </c:pt>
                <c:pt idx="6" formatCode="0">
                  <c:v>80.428571428571431</c:v>
                </c:pt>
                <c:pt idx="7" formatCode="0">
                  <c:v>89.857142857142861</c:v>
                </c:pt>
                <c:pt idx="8" formatCode="0">
                  <c:v>111.71428571428571</c:v>
                </c:pt>
                <c:pt idx="9" formatCode="0">
                  <c:v>114.42857142857143</c:v>
                </c:pt>
                <c:pt idx="10" formatCode="0">
                  <c:v>118.57142857142857</c:v>
                </c:pt>
                <c:pt idx="11" formatCode="0">
                  <c:v>121</c:v>
                </c:pt>
                <c:pt idx="12" formatCode="0">
                  <c:v>128.28571428571428</c:v>
                </c:pt>
                <c:pt idx="13" formatCode="0">
                  <c:v>137.14285714285714</c:v>
                </c:pt>
                <c:pt idx="14" formatCode="0">
                  <c:v>145.28571428571428</c:v>
                </c:pt>
                <c:pt idx="15" formatCode="0">
                  <c:v>139</c:v>
                </c:pt>
                <c:pt idx="16" formatCode="0">
                  <c:v>140.42857142857142</c:v>
                </c:pt>
                <c:pt idx="17" formatCode="0">
                  <c:v>138.85714285714286</c:v>
                </c:pt>
                <c:pt idx="18" formatCode="0">
                  <c:v>140.42857142857142</c:v>
                </c:pt>
                <c:pt idx="19" formatCode="0">
                  <c:v>152</c:v>
                </c:pt>
                <c:pt idx="20" formatCode="0">
                  <c:v>148.42857142857142</c:v>
                </c:pt>
                <c:pt idx="21" formatCode="0">
                  <c:v>152.57142857142858</c:v>
                </c:pt>
                <c:pt idx="22" formatCode="0">
                  <c:v>179.28571428571428</c:v>
                </c:pt>
                <c:pt idx="23" formatCode="0">
                  <c:v>196.85714285714286</c:v>
                </c:pt>
                <c:pt idx="24" formatCode="0">
                  <c:v>200.85714285714286</c:v>
                </c:pt>
                <c:pt idx="25" formatCode="0">
                  <c:v>204</c:v>
                </c:pt>
                <c:pt idx="26" formatCode="0">
                  <c:v>206.71428571428572</c:v>
                </c:pt>
                <c:pt idx="27" formatCode="0">
                  <c:v>214.28571428571428</c:v>
                </c:pt>
                <c:pt idx="28" formatCode="0">
                  <c:v>233</c:v>
                </c:pt>
                <c:pt idx="29" formatCode="0">
                  <c:v>216.28571428571428</c:v>
                </c:pt>
                <c:pt idx="30" formatCode="0">
                  <c:v>215.42857142857142</c:v>
                </c:pt>
                <c:pt idx="31" formatCode="0">
                  <c:v>218.57142857142858</c:v>
                </c:pt>
                <c:pt idx="32" formatCode="0">
                  <c:v>217.14285714285714</c:v>
                </c:pt>
                <c:pt idx="33" formatCode="0">
                  <c:v>225</c:v>
                </c:pt>
                <c:pt idx="34" formatCode="0">
                  <c:v>246.57142857142858</c:v>
                </c:pt>
                <c:pt idx="35" formatCode="0">
                  <c:v>253.14285714285714</c:v>
                </c:pt>
                <c:pt idx="36" formatCode="0">
                  <c:v>244.71428571428572</c:v>
                </c:pt>
                <c:pt idx="37" formatCode="0">
                  <c:v>241.57142857142858</c:v>
                </c:pt>
                <c:pt idx="38" formatCode="0">
                  <c:v>246.42857142857142</c:v>
                </c:pt>
                <c:pt idx="39" formatCode="0">
                  <c:v>256</c:v>
                </c:pt>
                <c:pt idx="40" formatCode="0">
                  <c:v>244</c:v>
                </c:pt>
                <c:pt idx="41" formatCode="0">
                  <c:v>251.14285714285714</c:v>
                </c:pt>
                <c:pt idx="42" formatCode="0">
                  <c:v>251.42857142857142</c:v>
                </c:pt>
                <c:pt idx="43" formatCode="0">
                  <c:v>280.14285714285717</c:v>
                </c:pt>
                <c:pt idx="44" formatCode="0">
                  <c:v>288.42857142857144</c:v>
                </c:pt>
                <c:pt idx="45" formatCode="0">
                  <c:v>294.42857142857144</c:v>
                </c:pt>
                <c:pt idx="46" formatCode="0">
                  <c:v>289.71428571428572</c:v>
                </c:pt>
                <c:pt idx="47" formatCode="0">
                  <c:v>303.14285714285717</c:v>
                </c:pt>
                <c:pt idx="48" formatCode="0">
                  <c:v>289.14285714285717</c:v>
                </c:pt>
                <c:pt idx="49" formatCode="0">
                  <c:v>298</c:v>
                </c:pt>
                <c:pt idx="50" formatCode="0">
                  <c:v>318.71428571428572</c:v>
                </c:pt>
                <c:pt idx="51" formatCode="0">
                  <c:v>314.85714285714283</c:v>
                </c:pt>
                <c:pt idx="52" formatCode="0">
                  <c:v>312.85714285714283</c:v>
                </c:pt>
                <c:pt idx="53" formatCode="0">
                  <c:v>316.42857142857144</c:v>
                </c:pt>
                <c:pt idx="54" formatCode="0">
                  <c:v>312.57142857142856</c:v>
                </c:pt>
                <c:pt idx="55" formatCode="0">
                  <c:v>331.14285714285717</c:v>
                </c:pt>
                <c:pt idx="56" formatCode="0">
                  <c:v>326.42857142857144</c:v>
                </c:pt>
                <c:pt idx="57" formatCode="0">
                  <c:v>333.85714285714283</c:v>
                </c:pt>
                <c:pt idx="58" formatCode="0">
                  <c:v>348.71428571428572</c:v>
                </c:pt>
                <c:pt idx="59" formatCode="0">
                  <c:v>355</c:v>
                </c:pt>
                <c:pt idx="60" formatCode="0">
                  <c:v>362.42857142857144</c:v>
                </c:pt>
                <c:pt idx="61" formatCode="0">
                  <c:v>378.85714285714283</c:v>
                </c:pt>
                <c:pt idx="62" formatCode="0">
                  <c:v>360.71428571428572</c:v>
                </c:pt>
                <c:pt idx="63" formatCode="0">
                  <c:v>385.85714285714283</c:v>
                </c:pt>
                <c:pt idx="64" formatCode="0">
                  <c:v>374.57142857142856</c:v>
                </c:pt>
                <c:pt idx="65" formatCode="0">
                  <c:v>373.28571428571428</c:v>
                </c:pt>
                <c:pt idx="66" formatCode="0">
                  <c:v>367.14285714285717</c:v>
                </c:pt>
                <c:pt idx="67" formatCode="0">
                  <c:v>352.85714285714283</c:v>
                </c:pt>
                <c:pt idx="68" formatCode="0">
                  <c:v>360</c:v>
                </c:pt>
                <c:pt idx="69" formatCode="0">
                  <c:v>404</c:v>
                </c:pt>
                <c:pt idx="70" formatCode="0">
                  <c:v>400.42857142857144</c:v>
                </c:pt>
                <c:pt idx="71" formatCode="0">
                  <c:v>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3F-4136-872A-3D12C9A57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608008"/>
        <c:axId val="839030296"/>
      </c:scatterChart>
      <c:valAx>
        <c:axId val="829608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030296"/>
        <c:crosses val="autoZero"/>
        <c:crossBetween val="midCat"/>
      </c:valAx>
      <c:valAx>
        <c:axId val="83903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608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'3.Trend&amp;Seas7Period'!$E$3</c:f>
          <c:strCache>
            <c:ptCount val="1"/>
            <c:pt idx="0">
              <c:v>Reg-Cen-MA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D7D31"/>
              </a:solidFill>
              <a:ln w="9525">
                <a:solidFill>
                  <a:srgbClr val="ED7D31"/>
                </a:solidFill>
              </a:ln>
              <a:effectLst/>
            </c:spPr>
          </c:marker>
          <c:xVal>
            <c:numRef>
              <c:f>'3.Trend&amp;Seas7Period'!$A$4:$A$78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'3.Trend&amp;Seas7Period'!$E$4:$E$78</c:f>
              <c:numCache>
                <c:formatCode>0.0</c:formatCode>
                <c:ptCount val="75"/>
                <c:pt idx="0">
                  <c:v>69.317754928058079</c:v>
                </c:pt>
                <c:pt idx="1">
                  <c:v>74.055236007446354</c:v>
                </c:pt>
                <c:pt idx="2">
                  <c:v>78.792717086834642</c:v>
                </c:pt>
                <c:pt idx="3">
                  <c:v>83.530198166222917</c:v>
                </c:pt>
                <c:pt idx="4">
                  <c:v>88.267679245611191</c:v>
                </c:pt>
                <c:pt idx="5">
                  <c:v>93.00516032499948</c:v>
                </c:pt>
                <c:pt idx="6">
                  <c:v>97.742641404387754</c:v>
                </c:pt>
                <c:pt idx="7">
                  <c:v>102.48012248377603</c:v>
                </c:pt>
                <c:pt idx="8">
                  <c:v>107.2176035631643</c:v>
                </c:pt>
                <c:pt idx="9">
                  <c:v>111.95508464255258</c:v>
                </c:pt>
                <c:pt idx="10">
                  <c:v>116.69256572194087</c:v>
                </c:pt>
                <c:pt idx="11">
                  <c:v>121.43004680132914</c:v>
                </c:pt>
                <c:pt idx="12">
                  <c:v>126.16752788071742</c:v>
                </c:pt>
                <c:pt idx="13">
                  <c:v>130.9050089601057</c:v>
                </c:pt>
                <c:pt idx="14">
                  <c:v>135.64249003949396</c:v>
                </c:pt>
                <c:pt idx="15">
                  <c:v>140.37997111888225</c:v>
                </c:pt>
                <c:pt idx="16">
                  <c:v>145.11745219827054</c:v>
                </c:pt>
                <c:pt idx="17">
                  <c:v>149.8549332776588</c:v>
                </c:pt>
                <c:pt idx="18">
                  <c:v>154.59241435704709</c:v>
                </c:pt>
                <c:pt idx="19">
                  <c:v>159.32989543643538</c:v>
                </c:pt>
                <c:pt idx="20">
                  <c:v>164.06737651582364</c:v>
                </c:pt>
                <c:pt idx="21">
                  <c:v>168.80485759521193</c:v>
                </c:pt>
                <c:pt idx="22">
                  <c:v>173.54233867460022</c:v>
                </c:pt>
                <c:pt idx="23">
                  <c:v>178.27981975398848</c:v>
                </c:pt>
                <c:pt idx="24">
                  <c:v>183.01730083337674</c:v>
                </c:pt>
                <c:pt idx="25">
                  <c:v>187.75478191276503</c:v>
                </c:pt>
                <c:pt idx="26">
                  <c:v>192.49226299215331</c:v>
                </c:pt>
                <c:pt idx="27">
                  <c:v>197.2297440715416</c:v>
                </c:pt>
                <c:pt idx="28">
                  <c:v>201.96722515092986</c:v>
                </c:pt>
                <c:pt idx="29">
                  <c:v>206.70470623031815</c:v>
                </c:pt>
                <c:pt idx="30">
                  <c:v>211.44218730970641</c:v>
                </c:pt>
                <c:pt idx="31">
                  <c:v>216.1796683890947</c:v>
                </c:pt>
                <c:pt idx="32">
                  <c:v>220.91714946848299</c:v>
                </c:pt>
                <c:pt idx="33">
                  <c:v>225.65463054787125</c:v>
                </c:pt>
                <c:pt idx="34">
                  <c:v>230.39211162725954</c:v>
                </c:pt>
                <c:pt idx="35">
                  <c:v>235.1295927066478</c:v>
                </c:pt>
                <c:pt idx="36">
                  <c:v>239.86707378603609</c:v>
                </c:pt>
                <c:pt idx="37">
                  <c:v>244.60455486542438</c:v>
                </c:pt>
                <c:pt idx="38">
                  <c:v>249.34203594481264</c:v>
                </c:pt>
                <c:pt idx="39">
                  <c:v>254.07951702420092</c:v>
                </c:pt>
                <c:pt idx="40">
                  <c:v>258.81699810358919</c:v>
                </c:pt>
                <c:pt idx="41">
                  <c:v>263.5544791829775</c:v>
                </c:pt>
                <c:pt idx="42">
                  <c:v>268.29196026236576</c:v>
                </c:pt>
                <c:pt idx="43">
                  <c:v>273.02944134175402</c:v>
                </c:pt>
                <c:pt idx="44">
                  <c:v>277.76692242114234</c:v>
                </c:pt>
                <c:pt idx="45">
                  <c:v>282.5044035005306</c:v>
                </c:pt>
                <c:pt idx="46">
                  <c:v>287.24188457991886</c:v>
                </c:pt>
                <c:pt idx="47">
                  <c:v>291.97936565930718</c:v>
                </c:pt>
                <c:pt idx="48">
                  <c:v>296.71684673869544</c:v>
                </c:pt>
                <c:pt idx="49">
                  <c:v>301.4543278180837</c:v>
                </c:pt>
                <c:pt idx="50">
                  <c:v>306.19180889747201</c:v>
                </c:pt>
                <c:pt idx="51">
                  <c:v>310.92928997686022</c:v>
                </c:pt>
                <c:pt idx="52">
                  <c:v>315.66677105624854</c:v>
                </c:pt>
                <c:pt idx="53">
                  <c:v>320.40425213563685</c:v>
                </c:pt>
                <c:pt idx="54">
                  <c:v>325.14173321502506</c:v>
                </c:pt>
                <c:pt idx="55">
                  <c:v>329.87921429441337</c:v>
                </c:pt>
                <c:pt idx="56">
                  <c:v>334.61669537380169</c:v>
                </c:pt>
                <c:pt idx="57">
                  <c:v>339.35417645318989</c:v>
                </c:pt>
                <c:pt idx="58">
                  <c:v>344.09165753257821</c:v>
                </c:pt>
                <c:pt idx="59">
                  <c:v>348.82913861196653</c:v>
                </c:pt>
                <c:pt idx="60">
                  <c:v>353.56661969135473</c:v>
                </c:pt>
                <c:pt idx="61">
                  <c:v>358.30410077074305</c:v>
                </c:pt>
                <c:pt idx="62">
                  <c:v>363.04158185013137</c:v>
                </c:pt>
                <c:pt idx="63">
                  <c:v>367.77906292951957</c:v>
                </c:pt>
                <c:pt idx="64">
                  <c:v>372.51654400890789</c:v>
                </c:pt>
                <c:pt idx="65">
                  <c:v>377.2540250882962</c:v>
                </c:pt>
                <c:pt idx="66">
                  <c:v>381.99150616768441</c:v>
                </c:pt>
                <c:pt idx="67">
                  <c:v>386.72898724707272</c:v>
                </c:pt>
                <c:pt idx="68">
                  <c:v>391.46646832646104</c:v>
                </c:pt>
                <c:pt idx="69">
                  <c:v>396.20394940584924</c:v>
                </c:pt>
                <c:pt idx="70">
                  <c:v>400.94143048523756</c:v>
                </c:pt>
                <c:pt idx="71">
                  <c:v>405.67891156462576</c:v>
                </c:pt>
                <c:pt idx="72">
                  <c:v>410.41639264401408</c:v>
                </c:pt>
                <c:pt idx="73">
                  <c:v>415.1538737234024</c:v>
                </c:pt>
                <c:pt idx="74">
                  <c:v>419.8913548027906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63-4965-8108-0B5F5BCCB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608008"/>
        <c:axId val="839030296"/>
      </c:scatterChart>
      <c:valAx>
        <c:axId val="829608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030296"/>
        <c:crosses val="autoZero"/>
        <c:crossBetween val="midCat"/>
      </c:valAx>
      <c:valAx>
        <c:axId val="83903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608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'3.Trend&amp;Seas7Period'!$H$3</c:f>
          <c:strCache>
            <c:ptCount val="1"/>
            <c:pt idx="0">
              <c:v>Forecast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'3.Trend&amp;Seas7Period'!$A$4:$A$78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'3.Trend&amp;Seas7Period'!$C$4:$C$78</c:f>
              <c:numCache>
                <c:formatCode>0</c:formatCode>
                <c:ptCount val="75"/>
                <c:pt idx="0">
                  <c:v>35</c:v>
                </c:pt>
                <c:pt idx="1">
                  <c:v>74</c:v>
                </c:pt>
                <c:pt idx="2">
                  <c:v>89</c:v>
                </c:pt>
                <c:pt idx="3">
                  <c:v>163</c:v>
                </c:pt>
                <c:pt idx="4">
                  <c:v>41</c:v>
                </c:pt>
                <c:pt idx="5">
                  <c:v>73</c:v>
                </c:pt>
                <c:pt idx="6">
                  <c:v>29</c:v>
                </c:pt>
                <c:pt idx="7">
                  <c:v>54</c:v>
                </c:pt>
                <c:pt idx="8">
                  <c:v>79</c:v>
                </c:pt>
                <c:pt idx="9">
                  <c:v>124</c:v>
                </c:pt>
                <c:pt idx="10">
                  <c:v>229</c:v>
                </c:pt>
                <c:pt idx="11">
                  <c:v>194</c:v>
                </c:pt>
                <c:pt idx="12">
                  <c:v>92</c:v>
                </c:pt>
                <c:pt idx="13">
                  <c:v>58</c:v>
                </c:pt>
                <c:pt idx="14">
                  <c:v>71</c:v>
                </c:pt>
                <c:pt idx="15">
                  <c:v>130</c:v>
                </c:pt>
                <c:pt idx="16">
                  <c:v>186</c:v>
                </c:pt>
                <c:pt idx="17">
                  <c:v>286</c:v>
                </c:pt>
                <c:pt idx="18">
                  <c:v>150</c:v>
                </c:pt>
                <c:pt idx="19">
                  <c:v>102</c:v>
                </c:pt>
                <c:pt idx="20">
                  <c:v>47</c:v>
                </c:pt>
                <c:pt idx="21">
                  <c:v>82</c:v>
                </c:pt>
                <c:pt idx="22">
                  <c:v>211</c:v>
                </c:pt>
                <c:pt idx="23">
                  <c:v>161</c:v>
                </c:pt>
                <c:pt idx="24">
                  <c:v>315</c:v>
                </c:pt>
                <c:pt idx="25">
                  <c:v>337</c:v>
                </c:pt>
                <c:pt idx="26">
                  <c:v>225</c:v>
                </c:pt>
                <c:pt idx="27">
                  <c:v>75</c:v>
                </c:pt>
                <c:pt idx="28">
                  <c:v>104</c:v>
                </c:pt>
                <c:pt idx="29">
                  <c:v>230</c:v>
                </c:pt>
                <c:pt idx="30">
                  <c:v>214</c:v>
                </c:pt>
                <c:pt idx="31">
                  <c:v>446</c:v>
                </c:pt>
                <c:pt idx="32">
                  <c:v>220</c:v>
                </c:pt>
                <c:pt idx="33">
                  <c:v>219</c:v>
                </c:pt>
                <c:pt idx="34">
                  <c:v>97</c:v>
                </c:pt>
                <c:pt idx="35">
                  <c:v>94</c:v>
                </c:pt>
                <c:pt idx="36">
                  <c:v>285</c:v>
                </c:pt>
                <c:pt idx="37">
                  <c:v>365</c:v>
                </c:pt>
                <c:pt idx="38">
                  <c:v>492</c:v>
                </c:pt>
                <c:pt idx="39">
                  <c:v>161</c:v>
                </c:pt>
                <c:pt idx="40">
                  <c:v>197</c:v>
                </c:pt>
                <c:pt idx="41">
                  <c:v>131</c:v>
                </c:pt>
                <c:pt idx="42">
                  <c:v>161</c:v>
                </c:pt>
                <c:pt idx="43">
                  <c:v>201</c:v>
                </c:pt>
                <c:pt idx="44">
                  <c:v>415</c:v>
                </c:pt>
                <c:pt idx="45">
                  <c:v>494</c:v>
                </c:pt>
                <c:pt idx="46">
                  <c:v>362</c:v>
                </c:pt>
                <c:pt idx="47">
                  <c:v>255</c:v>
                </c:pt>
                <c:pt idx="48">
                  <c:v>173</c:v>
                </c:pt>
                <c:pt idx="49">
                  <c:v>128</c:v>
                </c:pt>
                <c:pt idx="50">
                  <c:v>295</c:v>
                </c:pt>
                <c:pt idx="51">
                  <c:v>317</c:v>
                </c:pt>
                <c:pt idx="52">
                  <c:v>556</c:v>
                </c:pt>
                <c:pt idx="53">
                  <c:v>507</c:v>
                </c:pt>
                <c:pt idx="54">
                  <c:v>228</c:v>
                </c:pt>
                <c:pt idx="55">
                  <c:v>159</c:v>
                </c:pt>
                <c:pt idx="56">
                  <c:v>153</c:v>
                </c:pt>
                <c:pt idx="57">
                  <c:v>268</c:v>
                </c:pt>
                <c:pt idx="58">
                  <c:v>447</c:v>
                </c:pt>
                <c:pt idx="59">
                  <c:v>523</c:v>
                </c:pt>
                <c:pt idx="60">
                  <c:v>559</c:v>
                </c:pt>
                <c:pt idx="61">
                  <c:v>332</c:v>
                </c:pt>
                <c:pt idx="62">
                  <c:v>203</c:v>
                </c:pt>
                <c:pt idx="63">
                  <c:v>205</c:v>
                </c:pt>
                <c:pt idx="64">
                  <c:v>383</c:v>
                </c:pt>
                <c:pt idx="65">
                  <c:v>320</c:v>
                </c:pt>
                <c:pt idx="66">
                  <c:v>699</c:v>
                </c:pt>
                <c:pt idx="67">
                  <c:v>480</c:v>
                </c:pt>
                <c:pt idx="68">
                  <c:v>323</c:v>
                </c:pt>
                <c:pt idx="69">
                  <c:v>160</c:v>
                </c:pt>
                <c:pt idx="70">
                  <c:v>105</c:v>
                </c:pt>
                <c:pt idx="71">
                  <c:v>433</c:v>
                </c:pt>
                <c:pt idx="72">
                  <c:v>628</c:v>
                </c:pt>
                <c:pt idx="73">
                  <c:v>674</c:v>
                </c:pt>
                <c:pt idx="74">
                  <c:v>484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7E-4ACD-95C7-A29171CB95B6}"/>
            </c:ext>
          </c:extLst>
        </c:ser>
        <c:ser>
          <c:idx val="1"/>
          <c:order val="1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'3.Trend&amp;Seas7Period'!$A$4:$A$78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'3.Trend&amp;Seas7Period'!$H$4:$H$83</c:f>
              <c:numCache>
                <c:formatCode>0.00</c:formatCode>
                <c:ptCount val="80"/>
                <c:pt idx="0">
                  <c:v>33.360719308773639</c:v>
                </c:pt>
                <c:pt idx="1">
                  <c:v>72.974353946952874</c:v>
                </c:pt>
                <c:pt idx="2">
                  <c:v>94.620030020801437</c:v>
                </c:pt>
                <c:pt idx="3">
                  <c:v>153.26661301284511</c:v>
                </c:pt>
                <c:pt idx="4">
                  <c:v>107.26754691051771</c:v>
                </c:pt>
                <c:pt idx="5">
                  <c:v>78.497096895970941</c:v>
                </c:pt>
                <c:pt idx="6">
                  <c:v>42.843039146360361</c:v>
                </c:pt>
                <c:pt idx="7">
                  <c:v>49.320850112041732</c:v>
                </c:pt>
                <c:pt idx="8">
                  <c:v>105.65269619795284</c:v>
                </c:pt>
                <c:pt idx="9">
                  <c:v>134.44381487930301</c:v>
                </c:pt>
                <c:pt idx="10">
                  <c:v>214.11507101168218</c:v>
                </c:pt>
                <c:pt idx="11">
                  <c:v>147.56820789819943</c:v>
                </c:pt>
                <c:pt idx="12">
                  <c:v>106.48639953492651</c:v>
                </c:pt>
                <c:pt idx="13">
                  <c:v>57.378932498141985</c:v>
                </c:pt>
                <c:pt idx="14">
                  <c:v>65.280980915309812</c:v>
                </c:pt>
                <c:pt idx="15">
                  <c:v>138.3310384489528</c:v>
                </c:pt>
                <c:pt idx="16">
                  <c:v>174.2675997378046</c:v>
                </c:pt>
                <c:pt idx="17">
                  <c:v>274.96352901051927</c:v>
                </c:pt>
                <c:pt idx="18">
                  <c:v>187.86886888588114</c:v>
                </c:pt>
                <c:pt idx="19">
                  <c:v>134.4757021738821</c:v>
                </c:pt>
                <c:pt idx="20">
                  <c:v>71.914825849923602</c:v>
                </c:pt>
                <c:pt idx="21">
                  <c:v>81.241111718577912</c:v>
                </c:pt>
                <c:pt idx="22">
                  <c:v>171.00938069995277</c:v>
                </c:pt>
                <c:pt idx="23">
                  <c:v>214.09138459630614</c:v>
                </c:pt>
                <c:pt idx="24">
                  <c:v>335.8119870093563</c:v>
                </c:pt>
                <c:pt idx="25">
                  <c:v>228.16952987356285</c:v>
                </c:pt>
                <c:pt idx="26">
                  <c:v>162.46500481283766</c:v>
                </c:pt>
                <c:pt idx="27">
                  <c:v>86.450719201705226</c:v>
                </c:pt>
                <c:pt idx="28">
                  <c:v>97.201242521845998</c:v>
                </c:pt>
                <c:pt idx="29">
                  <c:v>203.68772295095272</c:v>
                </c:pt>
                <c:pt idx="30">
                  <c:v>253.91516945480771</c:v>
                </c:pt>
                <c:pt idx="31">
                  <c:v>396.66044500819339</c:v>
                </c:pt>
                <c:pt idx="32">
                  <c:v>268.47019086124459</c:v>
                </c:pt>
                <c:pt idx="33">
                  <c:v>190.45430745179323</c:v>
                </c:pt>
                <c:pt idx="34">
                  <c:v>100.98661255348685</c:v>
                </c:pt>
                <c:pt idx="35">
                  <c:v>113.16137332511408</c:v>
                </c:pt>
                <c:pt idx="36">
                  <c:v>236.36606520195267</c:v>
                </c:pt>
                <c:pt idx="37">
                  <c:v>293.73895431330931</c:v>
                </c:pt>
                <c:pt idx="38">
                  <c:v>457.50890300703043</c:v>
                </c:pt>
                <c:pt idx="39">
                  <c:v>308.77085184892627</c:v>
                </c:pt>
                <c:pt idx="40">
                  <c:v>218.44361009074879</c:v>
                </c:pt>
                <c:pt idx="41">
                  <c:v>115.52250590526847</c:v>
                </c:pt>
                <c:pt idx="42">
                  <c:v>129.12150412838218</c:v>
                </c:pt>
                <c:pt idx="43">
                  <c:v>269.04440745295261</c:v>
                </c:pt>
                <c:pt idx="44">
                  <c:v>333.5627391718109</c:v>
                </c:pt>
                <c:pt idx="45">
                  <c:v>518.35736100586757</c:v>
                </c:pt>
                <c:pt idx="46">
                  <c:v>349.07151283660795</c:v>
                </c:pt>
                <c:pt idx="47">
                  <c:v>246.43291272970441</c:v>
                </c:pt>
                <c:pt idx="48">
                  <c:v>130.0583992570501</c:v>
                </c:pt>
                <c:pt idx="49">
                  <c:v>145.08163493165026</c:v>
                </c:pt>
                <c:pt idx="50">
                  <c:v>301.72274970395262</c:v>
                </c:pt>
                <c:pt idx="51">
                  <c:v>373.38652403031239</c:v>
                </c:pt>
                <c:pt idx="52">
                  <c:v>579.20581900470461</c:v>
                </c:pt>
                <c:pt idx="53">
                  <c:v>389.37217382428975</c:v>
                </c:pt>
                <c:pt idx="54">
                  <c:v>274.42221536865992</c:v>
                </c:pt>
                <c:pt idx="55">
                  <c:v>144.59429260883169</c:v>
                </c:pt>
                <c:pt idx="56">
                  <c:v>161.04176573491839</c:v>
                </c:pt>
                <c:pt idx="57">
                  <c:v>334.40109195495251</c:v>
                </c:pt>
                <c:pt idx="58">
                  <c:v>413.21030888881404</c:v>
                </c:pt>
                <c:pt idx="59">
                  <c:v>640.05427700354176</c:v>
                </c:pt>
                <c:pt idx="60">
                  <c:v>429.67283481197137</c:v>
                </c:pt>
                <c:pt idx="61">
                  <c:v>302.41151800761554</c:v>
                </c:pt>
                <c:pt idx="62">
                  <c:v>159.13018596061335</c:v>
                </c:pt>
                <c:pt idx="63">
                  <c:v>177.00189653818643</c:v>
                </c:pt>
                <c:pt idx="64">
                  <c:v>367.07943420595251</c:v>
                </c:pt>
                <c:pt idx="65">
                  <c:v>453.03409374731564</c:v>
                </c:pt>
                <c:pt idx="66">
                  <c:v>700.90273500237868</c:v>
                </c:pt>
                <c:pt idx="67">
                  <c:v>469.97349579965311</c:v>
                </c:pt>
                <c:pt idx="68">
                  <c:v>330.40082064657116</c:v>
                </c:pt>
                <c:pt idx="69">
                  <c:v>173.66607931239494</c:v>
                </c:pt>
                <c:pt idx="70">
                  <c:v>192.96202734145456</c:v>
                </c:pt>
                <c:pt idx="71">
                  <c:v>399.7577764569524</c:v>
                </c:pt>
                <c:pt idx="72">
                  <c:v>492.85787860581712</c:v>
                </c:pt>
                <c:pt idx="73">
                  <c:v>761.75119300121582</c:v>
                </c:pt>
                <c:pt idx="74">
                  <c:v>510.27415678733473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7E-4ACD-95C7-A29171CB9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608008"/>
        <c:axId val="839030296"/>
      </c:scatterChart>
      <c:valAx>
        <c:axId val="829608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030296"/>
        <c:crosses val="autoZero"/>
        <c:crossBetween val="midCat"/>
      </c:valAx>
      <c:valAx>
        <c:axId val="83903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608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6</xdr:row>
      <xdr:rowOff>101600</xdr:rowOff>
    </xdr:from>
    <xdr:to>
      <xdr:col>23</xdr:col>
      <xdr:colOff>526615</xdr:colOff>
      <xdr:row>21</xdr:row>
      <xdr:rowOff>162080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20B3E69-AA9F-4A58-ABEF-FB9EBF9E93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315986</xdr:colOff>
      <xdr:row>6</xdr:row>
      <xdr:rowOff>156355</xdr:rowOff>
    </xdr:from>
    <xdr:to>
      <xdr:col>15</xdr:col>
      <xdr:colOff>168024</xdr:colOff>
      <xdr:row>22</xdr:row>
      <xdr:rowOff>87310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8341FC-8E0C-40AC-B041-F2A2833D7D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582745</xdr:colOff>
      <xdr:row>6</xdr:row>
      <xdr:rowOff>182443</xdr:rowOff>
    </xdr:from>
    <xdr:to>
      <xdr:col>23</xdr:col>
      <xdr:colOff>177309</xdr:colOff>
      <xdr:row>22</xdr:row>
      <xdr:rowOff>130369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92B6669-1C98-483D-B0C7-4CEE7BF69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173719</xdr:colOff>
      <xdr:row>23</xdr:row>
      <xdr:rowOff>135415</xdr:rowOff>
    </xdr:from>
    <xdr:to>
      <xdr:col>15</xdr:col>
      <xdr:colOff>29243</xdr:colOff>
      <xdr:row>39</xdr:row>
      <xdr:rowOff>88560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3CE5D91-B92C-497C-893C-11E9985B2A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464820</xdr:colOff>
      <xdr:row>23</xdr:row>
      <xdr:rowOff>152948</xdr:rowOff>
    </xdr:from>
    <xdr:to>
      <xdr:col>22</xdr:col>
      <xdr:colOff>297207</xdr:colOff>
      <xdr:row>52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9415C59-2A2C-44C6-84FB-AA0DE59E59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335671</xdr:colOff>
      <xdr:row>9</xdr:row>
      <xdr:rowOff>5225</xdr:rowOff>
    </xdr:from>
    <xdr:to>
      <xdr:col>20</xdr:col>
      <xdr:colOff>545849</xdr:colOff>
      <xdr:row>24</xdr:row>
      <xdr:rowOff>126680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0D1256-1ABC-48D4-BA8B-165DF38C7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582745</xdr:colOff>
      <xdr:row>6</xdr:row>
      <xdr:rowOff>182443</xdr:rowOff>
    </xdr:from>
    <xdr:to>
      <xdr:col>23</xdr:col>
      <xdr:colOff>177309</xdr:colOff>
      <xdr:row>22</xdr:row>
      <xdr:rowOff>130369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6605053-AFAE-4DDD-B3DA-ABE60E2CFA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105139</xdr:colOff>
      <xdr:row>22</xdr:row>
      <xdr:rowOff>89695</xdr:rowOff>
    </xdr:from>
    <xdr:to>
      <xdr:col>16</xdr:col>
      <xdr:colOff>585503</xdr:colOff>
      <xdr:row>38</xdr:row>
      <xdr:rowOff>42840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7B7C366-921B-4EC2-84F3-583CAB7756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61501</xdr:colOff>
      <xdr:row>28</xdr:row>
      <xdr:rowOff>82049</xdr:rowOff>
    </xdr:from>
    <xdr:to>
      <xdr:col>20</xdr:col>
      <xdr:colOff>268383</xdr:colOff>
      <xdr:row>44</xdr:row>
      <xdr:rowOff>62623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A5988B1-64FB-4EA6-82E2-7A4B3942EA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201011</xdr:colOff>
      <xdr:row>23</xdr:row>
      <xdr:rowOff>55728</xdr:rowOff>
    </xdr:from>
    <xdr:to>
      <xdr:col>12</xdr:col>
      <xdr:colOff>172436</xdr:colOff>
      <xdr:row>36</xdr:row>
      <xdr:rowOff>89064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9B4779B-EA41-4917-8AF4-89DAA517FF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271137</xdr:colOff>
      <xdr:row>23</xdr:row>
      <xdr:rowOff>79722</xdr:rowOff>
    </xdr:from>
    <xdr:to>
      <xdr:col>18</xdr:col>
      <xdr:colOff>23096</xdr:colOff>
      <xdr:row>36</xdr:row>
      <xdr:rowOff>108297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334D30-2CB7-4820-B132-CD8F1968E4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540301</xdr:colOff>
      <xdr:row>23</xdr:row>
      <xdr:rowOff>59927</xdr:rowOff>
    </xdr:from>
    <xdr:to>
      <xdr:col>25</xdr:col>
      <xdr:colOff>434482</xdr:colOff>
      <xdr:row>36</xdr:row>
      <xdr:rowOff>74214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623FB64-709F-4D9F-9B6B-2DDE0CA43B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177690</xdr:colOff>
      <xdr:row>37</xdr:row>
      <xdr:rowOff>158038</xdr:rowOff>
    </xdr:from>
    <xdr:to>
      <xdr:col>12</xdr:col>
      <xdr:colOff>123280</xdr:colOff>
      <xdr:row>53</xdr:row>
      <xdr:rowOff>10498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A60F035-984B-48F9-A0C9-4A48838E9D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273239</xdr:colOff>
      <xdr:row>37</xdr:row>
      <xdr:rowOff>164902</xdr:rowOff>
    </xdr:from>
    <xdr:to>
      <xdr:col>18</xdr:col>
      <xdr:colOff>12148</xdr:colOff>
      <xdr:row>53</xdr:row>
      <xdr:rowOff>28323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0FB85B4-21C4-4BFD-8851-BD1E64506F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228802</xdr:colOff>
      <xdr:row>37</xdr:row>
      <xdr:rowOff>157475</xdr:rowOff>
    </xdr:from>
    <xdr:to>
      <xdr:col>25</xdr:col>
      <xdr:colOff>143077</xdr:colOff>
      <xdr:row>53</xdr:row>
      <xdr:rowOff>27745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B820991-4049-448B-977B-8A69D6842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sun.edu/public_html/CourseBase/Probability/S-Regression/BaseStatRegSe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_html/CourseBase/Forecasting/ES-Adv-2020/5.TrendAndSeasonalityOddEv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diData"/>
      <sheetName val="Trend&amp;Season"/>
    </sheetNames>
    <sheetDataSet>
      <sheetData sheetId="0" refreshError="1">
        <row r="2">
          <cell r="A2" t="str">
            <v>Per.</v>
          </cell>
          <cell r="D2" t="str">
            <v>Trend&amp;S</v>
          </cell>
        </row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  <row r="10">
          <cell r="A10">
            <v>8</v>
          </cell>
        </row>
        <row r="11">
          <cell r="A11">
            <v>9</v>
          </cell>
        </row>
        <row r="12">
          <cell r="A12">
            <v>10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27</v>
          </cell>
        </row>
        <row r="30">
          <cell r="A30">
            <v>28</v>
          </cell>
        </row>
        <row r="31">
          <cell r="A31">
            <v>29</v>
          </cell>
        </row>
        <row r="32">
          <cell r="A32">
            <v>30</v>
          </cell>
        </row>
        <row r="33">
          <cell r="A33">
            <v>31</v>
          </cell>
        </row>
        <row r="34">
          <cell r="A34">
            <v>32</v>
          </cell>
        </row>
        <row r="35">
          <cell r="A35">
            <v>33</v>
          </cell>
        </row>
        <row r="36">
          <cell r="A36">
            <v>34</v>
          </cell>
        </row>
        <row r="37">
          <cell r="A37">
            <v>35</v>
          </cell>
        </row>
        <row r="38">
          <cell r="A38">
            <v>36</v>
          </cell>
        </row>
        <row r="39">
          <cell r="A39">
            <v>37</v>
          </cell>
        </row>
        <row r="40">
          <cell r="A40">
            <v>38</v>
          </cell>
        </row>
        <row r="41">
          <cell r="A41">
            <v>39</v>
          </cell>
        </row>
        <row r="42">
          <cell r="A42">
            <v>40</v>
          </cell>
        </row>
        <row r="43">
          <cell r="A43">
            <v>41</v>
          </cell>
        </row>
        <row r="44">
          <cell r="A44">
            <v>42</v>
          </cell>
        </row>
        <row r="45">
          <cell r="A45">
            <v>43</v>
          </cell>
        </row>
        <row r="46">
          <cell r="A46">
            <v>44</v>
          </cell>
        </row>
        <row r="47">
          <cell r="A47">
            <v>45</v>
          </cell>
        </row>
        <row r="48">
          <cell r="A48">
            <v>46</v>
          </cell>
        </row>
        <row r="49">
          <cell r="A49">
            <v>47</v>
          </cell>
        </row>
        <row r="50">
          <cell r="A50">
            <v>48</v>
          </cell>
        </row>
        <row r="51">
          <cell r="A51">
            <v>49</v>
          </cell>
        </row>
        <row r="52">
          <cell r="A52">
            <v>50</v>
          </cell>
        </row>
        <row r="53">
          <cell r="A53">
            <v>51</v>
          </cell>
        </row>
        <row r="54">
          <cell r="A54">
            <v>52</v>
          </cell>
        </row>
        <row r="55">
          <cell r="A55">
            <v>53</v>
          </cell>
        </row>
        <row r="56">
          <cell r="A56">
            <v>54</v>
          </cell>
        </row>
        <row r="57">
          <cell r="A57">
            <v>55</v>
          </cell>
        </row>
        <row r="58">
          <cell r="A58">
            <v>56</v>
          </cell>
        </row>
        <row r="59">
          <cell r="A59">
            <v>57</v>
          </cell>
        </row>
        <row r="60">
          <cell r="A60">
            <v>58</v>
          </cell>
        </row>
        <row r="61">
          <cell r="A61">
            <v>59</v>
          </cell>
        </row>
        <row r="62">
          <cell r="A62">
            <v>60</v>
          </cell>
        </row>
        <row r="63">
          <cell r="A63">
            <v>61</v>
          </cell>
        </row>
        <row r="64">
          <cell r="A64">
            <v>62</v>
          </cell>
        </row>
        <row r="65">
          <cell r="A65">
            <v>63</v>
          </cell>
        </row>
        <row r="66">
          <cell r="A66">
            <v>64</v>
          </cell>
        </row>
        <row r="67">
          <cell r="A67">
            <v>65</v>
          </cell>
        </row>
        <row r="68">
          <cell r="A68">
            <v>66</v>
          </cell>
        </row>
        <row r="69">
          <cell r="A69">
            <v>67</v>
          </cell>
        </row>
        <row r="70">
          <cell r="A70">
            <v>68</v>
          </cell>
        </row>
        <row r="71">
          <cell r="A71">
            <v>69</v>
          </cell>
        </row>
        <row r="72">
          <cell r="A72">
            <v>70</v>
          </cell>
        </row>
        <row r="73">
          <cell r="A73">
            <v>71</v>
          </cell>
        </row>
        <row r="74">
          <cell r="A74">
            <v>72</v>
          </cell>
        </row>
        <row r="75">
          <cell r="A75">
            <v>73</v>
          </cell>
        </row>
        <row r="76">
          <cell r="A76">
            <v>74</v>
          </cell>
        </row>
        <row r="77">
          <cell r="A77">
            <v>75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Trend&amp;Season"/>
      <sheetName val="0.ArdiData"/>
      <sheetName val="Sheet2"/>
      <sheetName val="0.Regression"/>
      <sheetName val="TrAdES"/>
      <sheetName val="TrAdES2"/>
      <sheetName val="Sheet1"/>
    </sheetNames>
    <sheetDataSet>
      <sheetData sheetId="0" refreshError="1"/>
      <sheetData sheetId="1">
        <row r="3">
          <cell r="D3">
            <v>31</v>
          </cell>
        </row>
        <row r="4">
          <cell r="D4">
            <v>76</v>
          </cell>
        </row>
        <row r="5">
          <cell r="D5">
            <v>140</v>
          </cell>
        </row>
        <row r="6">
          <cell r="D6">
            <v>196</v>
          </cell>
        </row>
        <row r="7">
          <cell r="D7">
            <v>135</v>
          </cell>
        </row>
        <row r="8">
          <cell r="D8">
            <v>105</v>
          </cell>
        </row>
        <row r="9">
          <cell r="D9">
            <v>47</v>
          </cell>
        </row>
        <row r="10">
          <cell r="D10">
            <v>73</v>
          </cell>
        </row>
        <row r="11">
          <cell r="D11">
            <v>117</v>
          </cell>
        </row>
        <row r="12">
          <cell r="D12">
            <v>192</v>
          </cell>
        </row>
        <row r="13">
          <cell r="D13">
            <v>314</v>
          </cell>
        </row>
        <row r="14">
          <cell r="D14">
            <v>240</v>
          </cell>
        </row>
        <row r="15">
          <cell r="D15">
            <v>140</v>
          </cell>
        </row>
        <row r="16">
          <cell r="D16">
            <v>90</v>
          </cell>
        </row>
        <row r="17">
          <cell r="D17">
            <v>115</v>
          </cell>
        </row>
        <row r="18">
          <cell r="D18">
            <v>159</v>
          </cell>
        </row>
        <row r="19">
          <cell r="D19">
            <v>317</v>
          </cell>
        </row>
        <row r="20">
          <cell r="D20">
            <v>277</v>
          </cell>
        </row>
        <row r="21">
          <cell r="D21">
            <v>248</v>
          </cell>
        </row>
        <row r="22">
          <cell r="D22">
            <v>147</v>
          </cell>
        </row>
        <row r="23">
          <cell r="D23">
            <v>112</v>
          </cell>
        </row>
        <row r="24">
          <cell r="D24">
            <v>107</v>
          </cell>
        </row>
        <row r="25">
          <cell r="D25">
            <v>253</v>
          </cell>
        </row>
        <row r="26">
          <cell r="D26">
            <v>231</v>
          </cell>
        </row>
        <row r="27">
          <cell r="D27">
            <v>560</v>
          </cell>
        </row>
        <row r="28">
          <cell r="D28">
            <v>209</v>
          </cell>
        </row>
        <row r="29">
          <cell r="D29">
            <v>269</v>
          </cell>
        </row>
        <row r="30">
          <cell r="D30">
            <v>101</v>
          </cell>
        </row>
        <row r="31">
          <cell r="D31">
            <v>125</v>
          </cell>
        </row>
        <row r="32">
          <cell r="D32">
            <v>225</v>
          </cell>
        </row>
        <row r="33">
          <cell r="D33">
            <v>398</v>
          </cell>
        </row>
        <row r="34">
          <cell r="D34">
            <v>391</v>
          </cell>
        </row>
        <row r="35">
          <cell r="D35">
            <v>353</v>
          </cell>
        </row>
        <row r="36">
          <cell r="D36">
            <v>211</v>
          </cell>
        </row>
        <row r="37">
          <cell r="D37">
            <v>163</v>
          </cell>
        </row>
        <row r="38">
          <cell r="D38">
            <v>136</v>
          </cell>
        </row>
        <row r="39">
          <cell r="D39">
            <v>311</v>
          </cell>
        </row>
        <row r="40">
          <cell r="D40">
            <v>512</v>
          </cell>
        </row>
        <row r="41">
          <cell r="D41">
            <v>458</v>
          </cell>
        </row>
        <row r="42">
          <cell r="D42">
            <v>427</v>
          </cell>
        </row>
        <row r="43">
          <cell r="D43">
            <v>300</v>
          </cell>
        </row>
        <row r="44">
          <cell r="D44">
            <v>198</v>
          </cell>
        </row>
        <row r="45">
          <cell r="D45">
            <v>183</v>
          </cell>
        </row>
        <row r="46">
          <cell r="D46">
            <v>324</v>
          </cell>
        </row>
        <row r="47">
          <cell r="D47">
            <v>449</v>
          </cell>
        </row>
        <row r="48">
          <cell r="D48">
            <v>719</v>
          </cell>
        </row>
        <row r="49">
          <cell r="D49">
            <v>578</v>
          </cell>
        </row>
        <row r="50">
          <cell r="D50">
            <v>267</v>
          </cell>
        </row>
        <row r="51">
          <cell r="D51">
            <v>157</v>
          </cell>
        </row>
        <row r="52">
          <cell r="D52">
            <v>231</v>
          </cell>
        </row>
        <row r="53">
          <cell r="D53">
            <v>364</v>
          </cell>
        </row>
        <row r="54">
          <cell r="D54">
            <v>520</v>
          </cell>
        </row>
        <row r="55">
          <cell r="D55">
            <v>804</v>
          </cell>
        </row>
        <row r="56">
          <cell r="D56">
            <v>754</v>
          </cell>
        </row>
        <row r="57">
          <cell r="D57">
            <v>429</v>
          </cell>
        </row>
        <row r="58">
          <cell r="D58">
            <v>237</v>
          </cell>
        </row>
        <row r="59">
          <cell r="D59">
            <v>160</v>
          </cell>
        </row>
        <row r="60">
          <cell r="D60">
            <v>315</v>
          </cell>
        </row>
        <row r="61">
          <cell r="D61">
            <v>311</v>
          </cell>
        </row>
        <row r="62">
          <cell r="D62">
            <v>1053</v>
          </cell>
        </row>
        <row r="63">
          <cell r="D63">
            <v>794</v>
          </cell>
        </row>
        <row r="64">
          <cell r="D64">
            <v>298</v>
          </cell>
        </row>
        <row r="65">
          <cell r="D65">
            <v>227</v>
          </cell>
        </row>
        <row r="66">
          <cell r="D66">
            <v>177</v>
          </cell>
        </row>
        <row r="67">
          <cell r="D67">
            <v>401</v>
          </cell>
        </row>
        <row r="68">
          <cell r="D68">
            <v>497</v>
          </cell>
        </row>
        <row r="69">
          <cell r="D69">
            <v>1034</v>
          </cell>
        </row>
        <row r="70">
          <cell r="D70">
            <v>875</v>
          </cell>
        </row>
        <row r="71">
          <cell r="D71">
            <v>550</v>
          </cell>
        </row>
        <row r="72">
          <cell r="D72">
            <v>181</v>
          </cell>
        </row>
        <row r="73">
          <cell r="D73">
            <v>228</v>
          </cell>
        </row>
        <row r="74">
          <cell r="D74">
            <v>440</v>
          </cell>
        </row>
        <row r="75">
          <cell r="D75">
            <v>810</v>
          </cell>
        </row>
        <row r="76">
          <cell r="D76">
            <v>851</v>
          </cell>
        </row>
        <row r="77">
          <cell r="D77">
            <v>744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youtu.be/tq2U_I7b4KQ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outube.com/watch?v=VxYX8t5OZNc&amp;t=2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F66D0-702E-4D5E-B6E8-9E433487E108}">
  <sheetPr>
    <tabColor rgb="FFFFFF00"/>
  </sheetPr>
  <dimension ref="A1:BB298"/>
  <sheetViews>
    <sheetView tabSelected="1" zoomScale="75" zoomScaleNormal="75" workbookViewId="0">
      <selection activeCell="I1" sqref="I1"/>
    </sheetView>
  </sheetViews>
  <sheetFormatPr defaultColWidth="9.140625" defaultRowHeight="15" x14ac:dyDescent="0.25"/>
  <cols>
    <col min="1" max="1" width="4.5703125" style="3" bestFit="1" customWidth="1"/>
    <col min="2" max="2" width="17" style="3" customWidth="1"/>
    <col min="3" max="3" width="14.140625" style="3" bestFit="1" customWidth="1"/>
    <col min="4" max="4" width="11.7109375" style="3" bestFit="1" customWidth="1"/>
    <col min="5" max="5" width="9" style="3" bestFit="1" customWidth="1"/>
    <col min="6" max="6" width="5.140625" style="3" bestFit="1" customWidth="1"/>
    <col min="7" max="8" width="11.85546875" style="3" bestFit="1" customWidth="1"/>
    <col min="9" max="9" width="12.85546875" style="3" bestFit="1" customWidth="1"/>
    <col min="10" max="10" width="9.28515625" style="3" bestFit="1" customWidth="1"/>
    <col min="11" max="11" width="13.140625" style="3" customWidth="1"/>
    <col min="12" max="12" width="15.85546875" style="3" customWidth="1"/>
    <col min="13" max="14" width="9.140625" style="3"/>
    <col min="15" max="15" width="9.28515625" style="3" bestFit="1" customWidth="1"/>
    <col min="16" max="26" width="9.140625" style="3"/>
    <col min="27" max="27" width="9.140625" style="3" customWidth="1"/>
    <col min="28" max="30" width="9.140625" style="3"/>
    <col min="31" max="31" width="9.28515625" bestFit="1" customWidth="1"/>
    <col min="32" max="32" width="14" customWidth="1"/>
    <col min="33" max="33" width="12.28515625" customWidth="1"/>
    <col min="34" max="34" width="10.140625" bestFit="1" customWidth="1"/>
    <col min="35" max="35" width="10.140625" customWidth="1"/>
    <col min="36" max="38" width="9.28515625" customWidth="1"/>
    <col min="39" max="39" width="9.28515625" bestFit="1" customWidth="1"/>
    <col min="40" max="40" width="12.28515625" bestFit="1" customWidth="1"/>
    <col min="50" max="16384" width="9.140625" style="3"/>
  </cols>
  <sheetData>
    <row r="1" spans="1:54" customFormat="1" ht="17.25" thickBot="1" x14ac:dyDescent="0.35">
      <c r="A1" s="20" t="s">
        <v>0</v>
      </c>
      <c r="B1" s="21" t="s">
        <v>15</v>
      </c>
      <c r="C1" s="22" t="s">
        <v>23</v>
      </c>
      <c r="D1" s="22" t="s">
        <v>24</v>
      </c>
      <c r="E1" s="22" t="s">
        <v>25</v>
      </c>
      <c r="F1" s="22" t="s">
        <v>2</v>
      </c>
      <c r="G1" s="22" t="s">
        <v>26</v>
      </c>
      <c r="H1" s="22" t="s">
        <v>27</v>
      </c>
      <c r="I1" s="22" t="s">
        <v>31</v>
      </c>
      <c r="J1" s="44" t="s">
        <v>37</v>
      </c>
      <c r="K1" s="45"/>
      <c r="L1" s="45"/>
      <c r="M1" s="46" t="s">
        <v>39</v>
      </c>
      <c r="N1" s="47"/>
      <c r="O1" s="47"/>
      <c r="P1" s="47"/>
      <c r="Q1" s="47"/>
      <c r="R1" s="47"/>
      <c r="S1" s="47"/>
    </row>
    <row r="2" spans="1:54" customFormat="1" ht="16.5" x14ac:dyDescent="0.3">
      <c r="A2" s="4">
        <v>0</v>
      </c>
      <c r="B2" s="4"/>
      <c r="C2" s="26">
        <f>INTERCEPT($C$5:$C$28,$A$5:$A$28)</f>
        <v>30.653007246376816</v>
      </c>
      <c r="D2" s="26">
        <f>SLOPE($C$5:$C$28,$A$5:$A$28)</f>
        <v>1.2613586956521738</v>
      </c>
      <c r="E2" s="4"/>
      <c r="F2" s="4"/>
      <c r="G2" s="4"/>
      <c r="H2" s="4"/>
      <c r="I2" s="4"/>
      <c r="J2" s="44" t="s">
        <v>42</v>
      </c>
      <c r="K2" s="44"/>
      <c r="L2" s="3"/>
      <c r="M2" s="3"/>
      <c r="N2" s="3"/>
      <c r="O2" s="3"/>
      <c r="P2" s="3"/>
      <c r="Q2" s="3"/>
      <c r="R2" s="3"/>
      <c r="S2" s="3"/>
      <c r="AB2" s="3"/>
      <c r="AC2" s="3"/>
      <c r="AD2" s="3"/>
      <c r="AX2" s="3"/>
      <c r="AY2" s="3"/>
      <c r="AZ2" s="3"/>
      <c r="BA2" s="3"/>
      <c r="BB2" s="3"/>
    </row>
    <row r="3" spans="1:54" customFormat="1" ht="16.5" x14ac:dyDescent="0.3">
      <c r="A3" s="5">
        <v>1</v>
      </c>
      <c r="B3" s="23">
        <v>21</v>
      </c>
      <c r="C3" s="34"/>
      <c r="D3" s="27">
        <f t="shared" ref="D3:D34" si="0">$C$2+$D$2*A3</f>
        <v>31.91436594202899</v>
      </c>
      <c r="E3" s="28">
        <f>B3/D3</f>
        <v>0.65801087943108616</v>
      </c>
      <c r="F3" s="29">
        <f t="shared" ref="F3:F34" si="1">IF(MOD(A3,$C$37)&gt;0,MOD(A3,$C$37),$C$37)</f>
        <v>1</v>
      </c>
      <c r="G3" s="30">
        <f>AVERAGEIF($F$3:$F$30,F3,$E$3:$E$30)</f>
        <v>0.84597858424179706</v>
      </c>
      <c r="H3" s="30">
        <f>G3/AVERAGE($G$3:$G$6)</f>
        <v>0.86089331338097475</v>
      </c>
      <c r="I3" s="24">
        <f>D3*VLOOKUP(F3,$F$3:$H$6,3,0)</f>
        <v>27.474864240286269</v>
      </c>
      <c r="J3" s="44" t="s">
        <v>38</v>
      </c>
      <c r="K3" s="45"/>
      <c r="L3" s="45"/>
      <c r="M3" s="44"/>
      <c r="N3" s="45"/>
      <c r="O3" s="44"/>
      <c r="P3" s="48"/>
      <c r="Q3" s="48"/>
      <c r="R3" s="49"/>
      <c r="S3" s="3"/>
      <c r="AB3" s="3"/>
      <c r="AC3" s="3"/>
      <c r="AD3" s="3"/>
      <c r="AX3" s="3"/>
      <c r="AY3" s="3"/>
      <c r="AZ3" s="3"/>
      <c r="BA3" s="3"/>
      <c r="BB3" s="3"/>
    </row>
    <row r="4" spans="1:54" customFormat="1" ht="16.5" x14ac:dyDescent="0.3">
      <c r="A4" s="5">
        <v>2</v>
      </c>
      <c r="B4" s="23">
        <v>27</v>
      </c>
      <c r="C4" s="34"/>
      <c r="D4" s="27">
        <f t="shared" si="0"/>
        <v>33.175724637681164</v>
      </c>
      <c r="E4" s="28">
        <f t="shared" ref="E4:E29" si="2">B4/D4</f>
        <v>0.81384808605908365</v>
      </c>
      <c r="F4" s="29">
        <f t="shared" si="1"/>
        <v>2</v>
      </c>
      <c r="G4" s="30">
        <f t="shared" ref="G4:G6" si="3">AVERAGEIF($F$3:$F$30,F4,$E$3:$E$30)</f>
        <v>1.1025441413126487</v>
      </c>
      <c r="H4" s="30">
        <f>G4/AVERAGE($G$3:$G$6)</f>
        <v>1.121982159647833</v>
      </c>
      <c r="I4" s="24">
        <f>D4*VLOOKUP(F4,$F$3:$H$6,3,0)</f>
        <v>37.222571176867334</v>
      </c>
      <c r="J4" s="3"/>
      <c r="K4" s="3"/>
      <c r="L4" s="3"/>
      <c r="M4" s="3"/>
      <c r="N4" s="3"/>
      <c r="O4" s="3"/>
      <c r="P4" s="3"/>
      <c r="Q4" s="3"/>
      <c r="R4" s="3"/>
      <c r="S4" s="3"/>
      <c r="AB4" s="3"/>
      <c r="AC4" s="3"/>
      <c r="AD4" s="3"/>
      <c r="AX4" s="3"/>
      <c r="AY4" s="3"/>
      <c r="AZ4" s="3"/>
      <c r="BA4" s="3"/>
      <c r="BB4" s="3"/>
    </row>
    <row r="5" spans="1:54" customFormat="1" ht="16.5" x14ac:dyDescent="0.3">
      <c r="A5" s="5">
        <v>3</v>
      </c>
      <c r="B5" s="23">
        <v>38</v>
      </c>
      <c r="C5" s="25">
        <f>AVERAGE(AVERAGE(B3:B6),AVERAGE(B4:B7))</f>
        <v>30.625</v>
      </c>
      <c r="D5" s="27">
        <f t="shared" si="0"/>
        <v>34.437083333333341</v>
      </c>
      <c r="E5" s="28">
        <f t="shared" si="2"/>
        <v>1.1034616268799378</v>
      </c>
      <c r="F5" s="29">
        <f t="shared" si="1"/>
        <v>3</v>
      </c>
      <c r="G5" s="30">
        <f t="shared" si="3"/>
        <v>1.1707796605485288</v>
      </c>
      <c r="H5" s="30">
        <f>G5/AVERAGE($G$3:$G$6)</f>
        <v>1.1914206813072159</v>
      </c>
      <c r="I5" s="24">
        <f>D5*VLOOKUP(F5,$F$3:$H$6,3,0)</f>
        <v>41.029053287233381</v>
      </c>
      <c r="AB5" s="3"/>
      <c r="AC5" s="3"/>
      <c r="AD5" s="3"/>
      <c r="AX5" s="3"/>
      <c r="AY5" s="3"/>
      <c r="AZ5" s="3"/>
      <c r="BA5" s="3"/>
      <c r="BB5" s="3"/>
    </row>
    <row r="6" spans="1:54" customFormat="1" ht="16.5" x14ac:dyDescent="0.3">
      <c r="A6" s="5">
        <v>4</v>
      </c>
      <c r="B6" s="23">
        <v>28</v>
      </c>
      <c r="C6" s="25">
        <f t="shared" ref="C6:C27" si="4">AVERAGE(AVERAGE(B4:B7),AVERAGE(B5:B8))</f>
        <v>35.5</v>
      </c>
      <c r="D6" s="27">
        <f t="shared" si="0"/>
        <v>35.698442028985511</v>
      </c>
      <c r="E6" s="28">
        <f t="shared" si="2"/>
        <v>0.78434795494059029</v>
      </c>
      <c r="F6" s="29">
        <f t="shared" si="1"/>
        <v>4</v>
      </c>
      <c r="G6" s="30">
        <f t="shared" si="3"/>
        <v>0.81139876393568344</v>
      </c>
      <c r="H6" s="30">
        <f>G6/AVERAGE($G$3:$G$6)</f>
        <v>0.82570384566397614</v>
      </c>
      <c r="I6" s="24">
        <f t="shared" ref="I6:I34" si="5">D6*VLOOKUP(F6,$F$3:$H$6,3,0)</f>
        <v>29.476340867545851</v>
      </c>
      <c r="AB6" s="3"/>
      <c r="AC6" s="3"/>
      <c r="AD6" s="3"/>
      <c r="AX6" s="3"/>
      <c r="AY6" s="3"/>
      <c r="AZ6" s="3"/>
      <c r="BA6" s="3"/>
      <c r="BB6" s="3"/>
    </row>
    <row r="7" spans="1:54" customFormat="1" ht="16.5" x14ac:dyDescent="0.3">
      <c r="A7" s="5">
        <v>5</v>
      </c>
      <c r="B7" s="23">
        <v>38</v>
      </c>
      <c r="C7" s="25">
        <f t="shared" si="4"/>
        <v>39.375</v>
      </c>
      <c r="D7" s="27">
        <f t="shared" si="0"/>
        <v>36.959800724637688</v>
      </c>
      <c r="E7" s="28">
        <f t="shared" si="2"/>
        <v>1.028144071530908</v>
      </c>
      <c r="F7" s="29">
        <f t="shared" si="1"/>
        <v>1</v>
      </c>
      <c r="G7" s="31">
        <f>AVERAGE(G3:G6)</f>
        <v>0.98267528750966449</v>
      </c>
      <c r="H7" s="31">
        <f>AVERAGE(H3:H6)</f>
        <v>0.99999999999999989</v>
      </c>
      <c r="I7" s="24">
        <f t="shared" si="5"/>
        <v>31.818445307733892</v>
      </c>
      <c r="AB7" s="3"/>
      <c r="AC7" s="3"/>
      <c r="AD7" s="3"/>
      <c r="AX7" s="3"/>
      <c r="AY7" s="3"/>
      <c r="AZ7" s="3"/>
      <c r="BA7" s="3"/>
      <c r="BB7" s="3"/>
    </row>
    <row r="8" spans="1:54" customFormat="1" ht="16.5" x14ac:dyDescent="0.3">
      <c r="A8" s="5">
        <v>6</v>
      </c>
      <c r="B8" s="23">
        <v>49</v>
      </c>
      <c r="C8" s="25">
        <f t="shared" si="4"/>
        <v>41.375</v>
      </c>
      <c r="D8" s="27">
        <f t="shared" si="0"/>
        <v>38.221159420289858</v>
      </c>
      <c r="E8" s="28">
        <f t="shared" si="2"/>
        <v>1.2820123916489083</v>
      </c>
      <c r="F8" s="29">
        <f t="shared" si="1"/>
        <v>2</v>
      </c>
      <c r="G8" s="29"/>
      <c r="H8" s="29"/>
      <c r="I8" s="24">
        <f t="shared" si="5"/>
        <v>42.88345899062093</v>
      </c>
      <c r="AB8" s="3"/>
      <c r="AC8" s="3"/>
      <c r="AD8" s="3"/>
      <c r="AX8" s="3"/>
      <c r="AY8" s="3"/>
      <c r="AZ8" s="3"/>
      <c r="BA8" s="3"/>
      <c r="BB8" s="3"/>
    </row>
    <row r="9" spans="1:54" customFormat="1" ht="16.5" x14ac:dyDescent="0.3">
      <c r="A9" s="5">
        <v>7</v>
      </c>
      <c r="B9" s="23">
        <v>47</v>
      </c>
      <c r="C9" s="25">
        <f t="shared" si="4"/>
        <v>42.75</v>
      </c>
      <c r="D9" s="27">
        <f t="shared" si="0"/>
        <v>39.482518115942035</v>
      </c>
      <c r="E9" s="28">
        <f t="shared" si="2"/>
        <v>1.1904002642886802</v>
      </c>
      <c r="F9" s="29">
        <f t="shared" si="1"/>
        <v>3</v>
      </c>
      <c r="G9" s="29"/>
      <c r="H9" s="29"/>
      <c r="I9" s="24">
        <f t="shared" si="5"/>
        <v>47.040288633420154</v>
      </c>
      <c r="AB9" s="3"/>
      <c r="AC9" s="3"/>
      <c r="AD9" s="3"/>
      <c r="AX9" s="3"/>
      <c r="AY9" s="3"/>
      <c r="AZ9" s="3"/>
      <c r="BA9" s="3"/>
      <c r="BB9" s="3"/>
    </row>
    <row r="10" spans="1:54" customFormat="1" ht="16.5" x14ac:dyDescent="0.3">
      <c r="A10" s="5">
        <v>8</v>
      </c>
      <c r="B10" s="23">
        <v>35</v>
      </c>
      <c r="C10" s="25">
        <f t="shared" si="4"/>
        <v>44</v>
      </c>
      <c r="D10" s="27">
        <f t="shared" si="0"/>
        <v>40.743876811594205</v>
      </c>
      <c r="E10" s="28">
        <f t="shared" si="2"/>
        <v>0.85902478455462761</v>
      </c>
      <c r="F10" s="29">
        <f t="shared" si="1"/>
        <v>4</v>
      </c>
      <c r="G10" s="29"/>
      <c r="H10" s="29"/>
      <c r="I10" s="24">
        <f t="shared" si="5"/>
        <v>33.642375770592636</v>
      </c>
      <c r="AB10" s="3"/>
      <c r="AC10" s="3"/>
      <c r="AD10" s="3"/>
      <c r="AX10" s="3"/>
      <c r="AY10" s="3"/>
      <c r="AZ10" s="3"/>
      <c r="BA10" s="3"/>
      <c r="BB10" s="3"/>
    </row>
    <row r="11" spans="1:54" customFormat="1" ht="16.5" x14ac:dyDescent="0.3">
      <c r="A11" s="5">
        <v>9</v>
      </c>
      <c r="B11" s="23">
        <v>42</v>
      </c>
      <c r="C11" s="25">
        <f t="shared" si="4"/>
        <v>45.875</v>
      </c>
      <c r="D11" s="27">
        <f t="shared" si="0"/>
        <v>42.005235507246383</v>
      </c>
      <c r="E11" s="28">
        <f t="shared" si="2"/>
        <v>0.99987536060247828</v>
      </c>
      <c r="F11" s="29">
        <f t="shared" si="1"/>
        <v>1</v>
      </c>
      <c r="G11" s="29"/>
      <c r="H11" s="29"/>
      <c r="I11" s="24">
        <f t="shared" si="5"/>
        <v>36.162026375181505</v>
      </c>
      <c r="AB11" s="3"/>
      <c r="AC11" s="3"/>
      <c r="AD11" s="3"/>
      <c r="AX11" s="3"/>
      <c r="AY11" s="3"/>
      <c r="AZ11" s="3"/>
      <c r="BA11" s="3"/>
      <c r="BB11" s="3"/>
    </row>
    <row r="12" spans="1:54" customFormat="1" ht="16.5" x14ac:dyDescent="0.3">
      <c r="A12" s="5">
        <v>10</v>
      </c>
      <c r="B12" s="23">
        <v>55</v>
      </c>
      <c r="C12" s="25">
        <f t="shared" si="4"/>
        <v>46.625</v>
      </c>
      <c r="D12" s="27">
        <f t="shared" si="0"/>
        <v>43.266594202898553</v>
      </c>
      <c r="E12" s="28">
        <f t="shared" si="2"/>
        <v>1.2711885696867584</v>
      </c>
      <c r="F12" s="29">
        <f t="shared" si="1"/>
        <v>2</v>
      </c>
      <c r="G12" s="29"/>
      <c r="H12" s="29"/>
      <c r="I12" s="24">
        <f t="shared" si="5"/>
        <v>48.544346804374527</v>
      </c>
      <c r="AB12" s="3"/>
      <c r="AC12" s="3"/>
      <c r="AD12" s="3"/>
      <c r="AX12" s="3"/>
      <c r="AY12" s="3"/>
      <c r="AZ12" s="3"/>
      <c r="BA12" s="3"/>
      <c r="BB12" s="3"/>
    </row>
    <row r="13" spans="1:54" customFormat="1" ht="16.5" x14ac:dyDescent="0.3">
      <c r="A13" s="5">
        <v>11</v>
      </c>
      <c r="B13" s="23">
        <v>56</v>
      </c>
      <c r="C13" s="25">
        <f t="shared" si="4"/>
        <v>45.375</v>
      </c>
      <c r="D13" s="27">
        <f t="shared" si="0"/>
        <v>44.52795289855073</v>
      </c>
      <c r="E13" s="28">
        <f t="shared" si="2"/>
        <v>1.2576369753082148</v>
      </c>
      <c r="F13" s="29">
        <f t="shared" si="1"/>
        <v>3</v>
      </c>
      <c r="G13" s="29"/>
      <c r="H13" s="29"/>
      <c r="I13" s="24">
        <f t="shared" si="5"/>
        <v>53.051523979606927</v>
      </c>
      <c r="AB13" s="3"/>
      <c r="AC13" s="3"/>
      <c r="AD13" s="3"/>
      <c r="AX13" s="3"/>
      <c r="AY13" s="3"/>
      <c r="AZ13" s="3"/>
      <c r="BA13" s="3"/>
      <c r="BB13" s="3"/>
    </row>
    <row r="14" spans="1:54" customFormat="1" ht="16.5" x14ac:dyDescent="0.3">
      <c r="A14" s="5">
        <v>12</v>
      </c>
      <c r="B14" s="23">
        <v>32</v>
      </c>
      <c r="C14" s="25">
        <f t="shared" si="4"/>
        <v>44.5</v>
      </c>
      <c r="D14" s="27">
        <f t="shared" si="0"/>
        <v>45.7893115942029</v>
      </c>
      <c r="E14" s="28">
        <f t="shared" si="2"/>
        <v>0.69885304858025687</v>
      </c>
      <c r="F14" s="29">
        <f t="shared" si="1"/>
        <v>4</v>
      </c>
      <c r="G14" s="29"/>
      <c r="H14" s="29"/>
      <c r="I14" s="24">
        <f t="shared" si="5"/>
        <v>37.808410673639422</v>
      </c>
      <c r="AB14" s="3"/>
      <c r="AC14" s="3"/>
      <c r="AD14" s="3"/>
      <c r="AX14" s="3"/>
      <c r="AY14" s="3"/>
      <c r="AZ14" s="3"/>
      <c r="BA14" s="3"/>
      <c r="BB14" s="3"/>
    </row>
    <row r="15" spans="1:54" customFormat="1" ht="16.5" x14ac:dyDescent="0.3">
      <c r="A15" s="5">
        <v>13</v>
      </c>
      <c r="B15" s="23">
        <v>35</v>
      </c>
      <c r="C15" s="25">
        <f t="shared" si="4"/>
        <v>43.75</v>
      </c>
      <c r="D15" s="27">
        <f t="shared" si="0"/>
        <v>47.050670289855077</v>
      </c>
      <c r="E15" s="28">
        <f t="shared" si="2"/>
        <v>0.74387888173288352</v>
      </c>
      <c r="F15" s="29">
        <f t="shared" si="1"/>
        <v>1</v>
      </c>
      <c r="G15" s="29"/>
      <c r="H15" s="29"/>
      <c r="I15" s="24">
        <f t="shared" si="5"/>
        <v>40.505607442629127</v>
      </c>
      <c r="AB15" s="3"/>
      <c r="AC15" s="3"/>
      <c r="AD15" s="3"/>
      <c r="AX15" s="3"/>
      <c r="AY15" s="3"/>
      <c r="AZ15" s="3"/>
      <c r="BA15" s="3"/>
      <c r="BB15" s="3"/>
    </row>
    <row r="16" spans="1:54" customFormat="1" ht="16.5" x14ac:dyDescent="0.3">
      <c r="A16" s="5">
        <v>14</v>
      </c>
      <c r="B16" s="23">
        <v>55</v>
      </c>
      <c r="C16" s="25">
        <f t="shared" si="4"/>
        <v>44.75</v>
      </c>
      <c r="D16" s="27">
        <f t="shared" si="0"/>
        <v>48.312028985507254</v>
      </c>
      <c r="E16" s="28">
        <f t="shared" si="2"/>
        <v>1.1384328324628845</v>
      </c>
      <c r="F16" s="29">
        <f t="shared" si="1"/>
        <v>2</v>
      </c>
      <c r="G16" s="29"/>
      <c r="H16" s="29"/>
      <c r="I16" s="24">
        <f t="shared" si="5"/>
        <v>54.205234618128138</v>
      </c>
      <c r="AB16" s="4"/>
      <c r="AC16" s="4"/>
      <c r="AD16" s="4"/>
      <c r="AE16" s="1"/>
      <c r="AF16" s="1"/>
      <c r="AG16" s="1"/>
      <c r="AH16" s="1"/>
      <c r="AI16" s="1"/>
      <c r="AJ16" s="1"/>
      <c r="AK16" s="1"/>
      <c r="AX16" s="3"/>
      <c r="AY16" s="3"/>
      <c r="AZ16" s="3"/>
      <c r="BA16" s="3"/>
      <c r="BB16" s="3"/>
    </row>
    <row r="17" spans="1:54" ht="16.5" x14ac:dyDescent="0.3">
      <c r="A17" s="5">
        <v>15</v>
      </c>
      <c r="B17" s="23">
        <v>50</v>
      </c>
      <c r="C17" s="25">
        <f t="shared" si="4"/>
        <v>47.625</v>
      </c>
      <c r="D17" s="27">
        <f t="shared" si="0"/>
        <v>49.573387681159424</v>
      </c>
      <c r="E17" s="28">
        <f t="shared" si="2"/>
        <v>1.0086056720913328</v>
      </c>
      <c r="F17" s="29">
        <f t="shared" si="1"/>
        <v>3</v>
      </c>
      <c r="G17" s="29"/>
      <c r="H17" s="29"/>
      <c r="I17" s="24">
        <f t="shared" si="5"/>
        <v>59.062759325793706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 s="4"/>
      <c r="AC17" s="4"/>
      <c r="AD17" s="4"/>
      <c r="AE17" s="1"/>
      <c r="AF17" s="1"/>
      <c r="AG17" s="1"/>
      <c r="AH17" s="1"/>
      <c r="AI17" s="1"/>
      <c r="AJ17" s="1"/>
      <c r="AK17" s="1"/>
    </row>
    <row r="18" spans="1:54" ht="16.5" x14ac:dyDescent="0.3">
      <c r="A18" s="5">
        <v>16</v>
      </c>
      <c r="B18" s="23">
        <v>46</v>
      </c>
      <c r="C18" s="25">
        <f t="shared" si="4"/>
        <v>47.5</v>
      </c>
      <c r="D18" s="27">
        <f t="shared" si="0"/>
        <v>50.834746376811594</v>
      </c>
      <c r="E18" s="28">
        <f t="shared" si="2"/>
        <v>0.90489287895774817</v>
      </c>
      <c r="F18" s="29">
        <f t="shared" si="1"/>
        <v>4</v>
      </c>
      <c r="G18" s="29"/>
      <c r="H18" s="29"/>
      <c r="I18" s="24">
        <f t="shared" si="5"/>
        <v>41.974445576686215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 s="4"/>
      <c r="AC18" s="4"/>
      <c r="AD18" s="4"/>
      <c r="AE18" s="1"/>
      <c r="AF18" s="1"/>
      <c r="AG18" s="1"/>
      <c r="AH18" s="1"/>
      <c r="AI18" s="1"/>
      <c r="AJ18" s="1"/>
      <c r="AK18" s="1"/>
    </row>
    <row r="19" spans="1:54" ht="16.5" x14ac:dyDescent="0.3">
      <c r="A19" s="5">
        <v>17</v>
      </c>
      <c r="B19" s="23">
        <v>44</v>
      </c>
      <c r="C19" s="25">
        <f t="shared" si="4"/>
        <v>47.375</v>
      </c>
      <c r="D19" s="27">
        <f t="shared" si="0"/>
        <v>52.096105072463772</v>
      </c>
      <c r="E19" s="28">
        <f t="shared" si="2"/>
        <v>0.84459289113452174</v>
      </c>
      <c r="F19" s="29">
        <f t="shared" si="1"/>
        <v>1</v>
      </c>
      <c r="G19" s="29"/>
      <c r="H19" s="29"/>
      <c r="I19" s="24">
        <f t="shared" si="5"/>
        <v>44.849188510076743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 s="4"/>
      <c r="AC19" s="4"/>
      <c r="AD19" s="4"/>
      <c r="AE19" s="1"/>
      <c r="AF19" s="1"/>
      <c r="AG19" s="1"/>
      <c r="AH19" s="1"/>
      <c r="AI19" s="1"/>
      <c r="AJ19" s="1"/>
      <c r="AK19" s="1"/>
    </row>
    <row r="20" spans="1:54" ht="16.5" x14ac:dyDescent="0.3">
      <c r="A20" s="5">
        <v>18</v>
      </c>
      <c r="B20" s="23">
        <v>45</v>
      </c>
      <c r="C20" s="25">
        <f t="shared" si="4"/>
        <v>48.875</v>
      </c>
      <c r="D20" s="27">
        <f t="shared" si="0"/>
        <v>53.357463768115949</v>
      </c>
      <c r="E20" s="28">
        <f t="shared" si="2"/>
        <v>0.84336842162445513</v>
      </c>
      <c r="F20" s="29">
        <f t="shared" si="1"/>
        <v>2</v>
      </c>
      <c r="G20" s="29"/>
      <c r="H20" s="29"/>
      <c r="I20" s="24">
        <f t="shared" si="5"/>
        <v>59.866122431881735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1"/>
      <c r="AF20" s="1"/>
      <c r="AG20" s="1"/>
      <c r="AH20" s="1"/>
      <c r="AI20" s="1"/>
      <c r="AJ20" s="1"/>
      <c r="AK20" s="1"/>
    </row>
    <row r="21" spans="1:54" ht="16.5" x14ac:dyDescent="0.3">
      <c r="A21" s="5">
        <v>19</v>
      </c>
      <c r="B21" s="23">
        <v>59</v>
      </c>
      <c r="C21" s="25">
        <f t="shared" si="4"/>
        <v>48.625</v>
      </c>
      <c r="D21" s="27">
        <f t="shared" si="0"/>
        <v>54.618822463768119</v>
      </c>
      <c r="E21" s="28">
        <f t="shared" si="2"/>
        <v>1.0802136944482494</v>
      </c>
      <c r="F21" s="29">
        <f t="shared" si="1"/>
        <v>3</v>
      </c>
      <c r="G21" s="29"/>
      <c r="H21" s="29"/>
      <c r="I21" s="24">
        <f t="shared" si="5"/>
        <v>65.073994671980486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1"/>
      <c r="AF21" s="1"/>
      <c r="AG21" s="1"/>
      <c r="AH21" s="1"/>
      <c r="AI21" s="1"/>
      <c r="AJ21" s="1"/>
      <c r="AK21" s="1"/>
    </row>
    <row r="22" spans="1:54" ht="16.5" x14ac:dyDescent="0.3">
      <c r="A22" s="5">
        <v>20</v>
      </c>
      <c r="B22" s="23">
        <v>49</v>
      </c>
      <c r="C22" s="25">
        <f t="shared" si="4"/>
        <v>51.5</v>
      </c>
      <c r="D22" s="27">
        <f t="shared" si="0"/>
        <v>55.880181159420289</v>
      </c>
      <c r="E22" s="28">
        <f t="shared" si="2"/>
        <v>0.87687618370828369</v>
      </c>
      <c r="F22" s="29">
        <f t="shared" si="1"/>
        <v>4</v>
      </c>
      <c r="G22" s="29"/>
      <c r="H22" s="29"/>
      <c r="I22" s="24">
        <f t="shared" si="5"/>
        <v>46.140480479733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1"/>
      <c r="AF22" s="1"/>
      <c r="AG22" s="1"/>
      <c r="AH22" s="1"/>
      <c r="AI22" s="1"/>
      <c r="AJ22" s="1"/>
      <c r="AK22" s="1"/>
    </row>
    <row r="23" spans="1:54" ht="16.5" x14ac:dyDescent="0.3">
      <c r="A23" s="5">
        <v>21</v>
      </c>
      <c r="B23" s="23">
        <v>39</v>
      </c>
      <c r="C23" s="25">
        <f t="shared" si="4"/>
        <v>57</v>
      </c>
      <c r="D23" s="27">
        <f t="shared" si="0"/>
        <v>57.141539855072466</v>
      </c>
      <c r="E23" s="28">
        <f t="shared" si="2"/>
        <v>0.68251573371868035</v>
      </c>
      <c r="F23" s="29">
        <f t="shared" si="1"/>
        <v>1</v>
      </c>
      <c r="G23" s="29"/>
      <c r="H23" s="29"/>
      <c r="I23" s="24">
        <f t="shared" si="5"/>
        <v>49.192769577524359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1"/>
      <c r="AF23" s="1"/>
      <c r="AG23" s="1"/>
      <c r="AH23" s="1"/>
      <c r="AI23" s="1"/>
      <c r="AJ23" s="1"/>
      <c r="AK23" s="1"/>
    </row>
    <row r="24" spans="1:54" ht="16.5" x14ac:dyDescent="0.3">
      <c r="A24" s="5">
        <v>22</v>
      </c>
      <c r="B24" s="23">
        <v>73</v>
      </c>
      <c r="C24" s="25">
        <f t="shared" si="4"/>
        <v>59.875</v>
      </c>
      <c r="D24" s="27">
        <f t="shared" si="0"/>
        <v>58.402898550724643</v>
      </c>
      <c r="E24" s="28">
        <f t="shared" si="2"/>
        <v>1.2499379621817459</v>
      </c>
      <c r="F24" s="29">
        <f t="shared" si="1"/>
        <v>2</v>
      </c>
      <c r="G24" s="29"/>
      <c r="H24" s="29"/>
      <c r="I24" s="24">
        <f t="shared" si="5"/>
        <v>65.527010245635324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1"/>
      <c r="AF24" s="1"/>
      <c r="AG24" s="1"/>
      <c r="AH24" s="1"/>
      <c r="AI24" s="1"/>
      <c r="AJ24" s="1"/>
      <c r="AK24" s="1"/>
    </row>
    <row r="25" spans="1:54" ht="16.5" x14ac:dyDescent="0.3">
      <c r="A25" s="5">
        <v>23</v>
      </c>
      <c r="B25" s="23">
        <v>75</v>
      </c>
      <c r="C25" s="25">
        <f t="shared" si="4"/>
        <v>63.375</v>
      </c>
      <c r="D25" s="27">
        <f t="shared" si="0"/>
        <v>59.664257246376813</v>
      </c>
      <c r="E25" s="28">
        <f t="shared" si="2"/>
        <v>1.2570340009479373</v>
      </c>
      <c r="F25" s="29">
        <f t="shared" si="1"/>
        <v>3</v>
      </c>
      <c r="G25" s="29"/>
      <c r="H25" s="29"/>
      <c r="I25" s="24">
        <f t="shared" si="5"/>
        <v>71.085230018167252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1"/>
      <c r="AF25" s="1"/>
      <c r="AG25" s="1"/>
      <c r="AH25" s="1"/>
      <c r="AI25" s="1"/>
      <c r="AJ25" s="1"/>
      <c r="AK25" s="1"/>
    </row>
    <row r="26" spans="1:54" ht="16.5" x14ac:dyDescent="0.3">
      <c r="A26" s="5">
        <v>24</v>
      </c>
      <c r="B26" s="23">
        <v>56</v>
      </c>
      <c r="C26" s="25">
        <f t="shared" si="4"/>
        <v>65.75</v>
      </c>
      <c r="D26" s="27">
        <f t="shared" si="0"/>
        <v>60.92561594202899</v>
      </c>
      <c r="E26" s="28">
        <f t="shared" si="2"/>
        <v>0.91915361271495821</v>
      </c>
      <c r="F26" s="29">
        <f t="shared" si="1"/>
        <v>4</v>
      </c>
      <c r="G26" s="29"/>
      <c r="H26" s="29"/>
      <c r="I26" s="24">
        <f t="shared" si="5"/>
        <v>50.306515382779793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1"/>
      <c r="AF26" s="1"/>
      <c r="AG26" s="1"/>
      <c r="AH26" s="1"/>
      <c r="AI26" s="1"/>
      <c r="AJ26" s="1"/>
      <c r="AK26" s="1"/>
    </row>
    <row r="27" spans="1:54" ht="16.5" x14ac:dyDescent="0.3">
      <c r="A27" s="5">
        <v>25</v>
      </c>
      <c r="B27" s="23">
        <v>60</v>
      </c>
      <c r="C27" s="25">
        <f t="shared" si="4"/>
        <v>66.625</v>
      </c>
      <c r="D27" s="27">
        <f t="shared" si="0"/>
        <v>62.186974637681161</v>
      </c>
      <c r="E27" s="28">
        <f t="shared" si="2"/>
        <v>0.96483227154202156</v>
      </c>
      <c r="F27" s="29">
        <f t="shared" si="1"/>
        <v>1</v>
      </c>
      <c r="G27" s="29"/>
      <c r="H27" s="29"/>
      <c r="I27" s="24">
        <f t="shared" si="5"/>
        <v>53.536350644971975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1"/>
      <c r="AF27" s="1"/>
      <c r="AG27" s="1"/>
      <c r="AH27" s="1"/>
      <c r="AI27" s="1"/>
      <c r="AJ27" s="1"/>
      <c r="AK27" s="1"/>
    </row>
    <row r="28" spans="1:54" ht="16.5" x14ac:dyDescent="0.3">
      <c r="A28" s="5">
        <v>26</v>
      </c>
      <c r="B28" s="23">
        <v>71</v>
      </c>
      <c r="C28" s="25">
        <f>AVERAGE(AVERAGE(B26:B29),AVERAGE(B27:B30))</f>
        <v>66</v>
      </c>
      <c r="D28" s="27">
        <f t="shared" si="0"/>
        <v>63.448333333333338</v>
      </c>
      <c r="E28" s="28">
        <f t="shared" si="2"/>
        <v>1.1190207255247051</v>
      </c>
      <c r="F28" s="29">
        <f t="shared" si="1"/>
        <v>2</v>
      </c>
      <c r="G28" s="29"/>
      <c r="H28" s="29"/>
      <c r="I28" s="24">
        <f t="shared" si="5"/>
        <v>71.187898059388928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1"/>
      <c r="AF28" s="1"/>
      <c r="AG28" s="1"/>
      <c r="AH28" s="1"/>
      <c r="AI28" s="1"/>
      <c r="AJ28" s="1"/>
      <c r="AK28" s="1"/>
    </row>
    <row r="29" spans="1:54" ht="16.5" x14ac:dyDescent="0.3">
      <c r="A29" s="5">
        <v>27</v>
      </c>
      <c r="B29" s="23">
        <v>84</v>
      </c>
      <c r="C29" s="34"/>
      <c r="D29" s="27">
        <f t="shared" si="0"/>
        <v>64.709692028985501</v>
      </c>
      <c r="E29" s="28">
        <f t="shared" si="2"/>
        <v>1.2981053898753492</v>
      </c>
      <c r="F29" s="29">
        <f t="shared" si="1"/>
        <v>3</v>
      </c>
      <c r="G29" s="29"/>
      <c r="H29" s="29"/>
      <c r="I29" s="24">
        <f t="shared" si="5"/>
        <v>77.096465364354017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1"/>
      <c r="AF29" s="1"/>
      <c r="AG29" s="1"/>
      <c r="AH29" s="1"/>
      <c r="AI29" s="1"/>
      <c r="AJ29" s="1"/>
      <c r="AK29" s="1"/>
    </row>
    <row r="30" spans="1:54" ht="16.5" x14ac:dyDescent="0.3">
      <c r="A30" s="5">
        <v>28</v>
      </c>
      <c r="B30" s="23">
        <v>42</v>
      </c>
      <c r="C30" s="34"/>
      <c r="D30" s="27">
        <f t="shared" si="0"/>
        <v>65.971050724637678</v>
      </c>
      <c r="E30" s="28">
        <f t="shared" ref="E30" si="6">B30/D30</f>
        <v>0.63664288409331937</v>
      </c>
      <c r="F30" s="29">
        <f t="shared" si="1"/>
        <v>4</v>
      </c>
      <c r="G30" s="29"/>
      <c r="H30" s="29"/>
      <c r="I30" s="24">
        <f>D30*VLOOKUP(F30,$F$3:$H$6,3,0)</f>
        <v>54.472550285826571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1"/>
      <c r="AF30" s="1"/>
      <c r="AG30" s="1"/>
      <c r="AH30" s="1"/>
      <c r="AI30" s="1"/>
      <c r="AJ30" s="1"/>
      <c r="AK30" s="1"/>
    </row>
    <row r="31" spans="1:54" ht="16.5" x14ac:dyDescent="0.3">
      <c r="A31" s="5">
        <v>29</v>
      </c>
      <c r="B31"/>
      <c r="C31"/>
      <c r="D31" s="35">
        <f t="shared" si="0"/>
        <v>67.232409420289855</v>
      </c>
      <c r="E31"/>
      <c r="F31" s="29">
        <f t="shared" si="1"/>
        <v>1</v>
      </c>
      <c r="G31"/>
      <c r="H31"/>
      <c r="I31" s="35">
        <f>D31*VLOOKUP(F31,$F$3:$H$6,3,0)</f>
        <v>57.879931712419591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1"/>
      <c r="AF31" s="1"/>
      <c r="AG31" s="1"/>
      <c r="AH31" s="1"/>
      <c r="AI31" s="1"/>
      <c r="AJ31" s="1"/>
      <c r="AK31" s="1"/>
      <c r="AX31"/>
      <c r="AY31"/>
      <c r="AZ31"/>
      <c r="BA31"/>
      <c r="BB31"/>
    </row>
    <row r="32" spans="1:54" ht="16.5" x14ac:dyDescent="0.3">
      <c r="A32" s="5">
        <v>30</v>
      </c>
      <c r="B32"/>
      <c r="C32"/>
      <c r="D32" s="35">
        <f t="shared" si="0"/>
        <v>68.493768115942032</v>
      </c>
      <c r="E32"/>
      <c r="F32" s="29">
        <f t="shared" si="1"/>
        <v>2</v>
      </c>
      <c r="G32"/>
      <c r="H32"/>
      <c r="I32" s="35">
        <f t="shared" si="5"/>
        <v>76.848785873142532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1"/>
      <c r="AF32" s="1"/>
      <c r="AG32" s="1"/>
      <c r="AH32" s="1"/>
      <c r="AI32" s="1"/>
      <c r="AJ32" s="1"/>
      <c r="AK32" s="1"/>
      <c r="AX32"/>
      <c r="AY32"/>
      <c r="AZ32"/>
      <c r="BA32"/>
      <c r="BB32"/>
    </row>
    <row r="33" spans="1:54" ht="16.5" x14ac:dyDescent="0.3">
      <c r="A33" s="5">
        <v>31</v>
      </c>
      <c r="D33" s="35">
        <f t="shared" si="0"/>
        <v>69.755126811594209</v>
      </c>
      <c r="E33"/>
      <c r="F33" s="29">
        <f t="shared" si="1"/>
        <v>3</v>
      </c>
      <c r="G33"/>
      <c r="H33"/>
      <c r="I33" s="35">
        <f t="shared" si="5"/>
        <v>83.107700710540811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1"/>
      <c r="AF33" s="1"/>
      <c r="AG33" s="1"/>
      <c r="AH33" s="1"/>
      <c r="AI33" s="1"/>
      <c r="AJ33" s="1"/>
      <c r="AK33" s="1"/>
      <c r="AX33"/>
      <c r="AY33"/>
      <c r="AZ33"/>
      <c r="BA33"/>
      <c r="BB33"/>
    </row>
    <row r="34" spans="1:54" ht="16.5" x14ac:dyDescent="0.3">
      <c r="A34" s="5">
        <v>32</v>
      </c>
      <c r="D34" s="35">
        <f t="shared" si="0"/>
        <v>71.016485507246387</v>
      </c>
      <c r="E34"/>
      <c r="F34" s="29">
        <f t="shared" si="1"/>
        <v>4</v>
      </c>
      <c r="G34"/>
      <c r="H34"/>
      <c r="I34" s="35">
        <f t="shared" si="5"/>
        <v>58.638585188873371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1"/>
      <c r="AF34" s="1"/>
      <c r="AG34" s="1"/>
      <c r="AH34" s="1"/>
      <c r="AI34" s="1"/>
      <c r="AJ34" s="1"/>
      <c r="AK34" s="1"/>
      <c r="AX34"/>
      <c r="AY34"/>
      <c r="AZ34"/>
      <c r="BA34"/>
      <c r="BB34"/>
    </row>
    <row r="35" spans="1:54" x14ac:dyDescent="0.25">
      <c r="A35"/>
      <c r="E35"/>
      <c r="F35"/>
      <c r="G35"/>
      <c r="H35"/>
      <c r="I35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1"/>
      <c r="AF35" s="1"/>
      <c r="AG35" s="1"/>
      <c r="AH35" s="1"/>
      <c r="AI35" s="1"/>
      <c r="AJ35" s="1"/>
      <c r="AK35" s="1"/>
      <c r="AX35"/>
      <c r="AY35"/>
      <c r="AZ35"/>
      <c r="BA35"/>
      <c r="BB35"/>
    </row>
    <row r="36" spans="1:54" x14ac:dyDescent="0.25">
      <c r="A36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1"/>
      <c r="AF36" s="1"/>
      <c r="AG36" s="1"/>
      <c r="AH36" s="1"/>
      <c r="AI36" s="1"/>
      <c r="AJ36" s="1"/>
      <c r="AK36" s="1"/>
      <c r="AX36"/>
      <c r="AY36"/>
      <c r="AZ36"/>
      <c r="BA36"/>
      <c r="BB36"/>
    </row>
    <row r="37" spans="1:54" x14ac:dyDescent="0.25">
      <c r="A37"/>
      <c r="B37" s="3" t="s">
        <v>13</v>
      </c>
      <c r="C37" s="33">
        <v>4</v>
      </c>
      <c r="K37" s="4" t="s">
        <v>76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1"/>
      <c r="AF37" s="1"/>
      <c r="AG37" s="1"/>
      <c r="AH37" s="1"/>
      <c r="AI37" s="1"/>
      <c r="AJ37" s="1"/>
      <c r="AK37" s="1"/>
      <c r="AX37"/>
      <c r="AY37"/>
      <c r="AZ37"/>
      <c r="BA37"/>
      <c r="BB37"/>
    </row>
    <row r="38" spans="1:54" x14ac:dyDescent="0.25">
      <c r="A38"/>
      <c r="B38" s="3" t="s">
        <v>30</v>
      </c>
      <c r="C38" s="32">
        <v>1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1"/>
      <c r="AF38" s="1"/>
      <c r="AG38" s="1"/>
      <c r="AH38" s="1"/>
      <c r="AI38" s="1"/>
      <c r="AJ38" s="1"/>
      <c r="AK38" s="1"/>
      <c r="AX38"/>
      <c r="AY38"/>
      <c r="AZ38"/>
      <c r="BA38"/>
      <c r="BB38"/>
    </row>
    <row r="39" spans="1:54" x14ac:dyDescent="0.25">
      <c r="A39"/>
      <c r="B39" s="3" t="s">
        <v>28</v>
      </c>
      <c r="C39" s="32">
        <v>1.2561769470046077E-2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1"/>
      <c r="AF39" s="1"/>
      <c r="AG39" s="1"/>
      <c r="AH39" s="1"/>
      <c r="AI39" s="1"/>
      <c r="AJ39" s="1"/>
      <c r="AK39" s="1"/>
      <c r="AX39"/>
      <c r="AY39"/>
      <c r="AZ39"/>
      <c r="BA39"/>
      <c r="BB39"/>
    </row>
    <row r="40" spans="1:54" x14ac:dyDescent="0.25">
      <c r="A40"/>
      <c r="B40" s="3" t="s">
        <v>29</v>
      </c>
      <c r="C40" s="32">
        <v>0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1"/>
      <c r="AF40" s="1"/>
      <c r="AG40" s="1"/>
      <c r="AH40" s="1"/>
      <c r="AI40" s="1"/>
      <c r="AJ40" s="1"/>
      <c r="AK40" s="1"/>
      <c r="AX40"/>
      <c r="AY40"/>
      <c r="AZ40"/>
      <c r="BA40"/>
      <c r="BB40"/>
    </row>
    <row r="41" spans="1:54" x14ac:dyDescent="0.25">
      <c r="A4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1"/>
      <c r="AF41" s="1"/>
      <c r="AG41" s="1"/>
      <c r="AH41" s="1"/>
      <c r="AI41" s="1"/>
      <c r="AJ41" s="1"/>
      <c r="AK41" s="1"/>
      <c r="AX41"/>
      <c r="AY41"/>
      <c r="AZ41"/>
      <c r="BA41"/>
      <c r="BB41"/>
    </row>
    <row r="42" spans="1:54" x14ac:dyDescent="0.25">
      <c r="A42"/>
      <c r="B42" s="3" t="s">
        <v>18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1"/>
      <c r="AF42" s="1"/>
      <c r="AG42" s="1"/>
      <c r="AH42" s="1"/>
      <c r="AI42" s="1"/>
      <c r="AJ42" s="1"/>
      <c r="AK42" s="1"/>
      <c r="AX42"/>
      <c r="AY42"/>
      <c r="AZ42"/>
      <c r="BA42"/>
      <c r="BB42"/>
    </row>
    <row r="43" spans="1:54" x14ac:dyDescent="0.25">
      <c r="A43"/>
      <c r="B43" s="3" t="s">
        <v>19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1"/>
      <c r="AF43" s="1"/>
      <c r="AG43" s="1"/>
      <c r="AH43" s="1"/>
      <c r="AI43" s="1"/>
      <c r="AJ43" s="1"/>
      <c r="AK43" s="1"/>
      <c r="AX43"/>
      <c r="AY43"/>
      <c r="AZ43"/>
      <c r="BA43"/>
      <c r="BB43"/>
    </row>
    <row r="44" spans="1:54" x14ac:dyDescent="0.25">
      <c r="A44"/>
      <c r="B44" s="3" t="s">
        <v>20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1"/>
      <c r="AF44" s="1"/>
      <c r="AG44" s="1"/>
      <c r="AH44" s="1"/>
      <c r="AI44" s="1"/>
      <c r="AJ44" s="1"/>
      <c r="AK44" s="1"/>
      <c r="AX44"/>
      <c r="AY44"/>
      <c r="AZ44"/>
      <c r="BA44"/>
      <c r="BB44"/>
    </row>
    <row r="45" spans="1:54" x14ac:dyDescent="0.25">
      <c r="A45"/>
      <c r="B45" s="19" t="s">
        <v>16</v>
      </c>
      <c r="C45" s="19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1"/>
      <c r="AF45" s="1"/>
      <c r="AG45" s="1"/>
      <c r="AH45" s="1"/>
      <c r="AI45" s="1"/>
      <c r="AJ45" s="1"/>
      <c r="AK45" s="1"/>
      <c r="AX45"/>
      <c r="AY45"/>
      <c r="AZ45"/>
      <c r="BA45"/>
      <c r="BB45"/>
    </row>
    <row r="46" spans="1:54" x14ac:dyDescent="0.25">
      <c r="A46"/>
      <c r="B46" t="s">
        <v>21</v>
      </c>
      <c r="C46"/>
      <c r="D46"/>
      <c r="E46"/>
      <c r="F46"/>
      <c r="G46"/>
      <c r="H46"/>
      <c r="I46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1"/>
      <c r="AF46" s="1"/>
      <c r="AG46" s="1"/>
      <c r="AH46" s="1"/>
      <c r="AI46" s="1"/>
      <c r="AJ46" s="1"/>
      <c r="AK46" s="1"/>
      <c r="AX46"/>
      <c r="AY46"/>
      <c r="AZ46"/>
      <c r="BA46"/>
      <c r="BB46"/>
    </row>
    <row r="47" spans="1:54" x14ac:dyDescent="0.25">
      <c r="A47"/>
      <c r="B47" t="s">
        <v>17</v>
      </c>
      <c r="C47"/>
      <c r="D47"/>
      <c r="E47"/>
      <c r="F47"/>
      <c r="G47"/>
      <c r="H47"/>
      <c r="I47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1"/>
      <c r="AF47" s="1"/>
      <c r="AG47" s="1"/>
      <c r="AH47" s="1"/>
      <c r="AI47" s="1"/>
      <c r="AJ47" s="1"/>
      <c r="AK47" s="1"/>
      <c r="AX47"/>
      <c r="AY47"/>
      <c r="AZ47"/>
      <c r="BA47"/>
      <c r="BB47"/>
    </row>
    <row r="48" spans="1:54" x14ac:dyDescent="0.25">
      <c r="A48"/>
      <c r="B48" t="s">
        <v>40</v>
      </c>
      <c r="C48"/>
      <c r="D48"/>
      <c r="E48"/>
      <c r="F48"/>
      <c r="G48"/>
      <c r="H48"/>
      <c r="I48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1"/>
      <c r="AF48" s="1"/>
      <c r="AG48" s="1"/>
      <c r="AH48" s="1"/>
      <c r="AI48" s="1"/>
      <c r="AJ48" s="1"/>
      <c r="AK48" s="1"/>
      <c r="AX48"/>
      <c r="AY48"/>
      <c r="AZ48"/>
      <c r="BA48"/>
      <c r="BB48"/>
    </row>
    <row r="49" spans="1:54" x14ac:dyDescent="0.25">
      <c r="A49"/>
      <c r="B49" t="s">
        <v>22</v>
      </c>
      <c r="C49"/>
      <c r="D49"/>
      <c r="E49"/>
      <c r="F49"/>
      <c r="G49"/>
      <c r="H49"/>
      <c r="I49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1"/>
      <c r="AF49" s="1"/>
      <c r="AG49" s="1"/>
      <c r="AH49" s="1"/>
      <c r="AI49" s="1"/>
      <c r="AJ49" s="1"/>
      <c r="AK49" s="1"/>
      <c r="AX49"/>
      <c r="AY49"/>
      <c r="AZ49"/>
      <c r="BA49"/>
      <c r="BB49"/>
    </row>
    <row r="50" spans="1:54" x14ac:dyDescent="0.25">
      <c r="A50"/>
      <c r="B50" t="s">
        <v>41</v>
      </c>
      <c r="C50"/>
      <c r="D50"/>
      <c r="E50"/>
      <c r="F50"/>
      <c r="G50"/>
      <c r="H50"/>
      <c r="I50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1"/>
      <c r="AF50" s="1"/>
      <c r="AG50" s="1"/>
      <c r="AH50" s="1"/>
      <c r="AI50" s="1"/>
      <c r="AJ50" s="1"/>
      <c r="AK50" s="1"/>
      <c r="AX50"/>
      <c r="AY50"/>
      <c r="AZ50"/>
      <c r="BA50"/>
      <c r="BB50"/>
    </row>
    <row r="51" spans="1:54" x14ac:dyDescent="0.25">
      <c r="A51"/>
      <c r="B51"/>
      <c r="C51"/>
      <c r="D51"/>
      <c r="E51"/>
      <c r="F51"/>
      <c r="G51"/>
      <c r="H51"/>
      <c r="I51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1"/>
      <c r="AF51" s="1"/>
      <c r="AG51" s="1"/>
      <c r="AH51" s="1"/>
      <c r="AI51" s="1"/>
      <c r="AJ51" s="1"/>
      <c r="AK51" s="1"/>
      <c r="AX51"/>
      <c r="AY51"/>
      <c r="AZ51"/>
      <c r="BA51"/>
      <c r="BB51"/>
    </row>
    <row r="52" spans="1:54" x14ac:dyDescent="0.25">
      <c r="A52"/>
      <c r="B52"/>
      <c r="C52"/>
      <c r="D52"/>
      <c r="E52"/>
      <c r="F52"/>
      <c r="G52"/>
      <c r="H52"/>
      <c r="I52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1"/>
      <c r="AF52" s="1"/>
      <c r="AG52" s="1"/>
      <c r="AH52" s="1"/>
      <c r="AI52" s="1"/>
      <c r="AJ52" s="1"/>
      <c r="AK52" s="1"/>
      <c r="AX52"/>
      <c r="AY52"/>
      <c r="AZ52"/>
      <c r="BA52"/>
      <c r="BB52"/>
    </row>
    <row r="53" spans="1:54" x14ac:dyDescent="0.25">
      <c r="A53"/>
      <c r="B53"/>
      <c r="C53"/>
      <c r="D53"/>
      <c r="E53"/>
      <c r="F53"/>
      <c r="G53"/>
      <c r="H53"/>
      <c r="I53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1"/>
      <c r="AF53" s="1"/>
      <c r="AG53" s="1"/>
      <c r="AH53" s="1"/>
      <c r="AI53" s="1"/>
      <c r="AJ53" s="1"/>
      <c r="AK53" s="1"/>
      <c r="AX53"/>
      <c r="AY53"/>
      <c r="AZ53"/>
      <c r="BA53"/>
      <c r="BB53"/>
    </row>
    <row r="54" spans="1:54" x14ac:dyDescent="0.25">
      <c r="A54"/>
      <c r="B54"/>
      <c r="C54"/>
      <c r="D54"/>
      <c r="E54"/>
      <c r="F54"/>
      <c r="G54"/>
      <c r="H54"/>
      <c r="I5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1"/>
      <c r="AF54" s="1"/>
      <c r="AG54" s="1"/>
      <c r="AH54" s="1"/>
      <c r="AI54" s="1"/>
      <c r="AJ54" s="1"/>
      <c r="AK54" s="1"/>
      <c r="AX54"/>
      <c r="AY54"/>
      <c r="AZ54"/>
      <c r="BA54"/>
      <c r="BB54"/>
    </row>
    <row r="55" spans="1:54" x14ac:dyDescent="0.25">
      <c r="A55"/>
      <c r="B55"/>
      <c r="C55"/>
      <c r="D55"/>
      <c r="E55"/>
      <c r="F55"/>
      <c r="G55"/>
      <c r="H55"/>
      <c r="I55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1"/>
      <c r="AF55" s="1"/>
      <c r="AG55" s="1"/>
      <c r="AH55" s="1"/>
      <c r="AI55" s="1"/>
      <c r="AJ55" s="1"/>
      <c r="AK55" s="1"/>
      <c r="AX55"/>
      <c r="AY55"/>
      <c r="AZ55"/>
      <c r="BA55"/>
      <c r="BB55"/>
    </row>
    <row r="56" spans="1:54" x14ac:dyDescent="0.25">
      <c r="A56"/>
      <c r="B56"/>
      <c r="C56"/>
      <c r="D56"/>
      <c r="E56"/>
      <c r="F56"/>
      <c r="G56"/>
      <c r="H56"/>
      <c r="I56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1"/>
      <c r="AF56" s="1"/>
      <c r="AG56" s="1"/>
      <c r="AH56" s="1"/>
      <c r="AI56" s="1"/>
      <c r="AJ56" s="1"/>
      <c r="AK56" s="1"/>
      <c r="AX56"/>
      <c r="AY56"/>
      <c r="AZ56"/>
      <c r="BA56"/>
      <c r="BB56"/>
    </row>
    <row r="57" spans="1:54" x14ac:dyDescent="0.25">
      <c r="A57"/>
      <c r="B57"/>
      <c r="C57"/>
      <c r="D57"/>
      <c r="E57"/>
      <c r="F57"/>
      <c r="G57"/>
      <c r="H57"/>
      <c r="I57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1"/>
      <c r="AF57" s="1"/>
      <c r="AG57" s="1"/>
      <c r="AH57" s="1"/>
      <c r="AI57" s="1"/>
      <c r="AJ57" s="1"/>
      <c r="AK57" s="1"/>
      <c r="AX57"/>
      <c r="AY57"/>
      <c r="AZ57"/>
      <c r="BA57"/>
      <c r="BB57"/>
    </row>
    <row r="58" spans="1:54" x14ac:dyDescent="0.25">
      <c r="A58"/>
      <c r="B58"/>
      <c r="C58"/>
      <c r="D58"/>
      <c r="E58"/>
      <c r="F58"/>
      <c r="G58"/>
      <c r="H58"/>
      <c r="I58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1"/>
      <c r="AF58" s="1"/>
      <c r="AG58" s="1"/>
      <c r="AH58" s="1"/>
      <c r="AI58" s="1"/>
      <c r="AJ58" s="1"/>
      <c r="AK58" s="1"/>
      <c r="AX58"/>
      <c r="AY58"/>
      <c r="AZ58"/>
      <c r="BA58"/>
      <c r="BB58"/>
    </row>
    <row r="59" spans="1:54" x14ac:dyDescent="0.25">
      <c r="A59"/>
      <c r="B59"/>
      <c r="C59"/>
      <c r="D59"/>
      <c r="E59"/>
      <c r="F59"/>
      <c r="G59"/>
      <c r="H59"/>
      <c r="I59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1"/>
      <c r="AF59" s="1"/>
      <c r="AG59" s="1"/>
      <c r="AH59" s="1"/>
      <c r="AI59" s="1"/>
      <c r="AJ59" s="1"/>
      <c r="AK59" s="1"/>
      <c r="AX59"/>
      <c r="AY59"/>
      <c r="AZ59"/>
      <c r="BA59"/>
      <c r="BB59"/>
    </row>
    <row r="60" spans="1:54" x14ac:dyDescent="0.25">
      <c r="A60"/>
      <c r="B60"/>
      <c r="C60"/>
      <c r="D60"/>
      <c r="E60"/>
      <c r="F60"/>
      <c r="G60"/>
      <c r="H60"/>
      <c r="I60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1"/>
      <c r="AF60" s="1"/>
      <c r="AG60" s="1"/>
      <c r="AH60" s="1"/>
      <c r="AI60" s="1"/>
      <c r="AJ60" s="1"/>
      <c r="AK60" s="1"/>
      <c r="AX60"/>
      <c r="AY60"/>
      <c r="AZ60"/>
      <c r="BA60"/>
      <c r="BB60"/>
    </row>
    <row r="61" spans="1:54" x14ac:dyDescent="0.25">
      <c r="A61"/>
      <c r="B61"/>
      <c r="C61"/>
      <c r="D61"/>
      <c r="E61"/>
      <c r="F61"/>
      <c r="G61"/>
      <c r="H61"/>
      <c r="I61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1"/>
      <c r="AF61" s="1"/>
      <c r="AG61" s="1"/>
      <c r="AH61" s="1"/>
      <c r="AI61" s="1"/>
      <c r="AJ61" s="1"/>
      <c r="AK61" s="1"/>
      <c r="AX61"/>
      <c r="AY61"/>
      <c r="AZ61"/>
      <c r="BA61"/>
      <c r="BB61"/>
    </row>
    <row r="62" spans="1:54" x14ac:dyDescent="0.25">
      <c r="A62"/>
      <c r="B62"/>
      <c r="C62"/>
      <c r="D62"/>
      <c r="E62"/>
      <c r="F62"/>
      <c r="G62"/>
      <c r="H62"/>
      <c r="I62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1"/>
      <c r="AF62" s="1"/>
      <c r="AG62" s="1"/>
      <c r="AH62" s="1"/>
      <c r="AI62" s="1"/>
      <c r="AJ62" s="1"/>
      <c r="AK62" s="1"/>
      <c r="AX62"/>
      <c r="AY62"/>
      <c r="AZ62"/>
      <c r="BA62"/>
      <c r="BB62"/>
    </row>
    <row r="63" spans="1:54" x14ac:dyDescent="0.25">
      <c r="A63"/>
      <c r="B63"/>
      <c r="C63"/>
      <c r="D63"/>
      <c r="E63"/>
      <c r="F63"/>
      <c r="G63"/>
      <c r="H63"/>
      <c r="I63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1"/>
      <c r="AF63" s="1"/>
      <c r="AG63" s="1"/>
      <c r="AH63" s="1"/>
      <c r="AI63" s="1"/>
      <c r="AJ63" s="1"/>
      <c r="AK63" s="1"/>
      <c r="AX63"/>
      <c r="AY63"/>
      <c r="AZ63"/>
      <c r="BA63"/>
      <c r="BB63"/>
    </row>
    <row r="64" spans="1:54" x14ac:dyDescent="0.25">
      <c r="A64"/>
      <c r="B64"/>
      <c r="C64"/>
      <c r="D64"/>
      <c r="E64"/>
      <c r="F64"/>
      <c r="G64"/>
      <c r="H64"/>
      <c r="I6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1"/>
      <c r="AF64" s="1"/>
      <c r="AG64" s="1"/>
      <c r="AH64" s="1"/>
      <c r="AI64" s="1"/>
      <c r="AJ64" s="1"/>
      <c r="AK64" s="1"/>
      <c r="AX64"/>
      <c r="AY64"/>
      <c r="AZ64"/>
      <c r="BA64"/>
      <c r="BB64"/>
    </row>
    <row r="65" spans="1:54" x14ac:dyDescent="0.25">
      <c r="A65"/>
      <c r="B65"/>
      <c r="C65"/>
      <c r="D65"/>
      <c r="E65"/>
      <c r="F65"/>
      <c r="G65"/>
      <c r="H65"/>
      <c r="I65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1"/>
      <c r="AF65" s="1"/>
      <c r="AG65" s="1"/>
      <c r="AH65" s="1"/>
      <c r="AI65" s="1"/>
      <c r="AJ65" s="1"/>
      <c r="AK65" s="1"/>
      <c r="AX65"/>
      <c r="AY65"/>
      <c r="AZ65"/>
      <c r="BA65"/>
      <c r="BB65"/>
    </row>
    <row r="66" spans="1:54" x14ac:dyDescent="0.25">
      <c r="A66"/>
      <c r="B66"/>
      <c r="C66"/>
      <c r="D66"/>
      <c r="E66"/>
      <c r="F66"/>
      <c r="G66"/>
      <c r="H66"/>
      <c r="I66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1"/>
      <c r="AF66" s="1"/>
      <c r="AG66" s="1"/>
      <c r="AH66" s="1"/>
      <c r="AI66" s="1"/>
      <c r="AJ66" s="1"/>
      <c r="AK66" s="1"/>
      <c r="AX66"/>
      <c r="AY66"/>
      <c r="AZ66"/>
      <c r="BA66"/>
      <c r="BB66"/>
    </row>
    <row r="67" spans="1:54" x14ac:dyDescent="0.25">
      <c r="A67"/>
      <c r="B67"/>
      <c r="C67"/>
      <c r="D67"/>
      <c r="E67"/>
      <c r="F67"/>
      <c r="G67"/>
      <c r="H67"/>
      <c r="I67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1"/>
      <c r="AF67" s="1"/>
      <c r="AG67" s="1"/>
      <c r="AH67" s="1"/>
      <c r="AI67" s="1"/>
      <c r="AJ67" s="1"/>
      <c r="AK67" s="1"/>
      <c r="AX67"/>
      <c r="AY67"/>
      <c r="AZ67"/>
      <c r="BA67"/>
      <c r="BB67"/>
    </row>
    <row r="68" spans="1:54" x14ac:dyDescent="0.25">
      <c r="A68"/>
      <c r="B68"/>
      <c r="C68"/>
      <c r="D68"/>
      <c r="E68"/>
      <c r="F68"/>
      <c r="G68"/>
      <c r="H68"/>
      <c r="I68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1"/>
      <c r="AF68" s="1"/>
      <c r="AG68" s="1"/>
      <c r="AH68" s="1"/>
      <c r="AI68" s="1"/>
      <c r="AJ68" s="1"/>
      <c r="AK68" s="1"/>
      <c r="AX68"/>
      <c r="AY68"/>
      <c r="AZ68"/>
      <c r="BA68"/>
      <c r="BB68"/>
    </row>
    <row r="69" spans="1:54" x14ac:dyDescent="0.25">
      <c r="A69"/>
      <c r="B69"/>
      <c r="C69"/>
      <c r="D69"/>
      <c r="E69"/>
      <c r="F69"/>
      <c r="G69"/>
      <c r="H69"/>
      <c r="I69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1"/>
      <c r="AF69" s="1"/>
      <c r="AG69" s="1"/>
      <c r="AH69" s="1"/>
      <c r="AI69" s="1"/>
      <c r="AJ69" s="1"/>
      <c r="AK69" s="1"/>
      <c r="AX69"/>
      <c r="AY69"/>
      <c r="AZ69"/>
      <c r="BA69"/>
      <c r="BB69"/>
    </row>
    <row r="70" spans="1:54" x14ac:dyDescent="0.25">
      <c r="A70"/>
      <c r="B70"/>
      <c r="C70"/>
      <c r="D70"/>
      <c r="E70"/>
      <c r="F70"/>
      <c r="G70"/>
      <c r="H70"/>
      <c r="I70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1"/>
      <c r="AF70" s="1"/>
      <c r="AG70" s="1"/>
      <c r="AH70" s="1"/>
      <c r="AI70" s="1"/>
      <c r="AJ70" s="1"/>
      <c r="AK70" s="1"/>
      <c r="AX70"/>
      <c r="AY70"/>
      <c r="AZ70"/>
      <c r="BA70"/>
      <c r="BB70"/>
    </row>
    <row r="71" spans="1:54" x14ac:dyDescent="0.25">
      <c r="A71"/>
      <c r="B71"/>
      <c r="C71"/>
      <c r="D71"/>
      <c r="E71"/>
      <c r="F71"/>
      <c r="G71"/>
      <c r="H71"/>
      <c r="I71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1"/>
      <c r="AF71" s="1"/>
      <c r="AG71" s="1"/>
      <c r="AH71" s="1"/>
      <c r="AI71" s="1"/>
      <c r="AJ71" s="1"/>
      <c r="AK71" s="1"/>
      <c r="AX71"/>
      <c r="AY71"/>
      <c r="AZ71"/>
      <c r="BA71"/>
      <c r="BB71"/>
    </row>
    <row r="72" spans="1:54" x14ac:dyDescent="0.25">
      <c r="A72"/>
      <c r="B72"/>
      <c r="C72"/>
      <c r="D72"/>
      <c r="E72"/>
      <c r="F72"/>
      <c r="G72"/>
      <c r="H72"/>
      <c r="I72"/>
      <c r="AX72"/>
      <c r="AY72"/>
      <c r="AZ72"/>
      <c r="BA72"/>
      <c r="BB72"/>
    </row>
    <row r="73" spans="1:54" x14ac:dyDescent="0.25">
      <c r="A73"/>
      <c r="B73"/>
      <c r="C73"/>
      <c r="D73"/>
      <c r="E73"/>
      <c r="F73"/>
      <c r="G73"/>
      <c r="H73"/>
      <c r="I73"/>
      <c r="AX73"/>
      <c r="AY73"/>
      <c r="AZ73"/>
      <c r="BA73"/>
      <c r="BB73"/>
    </row>
    <row r="74" spans="1:54" x14ac:dyDescent="0.25">
      <c r="A74"/>
      <c r="B74"/>
      <c r="C74"/>
      <c r="D74"/>
      <c r="E74"/>
      <c r="F74"/>
      <c r="G74"/>
      <c r="H74"/>
      <c r="I74"/>
      <c r="AX74"/>
      <c r="AY74"/>
      <c r="AZ74"/>
      <c r="BA74"/>
      <c r="BB74"/>
    </row>
    <row r="75" spans="1:54" x14ac:dyDescent="0.25">
      <c r="A75"/>
      <c r="B75"/>
      <c r="C75"/>
      <c r="D75"/>
      <c r="E75"/>
      <c r="F75"/>
      <c r="G75"/>
      <c r="H75"/>
      <c r="I75"/>
      <c r="AX75"/>
      <c r="AY75"/>
      <c r="AZ75"/>
      <c r="BA75"/>
      <c r="BB75"/>
    </row>
    <row r="76" spans="1:54" x14ac:dyDescent="0.25">
      <c r="A76"/>
      <c r="B76"/>
      <c r="C76"/>
      <c r="D76"/>
      <c r="E76"/>
      <c r="F76"/>
      <c r="G76"/>
      <c r="H76"/>
      <c r="I76"/>
      <c r="AX76"/>
      <c r="AY76"/>
      <c r="AZ76"/>
      <c r="BA76"/>
      <c r="BB76"/>
    </row>
    <row r="77" spans="1:54" ht="16.5" x14ac:dyDescent="0.3">
      <c r="A77"/>
      <c r="B77"/>
      <c r="C77"/>
      <c r="D77"/>
      <c r="E77"/>
      <c r="F77"/>
      <c r="G77"/>
      <c r="H77"/>
      <c r="I77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X77"/>
      <c r="AY77"/>
      <c r="AZ77"/>
      <c r="BA77"/>
      <c r="BB77"/>
    </row>
    <row r="78" spans="1:54" ht="16.5" x14ac:dyDescent="0.3">
      <c r="A78"/>
      <c r="B78"/>
      <c r="C78"/>
      <c r="D78"/>
      <c r="E78"/>
      <c r="F78"/>
      <c r="G78"/>
      <c r="H78"/>
      <c r="I78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X78"/>
      <c r="AY78"/>
      <c r="AZ78"/>
      <c r="BA78"/>
      <c r="BB78"/>
    </row>
    <row r="79" spans="1:54" ht="16.5" x14ac:dyDescent="0.3">
      <c r="A79"/>
      <c r="B79"/>
      <c r="C79"/>
      <c r="D79"/>
      <c r="E79"/>
      <c r="F79"/>
      <c r="G79"/>
      <c r="H79"/>
      <c r="I79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X79"/>
      <c r="AY79"/>
      <c r="AZ79"/>
      <c r="BA79"/>
      <c r="BB79"/>
    </row>
    <row r="80" spans="1:54" ht="16.5" x14ac:dyDescent="0.3">
      <c r="A80"/>
      <c r="B80"/>
      <c r="C80"/>
      <c r="D80"/>
      <c r="E80"/>
      <c r="F80"/>
      <c r="G80"/>
      <c r="H80"/>
      <c r="I80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X80"/>
      <c r="AY80"/>
      <c r="AZ80"/>
      <c r="BA80"/>
      <c r="BB80"/>
    </row>
    <row r="81" spans="1:54" ht="16.5" x14ac:dyDescent="0.3">
      <c r="A81"/>
      <c r="B81"/>
      <c r="C81"/>
      <c r="D81"/>
      <c r="E81"/>
      <c r="F81"/>
      <c r="G81"/>
      <c r="H81"/>
      <c r="I81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X81"/>
      <c r="AY81"/>
      <c r="AZ81"/>
      <c r="BA81"/>
      <c r="BB81"/>
    </row>
    <row r="82" spans="1:54" ht="16.5" x14ac:dyDescent="0.3">
      <c r="A82"/>
      <c r="B82"/>
      <c r="C82"/>
      <c r="D82"/>
      <c r="E82"/>
      <c r="F82"/>
      <c r="G82"/>
      <c r="H82"/>
      <c r="I8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X82"/>
      <c r="AY82"/>
      <c r="AZ82"/>
      <c r="BA82"/>
      <c r="BB82"/>
    </row>
    <row r="83" spans="1:54" ht="16.5" x14ac:dyDescent="0.3">
      <c r="A83"/>
      <c r="B83"/>
      <c r="C83"/>
      <c r="D83"/>
      <c r="E83"/>
      <c r="F83"/>
      <c r="G83"/>
      <c r="H83"/>
      <c r="I83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X83"/>
      <c r="AY83"/>
      <c r="AZ83"/>
      <c r="BA83"/>
      <c r="BB83"/>
    </row>
    <row r="84" spans="1:54" ht="16.5" x14ac:dyDescent="0.3">
      <c r="A84"/>
      <c r="B84"/>
      <c r="C84"/>
      <c r="D84"/>
      <c r="E84"/>
      <c r="F84"/>
      <c r="G84"/>
      <c r="H84"/>
      <c r="I84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X84"/>
      <c r="AY84"/>
      <c r="AZ84"/>
      <c r="BA84"/>
      <c r="BB84"/>
    </row>
    <row r="85" spans="1:54" ht="16.5" x14ac:dyDescent="0.3">
      <c r="A85"/>
      <c r="B85"/>
      <c r="C85"/>
      <c r="D85"/>
      <c r="E85"/>
      <c r="F85"/>
      <c r="G85"/>
      <c r="H85"/>
      <c r="I85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X85"/>
      <c r="AY85"/>
      <c r="AZ85"/>
      <c r="BA85"/>
      <c r="BB85"/>
    </row>
    <row r="86" spans="1:54" ht="16.5" x14ac:dyDescent="0.3">
      <c r="A86"/>
      <c r="B86"/>
      <c r="C86"/>
      <c r="D86"/>
      <c r="E86"/>
      <c r="F86"/>
      <c r="G86"/>
      <c r="H86"/>
      <c r="I86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54" ht="16.5" x14ac:dyDescent="0.3">
      <c r="A87"/>
      <c r="B87"/>
      <c r="C87"/>
      <c r="D87"/>
      <c r="E87"/>
      <c r="F87"/>
      <c r="G87"/>
      <c r="H87"/>
      <c r="I87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54" ht="16.5" x14ac:dyDescent="0.3">
      <c r="A88"/>
      <c r="B88"/>
      <c r="C88"/>
      <c r="D88"/>
      <c r="E88"/>
      <c r="F88"/>
      <c r="G88"/>
      <c r="H88"/>
      <c r="I88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54" x14ac:dyDescent="0.25">
      <c r="A89"/>
      <c r="B89"/>
      <c r="C89"/>
      <c r="D89"/>
      <c r="E89"/>
      <c r="F89"/>
      <c r="G89"/>
      <c r="H89"/>
      <c r="I89"/>
    </row>
    <row r="90" spans="1:54" x14ac:dyDescent="0.25">
      <c r="A90"/>
      <c r="B90"/>
      <c r="C90"/>
      <c r="D90"/>
      <c r="E90"/>
      <c r="F90"/>
      <c r="G90"/>
      <c r="H90"/>
      <c r="I90"/>
    </row>
    <row r="91" spans="1:54" x14ac:dyDescent="0.25">
      <c r="A91"/>
      <c r="B91"/>
      <c r="C91"/>
      <c r="D91"/>
      <c r="E91"/>
      <c r="F91"/>
      <c r="G91"/>
      <c r="H91"/>
      <c r="I91"/>
    </row>
    <row r="92" spans="1:54" x14ac:dyDescent="0.25">
      <c r="A92"/>
      <c r="B92"/>
      <c r="C92"/>
      <c r="D92"/>
      <c r="E92"/>
      <c r="F92"/>
      <c r="G92"/>
      <c r="H92"/>
      <c r="I92"/>
    </row>
    <row r="93" spans="1:54" x14ac:dyDescent="0.25">
      <c r="A93"/>
      <c r="B93"/>
      <c r="C93"/>
      <c r="D93"/>
      <c r="E93"/>
      <c r="F93"/>
      <c r="G93"/>
      <c r="H93"/>
      <c r="I93"/>
    </row>
    <row r="94" spans="1:54" x14ac:dyDescent="0.25">
      <c r="A94"/>
      <c r="B94"/>
      <c r="C94"/>
      <c r="D94"/>
      <c r="E94"/>
      <c r="F94"/>
      <c r="G94"/>
      <c r="H94"/>
      <c r="I94"/>
    </row>
    <row r="95" spans="1:54" x14ac:dyDescent="0.25">
      <c r="A95"/>
      <c r="B95"/>
      <c r="C95"/>
      <c r="D95"/>
      <c r="E95"/>
      <c r="F95"/>
      <c r="G95"/>
      <c r="H95"/>
      <c r="I95"/>
    </row>
    <row r="96" spans="1:54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  <row r="100" spans="1:9" x14ac:dyDescent="0.25">
      <c r="A100"/>
      <c r="B100"/>
      <c r="C100"/>
      <c r="D100"/>
      <c r="E100"/>
      <c r="F100"/>
      <c r="G100"/>
      <c r="H100"/>
      <c r="I100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3" spans="1:9" x14ac:dyDescent="0.25">
      <c r="A103"/>
      <c r="B103"/>
      <c r="C103"/>
      <c r="D103"/>
      <c r="E103"/>
      <c r="F103"/>
      <c r="G103"/>
      <c r="H103"/>
      <c r="I103"/>
    </row>
    <row r="104" spans="1:9" x14ac:dyDescent="0.25">
      <c r="A104"/>
      <c r="B104"/>
      <c r="C104"/>
      <c r="D104"/>
      <c r="E104"/>
      <c r="F104"/>
      <c r="G104"/>
      <c r="H104"/>
      <c r="I104"/>
    </row>
    <row r="105" spans="1:9" x14ac:dyDescent="0.25">
      <c r="A105"/>
      <c r="B105"/>
      <c r="C105"/>
      <c r="D105"/>
      <c r="E105"/>
      <c r="F105"/>
      <c r="G105"/>
      <c r="H105"/>
      <c r="I105"/>
    </row>
    <row r="106" spans="1:9" x14ac:dyDescent="0.25">
      <c r="A106"/>
      <c r="B106"/>
      <c r="C106"/>
      <c r="D106"/>
      <c r="E106"/>
      <c r="F106"/>
      <c r="G106"/>
      <c r="H106"/>
      <c r="I106"/>
    </row>
    <row r="107" spans="1:9" x14ac:dyDescent="0.25">
      <c r="A107"/>
      <c r="B107"/>
      <c r="C107"/>
      <c r="D107"/>
      <c r="E107"/>
      <c r="F107"/>
      <c r="G107"/>
      <c r="H107"/>
      <c r="I107"/>
    </row>
    <row r="108" spans="1:9" x14ac:dyDescent="0.25">
      <c r="A108"/>
      <c r="B108"/>
      <c r="C108"/>
      <c r="D108"/>
      <c r="E108"/>
      <c r="F108"/>
      <c r="G108"/>
      <c r="H108"/>
      <c r="I108"/>
    </row>
    <row r="109" spans="1:9" x14ac:dyDescent="0.25">
      <c r="A109"/>
      <c r="B109"/>
      <c r="C109"/>
      <c r="D109"/>
      <c r="E109"/>
      <c r="F109"/>
      <c r="G109"/>
      <c r="H109"/>
      <c r="I109"/>
    </row>
    <row r="110" spans="1:9" x14ac:dyDescent="0.25">
      <c r="A110"/>
      <c r="B110"/>
      <c r="C110"/>
      <c r="D110"/>
      <c r="E110"/>
      <c r="F110"/>
      <c r="G110"/>
      <c r="H110"/>
      <c r="I110"/>
    </row>
    <row r="111" spans="1:9" x14ac:dyDescent="0.25">
      <c r="A111"/>
      <c r="B111"/>
      <c r="C111"/>
      <c r="D111"/>
      <c r="E111"/>
      <c r="F111"/>
      <c r="G111"/>
      <c r="H111"/>
      <c r="I111"/>
    </row>
    <row r="112" spans="1:9" x14ac:dyDescent="0.25">
      <c r="A112"/>
      <c r="B112"/>
      <c r="C112"/>
      <c r="D112"/>
      <c r="E112"/>
      <c r="F112"/>
      <c r="G112"/>
      <c r="H112"/>
      <c r="I112"/>
    </row>
    <row r="113" spans="1:9" x14ac:dyDescent="0.25">
      <c r="A113"/>
      <c r="B113"/>
      <c r="C113"/>
      <c r="D113"/>
      <c r="E113"/>
      <c r="F113"/>
      <c r="G113"/>
      <c r="H113"/>
      <c r="I113"/>
    </row>
    <row r="114" spans="1:9" x14ac:dyDescent="0.25">
      <c r="A114"/>
      <c r="B114"/>
      <c r="C114"/>
      <c r="D114"/>
      <c r="E114"/>
      <c r="F114"/>
      <c r="G114"/>
      <c r="H114"/>
      <c r="I114"/>
    </row>
    <row r="115" spans="1:9" x14ac:dyDescent="0.25">
      <c r="A115"/>
      <c r="B115"/>
      <c r="C115"/>
      <c r="D115"/>
      <c r="E115"/>
      <c r="F115"/>
      <c r="G115"/>
      <c r="H115"/>
      <c r="I115"/>
    </row>
    <row r="116" spans="1:9" x14ac:dyDescent="0.25">
      <c r="A116"/>
      <c r="B116"/>
      <c r="C116"/>
      <c r="D116"/>
      <c r="E116"/>
      <c r="F116"/>
      <c r="G116"/>
      <c r="H116"/>
      <c r="I116"/>
    </row>
    <row r="117" spans="1:9" x14ac:dyDescent="0.25">
      <c r="A117"/>
      <c r="B117"/>
      <c r="C117"/>
      <c r="D117"/>
      <c r="E117"/>
      <c r="F117"/>
      <c r="G117"/>
      <c r="H117"/>
      <c r="I117"/>
    </row>
    <row r="118" spans="1:9" x14ac:dyDescent="0.25">
      <c r="A118"/>
      <c r="B118"/>
      <c r="C118"/>
      <c r="D118"/>
      <c r="E118"/>
      <c r="F118"/>
      <c r="G118"/>
      <c r="H118"/>
      <c r="I118"/>
    </row>
    <row r="119" spans="1:9" x14ac:dyDescent="0.25">
      <c r="A119"/>
      <c r="B119"/>
      <c r="C119"/>
      <c r="D119"/>
      <c r="E119"/>
      <c r="F119"/>
      <c r="G119"/>
      <c r="H119"/>
      <c r="I119"/>
    </row>
    <row r="120" spans="1:9" x14ac:dyDescent="0.25">
      <c r="A120"/>
      <c r="B120"/>
      <c r="C120"/>
      <c r="D120"/>
      <c r="E120"/>
      <c r="F120"/>
      <c r="G120"/>
      <c r="H120"/>
      <c r="I120"/>
    </row>
    <row r="121" spans="1:9" x14ac:dyDescent="0.25">
      <c r="A121"/>
      <c r="B121"/>
      <c r="C121"/>
      <c r="D121"/>
      <c r="E121"/>
      <c r="F121"/>
      <c r="G121"/>
      <c r="H121"/>
      <c r="I121"/>
    </row>
    <row r="122" spans="1:9" x14ac:dyDescent="0.25">
      <c r="A122"/>
      <c r="B122"/>
      <c r="C122"/>
      <c r="D122"/>
      <c r="E122"/>
      <c r="F122"/>
      <c r="G122"/>
      <c r="H122"/>
      <c r="I122"/>
    </row>
    <row r="123" spans="1:9" x14ac:dyDescent="0.25">
      <c r="A123"/>
      <c r="B123"/>
      <c r="C123"/>
      <c r="D123"/>
      <c r="E123"/>
      <c r="F123"/>
      <c r="G123"/>
      <c r="H123"/>
      <c r="I123"/>
    </row>
    <row r="124" spans="1:9" x14ac:dyDescent="0.25">
      <c r="A124"/>
      <c r="B124"/>
      <c r="C124"/>
      <c r="D124"/>
      <c r="E124"/>
      <c r="F124"/>
      <c r="G124"/>
      <c r="H124"/>
      <c r="I124"/>
    </row>
    <row r="125" spans="1:9" x14ac:dyDescent="0.25">
      <c r="A125"/>
      <c r="B125"/>
      <c r="C125"/>
      <c r="D125"/>
      <c r="E125"/>
      <c r="F125"/>
      <c r="G125"/>
      <c r="H125"/>
      <c r="I125"/>
    </row>
    <row r="126" spans="1:9" x14ac:dyDescent="0.25">
      <c r="A126"/>
      <c r="B126"/>
      <c r="C126"/>
      <c r="D126"/>
      <c r="E126"/>
      <c r="F126"/>
      <c r="G126"/>
      <c r="H126"/>
      <c r="I126"/>
    </row>
    <row r="127" spans="1:9" x14ac:dyDescent="0.25">
      <c r="A127"/>
      <c r="B127"/>
      <c r="C127"/>
      <c r="D127"/>
      <c r="E127"/>
      <c r="F127"/>
      <c r="G127"/>
      <c r="H127"/>
      <c r="I127"/>
    </row>
    <row r="128" spans="1:9" x14ac:dyDescent="0.25">
      <c r="A128"/>
      <c r="B128"/>
      <c r="C128"/>
      <c r="D128"/>
      <c r="E128"/>
      <c r="F128"/>
      <c r="G128"/>
      <c r="H128"/>
      <c r="I128"/>
    </row>
    <row r="129" spans="1:9" x14ac:dyDescent="0.25">
      <c r="A129"/>
      <c r="B129"/>
      <c r="C129"/>
      <c r="D129"/>
      <c r="E129"/>
      <c r="F129"/>
      <c r="G129"/>
      <c r="H129"/>
      <c r="I129"/>
    </row>
    <row r="130" spans="1:9" x14ac:dyDescent="0.25">
      <c r="A130"/>
      <c r="B130"/>
      <c r="C130"/>
      <c r="D130"/>
      <c r="E130"/>
      <c r="F130"/>
      <c r="G130"/>
      <c r="H130"/>
      <c r="I130"/>
    </row>
    <row r="131" spans="1:9" x14ac:dyDescent="0.25">
      <c r="A131"/>
      <c r="B131"/>
      <c r="C131"/>
      <c r="D131"/>
      <c r="E131"/>
      <c r="F131"/>
      <c r="G131"/>
      <c r="H131"/>
      <c r="I131"/>
    </row>
    <row r="132" spans="1:9" x14ac:dyDescent="0.25">
      <c r="A132"/>
      <c r="B132"/>
      <c r="C132"/>
      <c r="D132"/>
      <c r="E132"/>
      <c r="F132"/>
      <c r="G132"/>
      <c r="H132"/>
      <c r="I132"/>
    </row>
    <row r="133" spans="1:9" x14ac:dyDescent="0.25">
      <c r="A133"/>
      <c r="B133"/>
      <c r="C133"/>
      <c r="D133"/>
      <c r="E133"/>
      <c r="F133"/>
      <c r="G133"/>
      <c r="H133"/>
      <c r="I133"/>
    </row>
    <row r="134" spans="1:9" x14ac:dyDescent="0.25">
      <c r="A134"/>
      <c r="B134"/>
      <c r="C134"/>
      <c r="D134"/>
      <c r="E134"/>
      <c r="F134"/>
      <c r="G134"/>
      <c r="H134"/>
      <c r="I134"/>
    </row>
    <row r="135" spans="1:9" x14ac:dyDescent="0.25">
      <c r="A135"/>
      <c r="B135"/>
      <c r="C135"/>
      <c r="D135"/>
      <c r="E135"/>
      <c r="F135"/>
      <c r="G135"/>
      <c r="H135"/>
      <c r="I135"/>
    </row>
    <row r="136" spans="1:9" x14ac:dyDescent="0.25">
      <c r="A136"/>
      <c r="B136"/>
      <c r="C136"/>
      <c r="D136"/>
      <c r="E136"/>
      <c r="F136"/>
      <c r="G136"/>
      <c r="H136"/>
      <c r="I136"/>
    </row>
    <row r="137" spans="1:9" x14ac:dyDescent="0.25">
      <c r="A137"/>
      <c r="B137"/>
      <c r="C137"/>
      <c r="D137"/>
      <c r="E137"/>
      <c r="F137"/>
      <c r="G137"/>
      <c r="H137"/>
      <c r="I137"/>
    </row>
    <row r="138" spans="1:9" x14ac:dyDescent="0.25">
      <c r="A138"/>
      <c r="B138"/>
      <c r="C138"/>
      <c r="D138"/>
      <c r="E138"/>
      <c r="F138"/>
      <c r="G138"/>
      <c r="H138"/>
      <c r="I138"/>
    </row>
    <row r="139" spans="1:9" x14ac:dyDescent="0.25">
      <c r="A139"/>
      <c r="B139"/>
      <c r="C139"/>
      <c r="D139"/>
      <c r="E139"/>
      <c r="F139"/>
      <c r="G139"/>
      <c r="H139"/>
      <c r="I139"/>
    </row>
    <row r="140" spans="1:9" x14ac:dyDescent="0.25">
      <c r="A140"/>
      <c r="B140"/>
      <c r="C140"/>
      <c r="D140"/>
      <c r="E140"/>
      <c r="F140"/>
      <c r="G140"/>
      <c r="H140"/>
      <c r="I140"/>
    </row>
    <row r="141" spans="1:9" x14ac:dyDescent="0.25">
      <c r="A141"/>
      <c r="B141"/>
      <c r="C141"/>
      <c r="D141"/>
      <c r="E141"/>
      <c r="F141"/>
      <c r="G141"/>
      <c r="H141"/>
      <c r="I141"/>
    </row>
    <row r="142" spans="1:9" x14ac:dyDescent="0.25">
      <c r="A142"/>
      <c r="B142"/>
      <c r="C142"/>
      <c r="D142"/>
      <c r="E142"/>
      <c r="F142"/>
      <c r="G142"/>
      <c r="H142"/>
      <c r="I142"/>
    </row>
    <row r="143" spans="1:9" x14ac:dyDescent="0.25">
      <c r="A143"/>
      <c r="B143"/>
      <c r="C143"/>
      <c r="D143"/>
      <c r="E143"/>
      <c r="F143"/>
      <c r="G143"/>
      <c r="H143"/>
      <c r="I143"/>
    </row>
    <row r="144" spans="1:9" x14ac:dyDescent="0.25">
      <c r="A144"/>
      <c r="B144"/>
      <c r="C144"/>
      <c r="D144"/>
      <c r="E144"/>
      <c r="F144"/>
      <c r="G144"/>
      <c r="H144"/>
      <c r="I144"/>
    </row>
    <row r="145" spans="1:9" x14ac:dyDescent="0.25">
      <c r="A145"/>
      <c r="B145"/>
      <c r="C145"/>
      <c r="D145"/>
      <c r="E145"/>
      <c r="F145"/>
      <c r="G145"/>
      <c r="H145"/>
      <c r="I145"/>
    </row>
    <row r="146" spans="1:9" x14ac:dyDescent="0.25">
      <c r="A146"/>
      <c r="B146"/>
      <c r="C146"/>
      <c r="D146"/>
      <c r="E146"/>
      <c r="F146"/>
      <c r="G146"/>
      <c r="H146"/>
      <c r="I146"/>
    </row>
    <row r="147" spans="1:9" x14ac:dyDescent="0.25">
      <c r="A147"/>
      <c r="B147"/>
      <c r="C147"/>
      <c r="D147"/>
      <c r="E147"/>
      <c r="F147"/>
      <c r="G147"/>
      <c r="H147"/>
      <c r="I147"/>
    </row>
    <row r="148" spans="1:9" x14ac:dyDescent="0.25">
      <c r="A148"/>
      <c r="B148"/>
      <c r="C148"/>
      <c r="D148"/>
      <c r="E148"/>
      <c r="F148"/>
      <c r="G148"/>
      <c r="H148"/>
      <c r="I148"/>
    </row>
    <row r="149" spans="1:9" x14ac:dyDescent="0.25">
      <c r="A149"/>
      <c r="B149"/>
      <c r="C149"/>
      <c r="D149"/>
      <c r="E149"/>
      <c r="F149"/>
      <c r="G149"/>
      <c r="H149"/>
      <c r="I149"/>
    </row>
    <row r="150" spans="1:9" x14ac:dyDescent="0.25">
      <c r="A150"/>
      <c r="B150"/>
      <c r="C150"/>
      <c r="D150"/>
      <c r="E150"/>
      <c r="F150"/>
      <c r="G150"/>
      <c r="H150"/>
      <c r="I150"/>
    </row>
    <row r="151" spans="1:9" x14ac:dyDescent="0.25">
      <c r="A151"/>
      <c r="B151"/>
      <c r="C151"/>
      <c r="D151"/>
      <c r="E151"/>
      <c r="F151"/>
      <c r="G151"/>
      <c r="H151"/>
      <c r="I151"/>
    </row>
    <row r="152" spans="1:9" x14ac:dyDescent="0.25">
      <c r="A152"/>
      <c r="B152"/>
      <c r="C152"/>
      <c r="D152"/>
      <c r="E152"/>
      <c r="F152"/>
      <c r="G152"/>
      <c r="H152"/>
      <c r="I152"/>
    </row>
    <row r="153" spans="1:9" x14ac:dyDescent="0.25">
      <c r="A153"/>
      <c r="B153"/>
      <c r="C153"/>
      <c r="D153"/>
      <c r="E153"/>
      <c r="F153"/>
      <c r="G153"/>
      <c r="H153"/>
      <c r="I153"/>
    </row>
    <row r="154" spans="1:9" x14ac:dyDescent="0.25">
      <c r="A154"/>
      <c r="B154"/>
      <c r="C154"/>
      <c r="D154"/>
      <c r="E154"/>
      <c r="F154"/>
      <c r="G154"/>
      <c r="H154"/>
      <c r="I154"/>
    </row>
    <row r="155" spans="1:9" x14ac:dyDescent="0.25">
      <c r="A155"/>
      <c r="B155"/>
      <c r="C155"/>
      <c r="D155"/>
      <c r="E155"/>
      <c r="F155"/>
      <c r="G155"/>
      <c r="H155"/>
      <c r="I155"/>
    </row>
    <row r="156" spans="1:9" x14ac:dyDescent="0.25">
      <c r="A156"/>
      <c r="B156"/>
      <c r="C156"/>
      <c r="D156"/>
      <c r="E156"/>
      <c r="F156"/>
      <c r="G156"/>
      <c r="H156"/>
      <c r="I156"/>
    </row>
    <row r="157" spans="1:9" x14ac:dyDescent="0.25">
      <c r="A157"/>
      <c r="B157"/>
      <c r="C157"/>
      <c r="D157"/>
      <c r="E157"/>
      <c r="F157"/>
      <c r="G157"/>
      <c r="H157"/>
      <c r="I157"/>
    </row>
    <row r="158" spans="1:9" x14ac:dyDescent="0.25">
      <c r="A158"/>
      <c r="B158"/>
      <c r="C158"/>
      <c r="D158"/>
      <c r="E158"/>
      <c r="F158"/>
      <c r="G158"/>
      <c r="H158"/>
      <c r="I158"/>
    </row>
    <row r="159" spans="1:9" x14ac:dyDescent="0.25">
      <c r="A159"/>
      <c r="B159"/>
      <c r="C159"/>
      <c r="D159"/>
      <c r="E159"/>
      <c r="F159"/>
      <c r="G159"/>
      <c r="H159"/>
      <c r="I159"/>
    </row>
    <row r="160" spans="1:9" x14ac:dyDescent="0.25">
      <c r="A160"/>
      <c r="B160"/>
      <c r="C160"/>
      <c r="D160"/>
      <c r="E160"/>
      <c r="F160"/>
      <c r="G160"/>
      <c r="H160"/>
      <c r="I160"/>
    </row>
    <row r="161" spans="1:9" x14ac:dyDescent="0.25">
      <c r="A161"/>
      <c r="B161"/>
      <c r="C161"/>
      <c r="D161"/>
      <c r="E161"/>
      <c r="F161"/>
      <c r="G161"/>
      <c r="H161"/>
      <c r="I161"/>
    </row>
    <row r="162" spans="1:9" x14ac:dyDescent="0.25">
      <c r="A162"/>
      <c r="B162"/>
      <c r="C162"/>
      <c r="D162"/>
      <c r="E162"/>
      <c r="F162"/>
      <c r="G162"/>
      <c r="H162"/>
      <c r="I162"/>
    </row>
    <row r="163" spans="1:9" x14ac:dyDescent="0.25">
      <c r="A163"/>
      <c r="B163"/>
      <c r="C163"/>
      <c r="D163"/>
      <c r="E163"/>
      <c r="F163"/>
      <c r="G163"/>
      <c r="H163"/>
      <c r="I163"/>
    </row>
    <row r="164" spans="1:9" x14ac:dyDescent="0.25">
      <c r="A164"/>
      <c r="B164"/>
      <c r="C164"/>
      <c r="D164"/>
      <c r="E164"/>
      <c r="F164"/>
      <c r="G164"/>
      <c r="H164"/>
      <c r="I164"/>
    </row>
    <row r="165" spans="1:9" x14ac:dyDescent="0.25">
      <c r="A165"/>
      <c r="B165"/>
      <c r="C165"/>
      <c r="D165"/>
      <c r="E165"/>
      <c r="F165"/>
      <c r="G165"/>
      <c r="H165"/>
      <c r="I165"/>
    </row>
    <row r="166" spans="1:9" x14ac:dyDescent="0.25">
      <c r="A166"/>
      <c r="B166"/>
      <c r="C166"/>
      <c r="D166"/>
      <c r="E166"/>
      <c r="F166"/>
      <c r="G166"/>
      <c r="H166"/>
      <c r="I166"/>
    </row>
    <row r="167" spans="1:9" x14ac:dyDescent="0.25">
      <c r="A167"/>
      <c r="B167"/>
      <c r="C167"/>
      <c r="D167"/>
      <c r="E167"/>
      <c r="F167"/>
      <c r="G167"/>
      <c r="H167"/>
      <c r="I167"/>
    </row>
    <row r="168" spans="1:9" x14ac:dyDescent="0.25">
      <c r="A168"/>
      <c r="B168"/>
      <c r="C168"/>
      <c r="D168"/>
      <c r="E168"/>
      <c r="F168"/>
      <c r="G168"/>
      <c r="H168"/>
      <c r="I168"/>
    </row>
    <row r="169" spans="1:9" x14ac:dyDescent="0.25">
      <c r="A169"/>
      <c r="B169"/>
      <c r="C169"/>
      <c r="D169"/>
      <c r="E169"/>
      <c r="F169"/>
      <c r="G169"/>
      <c r="H169"/>
      <c r="I169"/>
    </row>
    <row r="170" spans="1:9" x14ac:dyDescent="0.25">
      <c r="A170"/>
      <c r="B170"/>
      <c r="C170"/>
      <c r="D170"/>
      <c r="E170"/>
      <c r="F170"/>
      <c r="G170"/>
      <c r="H170"/>
      <c r="I170"/>
    </row>
    <row r="171" spans="1:9" x14ac:dyDescent="0.25">
      <c r="A171"/>
      <c r="B171"/>
      <c r="C171"/>
      <c r="D171"/>
      <c r="E171"/>
      <c r="F171"/>
      <c r="G171"/>
      <c r="H171"/>
      <c r="I171"/>
    </row>
    <row r="172" spans="1:9" x14ac:dyDescent="0.25">
      <c r="A172"/>
      <c r="B172"/>
      <c r="C172"/>
      <c r="D172"/>
      <c r="E172"/>
      <c r="F172"/>
      <c r="G172"/>
      <c r="H172"/>
      <c r="I172"/>
    </row>
    <row r="173" spans="1:9" x14ac:dyDescent="0.25">
      <c r="A173"/>
      <c r="B173"/>
      <c r="C173"/>
      <c r="D173"/>
      <c r="E173"/>
      <c r="F173"/>
      <c r="G173"/>
      <c r="H173"/>
      <c r="I173"/>
    </row>
    <row r="174" spans="1:9" x14ac:dyDescent="0.25">
      <c r="A174"/>
      <c r="B174"/>
      <c r="C174"/>
      <c r="D174"/>
      <c r="E174"/>
      <c r="F174"/>
      <c r="G174"/>
      <c r="H174"/>
      <c r="I174"/>
    </row>
    <row r="175" spans="1:9" x14ac:dyDescent="0.25">
      <c r="A175"/>
      <c r="B175"/>
      <c r="C175"/>
      <c r="D175"/>
      <c r="E175"/>
      <c r="F175"/>
      <c r="G175"/>
      <c r="H175"/>
      <c r="I175"/>
    </row>
    <row r="176" spans="1:9" x14ac:dyDescent="0.25">
      <c r="A176"/>
      <c r="B176"/>
      <c r="C176"/>
      <c r="D176"/>
      <c r="E176"/>
      <c r="F176"/>
      <c r="G176"/>
      <c r="H176"/>
      <c r="I176"/>
    </row>
    <row r="177" spans="1:9" x14ac:dyDescent="0.25">
      <c r="A177"/>
      <c r="B177"/>
      <c r="C177"/>
      <c r="D177"/>
      <c r="E177"/>
      <c r="F177"/>
      <c r="G177"/>
      <c r="H177"/>
      <c r="I177"/>
    </row>
    <row r="178" spans="1:9" x14ac:dyDescent="0.25">
      <c r="A178"/>
      <c r="B178"/>
      <c r="C178"/>
      <c r="D178"/>
      <c r="E178"/>
      <c r="F178"/>
      <c r="G178"/>
      <c r="H178"/>
      <c r="I178"/>
    </row>
    <row r="179" spans="1:9" x14ac:dyDescent="0.25">
      <c r="A179"/>
      <c r="B179"/>
      <c r="C179"/>
      <c r="D179"/>
      <c r="E179"/>
      <c r="F179"/>
      <c r="G179"/>
      <c r="H179"/>
      <c r="I179"/>
    </row>
    <row r="180" spans="1:9" x14ac:dyDescent="0.25">
      <c r="A180"/>
      <c r="B180"/>
      <c r="C180"/>
      <c r="D180"/>
      <c r="E180"/>
      <c r="F180"/>
      <c r="G180"/>
      <c r="H180"/>
      <c r="I180"/>
    </row>
    <row r="181" spans="1:9" x14ac:dyDescent="0.25">
      <c r="A181"/>
      <c r="B181"/>
      <c r="C181"/>
      <c r="D181"/>
      <c r="E181"/>
      <c r="F181"/>
      <c r="G181"/>
      <c r="H181"/>
      <c r="I181"/>
    </row>
    <row r="182" spans="1:9" x14ac:dyDescent="0.25">
      <c r="A182"/>
      <c r="B182"/>
      <c r="C182"/>
      <c r="D182"/>
      <c r="E182"/>
      <c r="F182"/>
      <c r="G182"/>
      <c r="H182"/>
      <c r="I182"/>
    </row>
    <row r="183" spans="1:9" x14ac:dyDescent="0.25">
      <c r="A183"/>
      <c r="B183"/>
      <c r="C183"/>
      <c r="D183"/>
      <c r="E183"/>
      <c r="F183"/>
      <c r="G183"/>
      <c r="H183"/>
      <c r="I183"/>
    </row>
    <row r="184" spans="1:9" x14ac:dyDescent="0.25">
      <c r="A184"/>
      <c r="B184"/>
      <c r="C184"/>
      <c r="D184"/>
      <c r="E184"/>
      <c r="F184"/>
      <c r="G184"/>
      <c r="H184"/>
      <c r="I184"/>
    </row>
    <row r="185" spans="1:9" x14ac:dyDescent="0.25">
      <c r="A185"/>
      <c r="B185"/>
      <c r="C185"/>
      <c r="D185"/>
      <c r="E185"/>
      <c r="F185"/>
      <c r="G185"/>
      <c r="H185"/>
      <c r="I185"/>
    </row>
    <row r="186" spans="1:9" x14ac:dyDescent="0.25">
      <c r="A186"/>
      <c r="B186"/>
      <c r="C186"/>
      <c r="D186"/>
      <c r="E186"/>
      <c r="F186"/>
      <c r="G186"/>
      <c r="H186"/>
      <c r="I186"/>
    </row>
    <row r="187" spans="1:9" x14ac:dyDescent="0.25">
      <c r="A187"/>
      <c r="B187"/>
      <c r="C187"/>
      <c r="D187"/>
      <c r="E187"/>
      <c r="F187"/>
      <c r="G187"/>
      <c r="H187"/>
      <c r="I187"/>
    </row>
    <row r="188" spans="1:9" x14ac:dyDescent="0.25">
      <c r="A188"/>
      <c r="B188"/>
      <c r="C188"/>
      <c r="D188"/>
      <c r="E188"/>
      <c r="F188"/>
      <c r="G188"/>
      <c r="H188"/>
      <c r="I188"/>
    </row>
    <row r="189" spans="1:9" x14ac:dyDescent="0.25">
      <c r="A189"/>
      <c r="B189"/>
      <c r="C189"/>
      <c r="D189"/>
      <c r="E189"/>
      <c r="F189"/>
      <c r="G189"/>
      <c r="H189"/>
      <c r="I189"/>
    </row>
    <row r="190" spans="1:9" x14ac:dyDescent="0.25">
      <c r="A190"/>
      <c r="B190"/>
      <c r="C190"/>
      <c r="D190"/>
      <c r="E190"/>
      <c r="F190"/>
      <c r="G190"/>
      <c r="H190"/>
      <c r="I190"/>
    </row>
    <row r="191" spans="1:9" x14ac:dyDescent="0.25">
      <c r="A191"/>
      <c r="B191"/>
      <c r="C191"/>
      <c r="D191"/>
      <c r="E191"/>
      <c r="F191"/>
      <c r="G191"/>
      <c r="H191"/>
      <c r="I191"/>
    </row>
    <row r="192" spans="1:9" x14ac:dyDescent="0.25">
      <c r="A192"/>
      <c r="B192"/>
      <c r="C192"/>
      <c r="D192"/>
      <c r="E192"/>
      <c r="F192"/>
      <c r="G192"/>
      <c r="H192"/>
      <c r="I192"/>
    </row>
    <row r="193" spans="1:9" x14ac:dyDescent="0.25">
      <c r="A193"/>
      <c r="B193"/>
      <c r="C193"/>
      <c r="D193"/>
      <c r="E193"/>
      <c r="F193"/>
      <c r="G193"/>
      <c r="H193"/>
      <c r="I193"/>
    </row>
    <row r="194" spans="1:9" x14ac:dyDescent="0.25">
      <c r="A194"/>
      <c r="B194"/>
      <c r="C194"/>
      <c r="D194"/>
      <c r="E194"/>
      <c r="F194"/>
      <c r="G194"/>
      <c r="H194"/>
      <c r="I194"/>
    </row>
    <row r="195" spans="1:9" x14ac:dyDescent="0.25">
      <c r="A195"/>
      <c r="B195"/>
      <c r="C195"/>
      <c r="D195"/>
      <c r="E195"/>
      <c r="F195"/>
      <c r="G195"/>
      <c r="H195"/>
      <c r="I195"/>
    </row>
    <row r="196" spans="1:9" x14ac:dyDescent="0.25">
      <c r="A196"/>
      <c r="B196"/>
      <c r="C196"/>
      <c r="D196"/>
      <c r="E196"/>
      <c r="F196"/>
      <c r="G196"/>
      <c r="H196"/>
      <c r="I196"/>
    </row>
    <row r="197" spans="1:9" x14ac:dyDescent="0.25">
      <c r="A197"/>
      <c r="B197"/>
      <c r="C197"/>
      <c r="D197"/>
      <c r="E197"/>
      <c r="F197"/>
      <c r="G197"/>
      <c r="H197"/>
      <c r="I197"/>
    </row>
    <row r="198" spans="1:9" x14ac:dyDescent="0.25">
      <c r="A198"/>
      <c r="B198"/>
      <c r="C198"/>
      <c r="D198"/>
      <c r="E198"/>
      <c r="F198"/>
      <c r="G198"/>
      <c r="H198"/>
      <c r="I198"/>
    </row>
    <row r="199" spans="1:9" x14ac:dyDescent="0.25">
      <c r="A199"/>
      <c r="B199"/>
      <c r="C199"/>
      <c r="D199"/>
      <c r="E199"/>
      <c r="F199"/>
      <c r="G199"/>
      <c r="H199"/>
      <c r="I199"/>
    </row>
    <row r="200" spans="1:9" x14ac:dyDescent="0.25">
      <c r="A200"/>
      <c r="B200"/>
      <c r="C200"/>
      <c r="D200"/>
      <c r="E200"/>
      <c r="F200"/>
      <c r="G200"/>
      <c r="H200"/>
      <c r="I200"/>
    </row>
    <row r="201" spans="1:9" x14ac:dyDescent="0.25">
      <c r="A201"/>
      <c r="B201"/>
      <c r="C201"/>
      <c r="D201"/>
      <c r="E201"/>
      <c r="F201"/>
      <c r="G201"/>
      <c r="H201"/>
      <c r="I201"/>
    </row>
    <row r="202" spans="1:9" x14ac:dyDescent="0.25">
      <c r="A202"/>
      <c r="B202"/>
      <c r="C202"/>
      <c r="D202"/>
      <c r="E202"/>
      <c r="F202"/>
      <c r="G202"/>
      <c r="H202"/>
      <c r="I202"/>
    </row>
    <row r="203" spans="1:9" x14ac:dyDescent="0.25">
      <c r="A203"/>
      <c r="B203"/>
      <c r="C203"/>
      <c r="D203"/>
      <c r="E203"/>
      <c r="F203"/>
      <c r="G203"/>
      <c r="H203"/>
      <c r="I203"/>
    </row>
    <row r="204" spans="1:9" x14ac:dyDescent="0.25">
      <c r="A204"/>
      <c r="B204"/>
      <c r="C204"/>
      <c r="D204"/>
      <c r="E204"/>
      <c r="F204"/>
      <c r="G204"/>
      <c r="H204"/>
      <c r="I204"/>
    </row>
    <row r="205" spans="1:9" x14ac:dyDescent="0.25">
      <c r="A205"/>
      <c r="B205"/>
      <c r="C205"/>
      <c r="D205"/>
      <c r="E205"/>
      <c r="F205"/>
      <c r="G205"/>
      <c r="H205"/>
      <c r="I205"/>
    </row>
    <row r="206" spans="1:9" x14ac:dyDescent="0.25">
      <c r="A206"/>
      <c r="B206"/>
      <c r="C206"/>
      <c r="D206"/>
      <c r="E206"/>
      <c r="F206"/>
      <c r="G206"/>
      <c r="H206"/>
      <c r="I206"/>
    </row>
    <row r="207" spans="1:9" x14ac:dyDescent="0.25">
      <c r="A207"/>
      <c r="B207"/>
      <c r="C207"/>
      <c r="D207"/>
      <c r="E207"/>
      <c r="F207"/>
      <c r="G207"/>
      <c r="H207"/>
      <c r="I207"/>
    </row>
    <row r="208" spans="1:9" x14ac:dyDescent="0.25">
      <c r="A208"/>
      <c r="B208"/>
      <c r="C208"/>
      <c r="D208"/>
      <c r="E208"/>
      <c r="F208"/>
      <c r="G208"/>
      <c r="H208"/>
      <c r="I208"/>
    </row>
    <row r="209" spans="1:9" x14ac:dyDescent="0.25">
      <c r="A209"/>
      <c r="B209"/>
      <c r="C209"/>
      <c r="D209"/>
      <c r="E209"/>
      <c r="F209"/>
      <c r="G209"/>
      <c r="H209"/>
      <c r="I209"/>
    </row>
    <row r="210" spans="1:9" x14ac:dyDescent="0.25">
      <c r="A210"/>
      <c r="B210"/>
      <c r="C210"/>
      <c r="D210"/>
      <c r="E210"/>
      <c r="F210"/>
      <c r="G210"/>
      <c r="H210"/>
      <c r="I210"/>
    </row>
    <row r="211" spans="1:9" x14ac:dyDescent="0.25">
      <c r="A211"/>
      <c r="B211"/>
      <c r="C211"/>
      <c r="D211"/>
      <c r="E211"/>
      <c r="F211"/>
      <c r="G211"/>
      <c r="H211"/>
      <c r="I211"/>
    </row>
    <row r="212" spans="1:9" x14ac:dyDescent="0.25">
      <c r="A212"/>
      <c r="B212"/>
      <c r="C212"/>
      <c r="D212"/>
      <c r="E212"/>
      <c r="F212"/>
      <c r="G212"/>
      <c r="H212"/>
      <c r="I212"/>
    </row>
    <row r="213" spans="1:9" x14ac:dyDescent="0.25">
      <c r="A213"/>
      <c r="B213"/>
      <c r="C213"/>
      <c r="D213"/>
      <c r="E213"/>
      <c r="F213"/>
      <c r="G213"/>
      <c r="H213"/>
      <c r="I213"/>
    </row>
    <row r="214" spans="1:9" x14ac:dyDescent="0.25">
      <c r="A214"/>
      <c r="B214"/>
      <c r="C214"/>
      <c r="D214"/>
      <c r="E214"/>
      <c r="F214"/>
      <c r="G214"/>
      <c r="H214"/>
      <c r="I214"/>
    </row>
    <row r="215" spans="1:9" x14ac:dyDescent="0.25">
      <c r="A215"/>
      <c r="B215"/>
      <c r="C215"/>
      <c r="D215"/>
      <c r="E215"/>
      <c r="F215"/>
      <c r="G215"/>
      <c r="H215"/>
      <c r="I215"/>
    </row>
    <row r="216" spans="1:9" x14ac:dyDescent="0.25">
      <c r="A216"/>
      <c r="B216"/>
      <c r="C216"/>
      <c r="D216"/>
      <c r="E216"/>
      <c r="F216"/>
      <c r="G216"/>
      <c r="H216"/>
      <c r="I216"/>
    </row>
    <row r="217" spans="1:9" x14ac:dyDescent="0.25">
      <c r="A217"/>
      <c r="B217"/>
      <c r="C217"/>
      <c r="D217"/>
      <c r="E217"/>
      <c r="F217"/>
      <c r="G217"/>
      <c r="H217"/>
      <c r="I217"/>
    </row>
    <row r="218" spans="1:9" x14ac:dyDescent="0.25">
      <c r="A218"/>
      <c r="B218"/>
      <c r="C218"/>
      <c r="D218"/>
      <c r="E218"/>
      <c r="F218"/>
      <c r="G218"/>
      <c r="H218"/>
      <c r="I218"/>
    </row>
    <row r="219" spans="1:9" x14ac:dyDescent="0.25">
      <c r="A219"/>
      <c r="B219"/>
      <c r="C219"/>
      <c r="D219"/>
      <c r="E219"/>
      <c r="F219"/>
      <c r="G219"/>
      <c r="H219"/>
      <c r="I219"/>
    </row>
    <row r="220" spans="1:9" x14ac:dyDescent="0.25">
      <c r="A220"/>
      <c r="B220"/>
      <c r="C220"/>
      <c r="D220"/>
      <c r="E220"/>
      <c r="F220"/>
      <c r="G220"/>
      <c r="H220"/>
      <c r="I220"/>
    </row>
    <row r="221" spans="1:9" x14ac:dyDescent="0.25">
      <c r="A221"/>
      <c r="B221"/>
      <c r="C221"/>
      <c r="D221"/>
      <c r="E221"/>
      <c r="F221"/>
      <c r="G221"/>
      <c r="H221"/>
      <c r="I221"/>
    </row>
    <row r="222" spans="1:9" x14ac:dyDescent="0.25">
      <c r="A222"/>
      <c r="B222"/>
      <c r="C222"/>
      <c r="D222"/>
      <c r="E222"/>
      <c r="F222"/>
      <c r="G222"/>
      <c r="H222"/>
      <c r="I222"/>
    </row>
    <row r="223" spans="1:9" x14ac:dyDescent="0.25">
      <c r="A223"/>
      <c r="B223"/>
      <c r="C223"/>
      <c r="D223"/>
      <c r="E223"/>
      <c r="F223"/>
      <c r="G223"/>
      <c r="H223"/>
      <c r="I223"/>
    </row>
    <row r="224" spans="1:9" x14ac:dyDescent="0.25">
      <c r="A224"/>
      <c r="B224"/>
      <c r="C224"/>
      <c r="D224"/>
      <c r="E224"/>
      <c r="F224"/>
      <c r="G224"/>
      <c r="H224"/>
      <c r="I224"/>
    </row>
    <row r="225" spans="1:9" x14ac:dyDescent="0.25">
      <c r="A225"/>
      <c r="B225"/>
      <c r="C225"/>
      <c r="D225"/>
      <c r="E225"/>
      <c r="F225"/>
      <c r="G225"/>
      <c r="H225"/>
      <c r="I225"/>
    </row>
    <row r="226" spans="1:9" x14ac:dyDescent="0.25">
      <c r="A226"/>
      <c r="B226"/>
      <c r="C226"/>
      <c r="D226"/>
      <c r="E226"/>
      <c r="F226"/>
      <c r="G226"/>
      <c r="H226"/>
      <c r="I226"/>
    </row>
    <row r="227" spans="1:9" x14ac:dyDescent="0.25">
      <c r="A227"/>
      <c r="B227"/>
      <c r="C227"/>
      <c r="D227"/>
      <c r="E227"/>
      <c r="F227"/>
      <c r="G227"/>
      <c r="H227"/>
      <c r="I227"/>
    </row>
    <row r="228" spans="1:9" x14ac:dyDescent="0.25">
      <c r="A228"/>
      <c r="B228"/>
      <c r="C228"/>
      <c r="D228"/>
      <c r="E228"/>
      <c r="F228"/>
      <c r="G228"/>
      <c r="H228"/>
      <c r="I228"/>
    </row>
    <row r="229" spans="1:9" x14ac:dyDescent="0.25">
      <c r="A229"/>
      <c r="B229"/>
      <c r="C229"/>
      <c r="D229"/>
      <c r="E229"/>
      <c r="F229"/>
      <c r="G229"/>
      <c r="H229"/>
      <c r="I229"/>
    </row>
    <row r="230" spans="1:9" x14ac:dyDescent="0.25">
      <c r="A230"/>
      <c r="B230"/>
      <c r="C230"/>
      <c r="D230"/>
      <c r="E230"/>
      <c r="F230"/>
      <c r="G230"/>
      <c r="H230"/>
      <c r="I230"/>
    </row>
    <row r="231" spans="1:9" x14ac:dyDescent="0.25">
      <c r="A231"/>
      <c r="B231"/>
      <c r="C231"/>
      <c r="D231"/>
      <c r="E231"/>
      <c r="F231"/>
      <c r="G231"/>
      <c r="H231"/>
      <c r="I231"/>
    </row>
    <row r="232" spans="1:9" x14ac:dyDescent="0.25">
      <c r="A232"/>
      <c r="B232"/>
      <c r="C232"/>
      <c r="D232"/>
      <c r="E232"/>
      <c r="F232"/>
      <c r="G232"/>
      <c r="H232"/>
      <c r="I232"/>
    </row>
    <row r="233" spans="1:9" x14ac:dyDescent="0.25">
      <c r="A233"/>
      <c r="B233"/>
      <c r="C233"/>
      <c r="D233"/>
      <c r="E233"/>
      <c r="F233"/>
      <c r="G233"/>
      <c r="H233"/>
      <c r="I233"/>
    </row>
    <row r="234" spans="1:9" x14ac:dyDescent="0.25">
      <c r="A234"/>
      <c r="B234"/>
      <c r="C234"/>
      <c r="D234"/>
      <c r="E234"/>
      <c r="F234"/>
      <c r="G234"/>
      <c r="H234"/>
      <c r="I234"/>
    </row>
    <row r="235" spans="1:9" x14ac:dyDescent="0.25">
      <c r="A235"/>
      <c r="B235"/>
      <c r="C235"/>
      <c r="D235"/>
      <c r="E235"/>
      <c r="F235"/>
      <c r="G235"/>
      <c r="H235"/>
      <c r="I235"/>
    </row>
    <row r="236" spans="1:9" x14ac:dyDescent="0.25">
      <c r="A236"/>
      <c r="B236"/>
      <c r="C236"/>
      <c r="D236"/>
      <c r="E236"/>
      <c r="F236"/>
      <c r="G236"/>
      <c r="H236"/>
      <c r="I236"/>
    </row>
    <row r="237" spans="1:9" x14ac:dyDescent="0.25">
      <c r="A237"/>
      <c r="B237"/>
      <c r="C237"/>
      <c r="D237"/>
      <c r="E237"/>
      <c r="F237"/>
      <c r="G237"/>
      <c r="H237"/>
      <c r="I237"/>
    </row>
    <row r="238" spans="1:9" x14ac:dyDescent="0.25">
      <c r="A238"/>
      <c r="B238"/>
      <c r="C238"/>
      <c r="D238"/>
      <c r="E238"/>
      <c r="F238"/>
      <c r="G238"/>
      <c r="H238"/>
      <c r="I238"/>
    </row>
    <row r="239" spans="1:9" x14ac:dyDescent="0.25">
      <c r="A239"/>
      <c r="B239"/>
      <c r="C239"/>
      <c r="D239"/>
      <c r="E239"/>
      <c r="F239"/>
      <c r="G239"/>
      <c r="H239"/>
      <c r="I239"/>
    </row>
    <row r="240" spans="1:9" x14ac:dyDescent="0.25">
      <c r="A240"/>
      <c r="B240"/>
      <c r="C240"/>
      <c r="D240"/>
      <c r="E240"/>
      <c r="F240"/>
      <c r="G240"/>
      <c r="H240"/>
      <c r="I240"/>
    </row>
    <row r="241" spans="1:9" x14ac:dyDescent="0.25">
      <c r="A241"/>
      <c r="B241"/>
      <c r="C241"/>
      <c r="D241"/>
      <c r="E241"/>
      <c r="F241"/>
      <c r="G241"/>
      <c r="H241"/>
      <c r="I241"/>
    </row>
    <row r="242" spans="1:9" x14ac:dyDescent="0.25">
      <c r="A242"/>
      <c r="B242"/>
      <c r="C242"/>
      <c r="D242"/>
      <c r="E242"/>
      <c r="F242"/>
      <c r="G242"/>
      <c r="H242"/>
      <c r="I242"/>
    </row>
    <row r="243" spans="1:9" x14ac:dyDescent="0.25">
      <c r="A243"/>
      <c r="B243"/>
      <c r="C243"/>
      <c r="D243"/>
      <c r="E243"/>
      <c r="F243"/>
      <c r="G243"/>
      <c r="H243"/>
      <c r="I243"/>
    </row>
    <row r="244" spans="1:9" x14ac:dyDescent="0.25">
      <c r="A244"/>
      <c r="B244"/>
      <c r="C244"/>
      <c r="D244"/>
      <c r="E244"/>
      <c r="F244"/>
      <c r="G244"/>
      <c r="H244"/>
      <c r="I244"/>
    </row>
    <row r="245" spans="1:9" x14ac:dyDescent="0.25">
      <c r="A245"/>
      <c r="B245"/>
      <c r="C245"/>
      <c r="D245"/>
      <c r="E245"/>
      <c r="F245"/>
      <c r="G245"/>
      <c r="H245"/>
      <c r="I245"/>
    </row>
    <row r="246" spans="1:9" x14ac:dyDescent="0.25">
      <c r="A246"/>
      <c r="B246"/>
      <c r="C246"/>
      <c r="D246"/>
      <c r="E246"/>
      <c r="F246"/>
      <c r="G246"/>
      <c r="H246"/>
      <c r="I246"/>
    </row>
    <row r="247" spans="1:9" x14ac:dyDescent="0.25">
      <c r="A247"/>
      <c r="B247"/>
      <c r="C247"/>
      <c r="D247"/>
      <c r="E247"/>
      <c r="F247"/>
      <c r="G247"/>
      <c r="H247"/>
      <c r="I247"/>
    </row>
    <row r="248" spans="1:9" x14ac:dyDescent="0.25">
      <c r="A248"/>
      <c r="B248"/>
      <c r="C248"/>
      <c r="D248"/>
      <c r="E248"/>
      <c r="F248"/>
      <c r="G248"/>
      <c r="H248"/>
      <c r="I248"/>
    </row>
    <row r="249" spans="1:9" x14ac:dyDescent="0.25">
      <c r="A249"/>
      <c r="B249"/>
      <c r="C249"/>
      <c r="D249"/>
      <c r="E249"/>
      <c r="F249"/>
      <c r="G249"/>
      <c r="H249"/>
      <c r="I249"/>
    </row>
    <row r="250" spans="1:9" x14ac:dyDescent="0.25">
      <c r="A250"/>
      <c r="B250"/>
      <c r="C250"/>
      <c r="D250"/>
      <c r="E250"/>
      <c r="F250"/>
      <c r="G250"/>
      <c r="H250"/>
      <c r="I250"/>
    </row>
    <row r="251" spans="1:9" x14ac:dyDescent="0.25">
      <c r="A251"/>
      <c r="B251"/>
      <c r="C251"/>
      <c r="D251"/>
      <c r="E251"/>
      <c r="F251"/>
      <c r="G251"/>
      <c r="H251"/>
      <c r="I251"/>
    </row>
    <row r="252" spans="1:9" x14ac:dyDescent="0.25">
      <c r="A252"/>
      <c r="B252"/>
      <c r="C252"/>
      <c r="D252"/>
      <c r="E252"/>
      <c r="F252"/>
      <c r="G252"/>
      <c r="H252"/>
      <c r="I252"/>
    </row>
    <row r="253" spans="1:9" x14ac:dyDescent="0.25">
      <c r="A253"/>
      <c r="B253"/>
      <c r="C253"/>
      <c r="D253"/>
      <c r="E253"/>
      <c r="F253"/>
      <c r="G253"/>
      <c r="H253"/>
      <c r="I253"/>
    </row>
    <row r="254" spans="1:9" x14ac:dyDescent="0.25">
      <c r="A254"/>
      <c r="B254"/>
      <c r="C254"/>
      <c r="D254"/>
      <c r="E254"/>
      <c r="F254"/>
      <c r="G254"/>
      <c r="H254"/>
      <c r="I254"/>
    </row>
    <row r="255" spans="1:9" x14ac:dyDescent="0.25">
      <c r="A255"/>
      <c r="B255"/>
      <c r="C255"/>
      <c r="D255"/>
      <c r="E255"/>
      <c r="F255"/>
      <c r="G255"/>
      <c r="H255"/>
      <c r="I255"/>
    </row>
    <row r="256" spans="1:9" x14ac:dyDescent="0.25">
      <c r="A256"/>
      <c r="B256"/>
      <c r="C256"/>
      <c r="D256"/>
      <c r="E256"/>
      <c r="F256"/>
      <c r="G256"/>
      <c r="H256"/>
      <c r="I256"/>
    </row>
    <row r="257" spans="1:9" x14ac:dyDescent="0.25">
      <c r="A257"/>
      <c r="B257"/>
      <c r="C257"/>
      <c r="D257"/>
      <c r="E257"/>
      <c r="F257"/>
      <c r="G257"/>
      <c r="H257"/>
      <c r="I257"/>
    </row>
    <row r="258" spans="1:9" x14ac:dyDescent="0.25">
      <c r="A258"/>
      <c r="B258"/>
      <c r="C258"/>
      <c r="D258"/>
      <c r="E258"/>
      <c r="F258"/>
      <c r="G258"/>
      <c r="H258"/>
      <c r="I258"/>
    </row>
    <row r="259" spans="1:9" x14ac:dyDescent="0.25">
      <c r="A259"/>
      <c r="B259"/>
      <c r="C259"/>
      <c r="D259"/>
      <c r="E259"/>
      <c r="F259"/>
      <c r="G259"/>
      <c r="H259"/>
      <c r="I259"/>
    </row>
    <row r="260" spans="1:9" x14ac:dyDescent="0.25">
      <c r="A260"/>
      <c r="B260"/>
      <c r="C260"/>
      <c r="D260"/>
      <c r="E260"/>
      <c r="F260"/>
      <c r="G260"/>
      <c r="H260"/>
      <c r="I260"/>
    </row>
    <row r="261" spans="1:9" x14ac:dyDescent="0.25">
      <c r="A261"/>
      <c r="B261"/>
      <c r="C261"/>
      <c r="D261"/>
      <c r="E261"/>
      <c r="F261"/>
      <c r="G261"/>
      <c r="H261"/>
      <c r="I261"/>
    </row>
    <row r="262" spans="1:9" x14ac:dyDescent="0.25">
      <c r="A262"/>
      <c r="B262"/>
      <c r="C262"/>
      <c r="D262"/>
      <c r="E262"/>
      <c r="F262"/>
      <c r="G262"/>
      <c r="H262"/>
      <c r="I262"/>
    </row>
    <row r="263" spans="1:9" x14ac:dyDescent="0.25">
      <c r="A263"/>
      <c r="B263"/>
      <c r="C263"/>
      <c r="D263"/>
      <c r="E263"/>
      <c r="F263"/>
      <c r="G263"/>
      <c r="H263"/>
      <c r="I263"/>
    </row>
    <row r="264" spans="1:9" x14ac:dyDescent="0.25">
      <c r="A264"/>
      <c r="B264"/>
      <c r="C264"/>
      <c r="D264"/>
      <c r="E264"/>
      <c r="F264"/>
      <c r="G264"/>
      <c r="H264"/>
      <c r="I264"/>
    </row>
    <row r="265" spans="1:9" x14ac:dyDescent="0.25">
      <c r="A265"/>
      <c r="B265"/>
      <c r="C265"/>
      <c r="D265"/>
      <c r="E265"/>
      <c r="F265"/>
      <c r="G265"/>
      <c r="H265"/>
      <c r="I265"/>
    </row>
    <row r="266" spans="1:9" x14ac:dyDescent="0.25">
      <c r="A266"/>
      <c r="B266"/>
      <c r="C266"/>
      <c r="D266"/>
      <c r="E266"/>
      <c r="F266"/>
      <c r="G266"/>
      <c r="H266"/>
      <c r="I266"/>
    </row>
    <row r="267" spans="1:9" x14ac:dyDescent="0.25">
      <c r="A267"/>
      <c r="B267"/>
      <c r="C267"/>
      <c r="D267"/>
      <c r="E267"/>
      <c r="F267"/>
      <c r="G267"/>
      <c r="H267"/>
      <c r="I267"/>
    </row>
    <row r="268" spans="1:9" x14ac:dyDescent="0.25">
      <c r="A268"/>
      <c r="B268"/>
      <c r="C268"/>
      <c r="D268"/>
      <c r="E268"/>
      <c r="F268"/>
      <c r="G268"/>
      <c r="H268"/>
      <c r="I268"/>
    </row>
    <row r="269" spans="1:9" x14ac:dyDescent="0.25">
      <c r="A269"/>
      <c r="B269"/>
      <c r="C269"/>
      <c r="D269"/>
      <c r="E269"/>
      <c r="F269"/>
      <c r="G269"/>
      <c r="H269"/>
      <c r="I269"/>
    </row>
    <row r="270" spans="1:9" x14ac:dyDescent="0.25">
      <c r="A270"/>
      <c r="B270"/>
      <c r="C270"/>
      <c r="D270"/>
      <c r="E270"/>
      <c r="F270"/>
      <c r="G270"/>
      <c r="H270"/>
      <c r="I270"/>
    </row>
    <row r="271" spans="1:9" x14ac:dyDescent="0.25">
      <c r="A271"/>
      <c r="B271"/>
      <c r="C271"/>
      <c r="D271"/>
      <c r="E271"/>
      <c r="F271"/>
      <c r="G271"/>
      <c r="H271"/>
      <c r="I271"/>
    </row>
    <row r="272" spans="1:9" x14ac:dyDescent="0.25">
      <c r="A272"/>
      <c r="B272"/>
      <c r="C272"/>
      <c r="D272"/>
      <c r="E272"/>
      <c r="F272"/>
      <c r="G272"/>
      <c r="H272"/>
      <c r="I272"/>
    </row>
    <row r="273" spans="1:9" x14ac:dyDescent="0.25">
      <c r="A273"/>
      <c r="B273"/>
      <c r="C273"/>
      <c r="D273"/>
      <c r="E273"/>
      <c r="F273"/>
      <c r="G273"/>
      <c r="H273"/>
      <c r="I273"/>
    </row>
    <row r="274" spans="1:9" x14ac:dyDescent="0.25">
      <c r="A274"/>
      <c r="B274"/>
      <c r="C274"/>
      <c r="D274"/>
      <c r="E274"/>
      <c r="F274"/>
      <c r="G274"/>
      <c r="H274"/>
      <c r="I274"/>
    </row>
    <row r="275" spans="1:9" x14ac:dyDescent="0.25">
      <c r="A275"/>
      <c r="B275"/>
      <c r="C275"/>
      <c r="D275"/>
      <c r="E275"/>
      <c r="F275"/>
      <c r="G275"/>
      <c r="H275"/>
      <c r="I275"/>
    </row>
    <row r="276" spans="1:9" x14ac:dyDescent="0.25">
      <c r="A276"/>
      <c r="B276"/>
      <c r="C276"/>
      <c r="D276"/>
      <c r="E276"/>
      <c r="F276"/>
      <c r="G276"/>
      <c r="H276"/>
      <c r="I276"/>
    </row>
    <row r="277" spans="1:9" x14ac:dyDescent="0.25">
      <c r="A277"/>
      <c r="B277"/>
      <c r="C277"/>
      <c r="D277"/>
      <c r="E277"/>
      <c r="F277"/>
      <c r="G277"/>
      <c r="H277"/>
      <c r="I277"/>
    </row>
    <row r="278" spans="1:9" x14ac:dyDescent="0.25">
      <c r="A278"/>
      <c r="B278"/>
      <c r="C278"/>
      <c r="D278"/>
      <c r="E278"/>
      <c r="F278"/>
      <c r="G278"/>
      <c r="H278"/>
      <c r="I278"/>
    </row>
    <row r="279" spans="1:9" x14ac:dyDescent="0.25">
      <c r="A279"/>
      <c r="B279"/>
      <c r="C279"/>
      <c r="D279"/>
      <c r="E279"/>
      <c r="F279"/>
      <c r="G279"/>
      <c r="H279"/>
      <c r="I279"/>
    </row>
    <row r="280" spans="1:9" x14ac:dyDescent="0.25">
      <c r="A280"/>
      <c r="B280"/>
      <c r="C280"/>
      <c r="D280"/>
      <c r="E280"/>
      <c r="F280"/>
      <c r="G280"/>
      <c r="H280"/>
      <c r="I280"/>
    </row>
    <row r="281" spans="1:9" x14ac:dyDescent="0.25">
      <c r="A281"/>
      <c r="B281"/>
      <c r="C281"/>
      <c r="D281"/>
      <c r="E281"/>
      <c r="F281"/>
      <c r="G281"/>
      <c r="H281"/>
      <c r="I281"/>
    </row>
    <row r="282" spans="1:9" x14ac:dyDescent="0.25">
      <c r="A282"/>
      <c r="B282"/>
      <c r="C282"/>
      <c r="D282"/>
      <c r="E282"/>
      <c r="F282"/>
      <c r="G282"/>
      <c r="H282"/>
      <c r="I282"/>
    </row>
    <row r="283" spans="1:9" x14ac:dyDescent="0.25">
      <c r="A283"/>
      <c r="B283"/>
      <c r="C283"/>
      <c r="D283"/>
      <c r="E283"/>
      <c r="F283"/>
      <c r="G283"/>
      <c r="H283"/>
      <c r="I283"/>
    </row>
    <row r="284" spans="1:9" x14ac:dyDescent="0.25">
      <c r="A284"/>
      <c r="B284"/>
      <c r="C284"/>
      <c r="D284"/>
      <c r="E284"/>
      <c r="F284"/>
      <c r="G284"/>
      <c r="H284"/>
      <c r="I284"/>
    </row>
    <row r="285" spans="1:9" x14ac:dyDescent="0.25">
      <c r="A285"/>
      <c r="B285"/>
      <c r="C285"/>
      <c r="D285"/>
      <c r="E285"/>
      <c r="F285"/>
      <c r="G285"/>
      <c r="H285"/>
      <c r="I285"/>
    </row>
    <row r="286" spans="1:9" x14ac:dyDescent="0.25">
      <c r="A286"/>
      <c r="B286"/>
      <c r="C286"/>
      <c r="D286"/>
      <c r="E286"/>
      <c r="F286"/>
      <c r="G286"/>
      <c r="H286"/>
      <c r="I286"/>
    </row>
    <row r="287" spans="1:9" x14ac:dyDescent="0.25">
      <c r="A287"/>
      <c r="B287"/>
      <c r="C287"/>
      <c r="D287"/>
      <c r="E287"/>
      <c r="F287"/>
      <c r="G287"/>
      <c r="H287"/>
      <c r="I287"/>
    </row>
    <row r="288" spans="1:9" x14ac:dyDescent="0.25">
      <c r="A288"/>
      <c r="B288"/>
      <c r="C288"/>
      <c r="D288"/>
      <c r="E288"/>
      <c r="F288"/>
      <c r="G288"/>
      <c r="H288"/>
      <c r="I288"/>
    </row>
    <row r="289" spans="1:9" x14ac:dyDescent="0.25">
      <c r="A289"/>
      <c r="B289"/>
      <c r="C289"/>
      <c r="D289"/>
      <c r="E289"/>
      <c r="F289"/>
      <c r="G289"/>
      <c r="H289"/>
      <c r="I289"/>
    </row>
    <row r="290" spans="1:9" x14ac:dyDescent="0.25">
      <c r="A290"/>
      <c r="B290"/>
      <c r="C290"/>
      <c r="D290"/>
      <c r="E290"/>
      <c r="F290"/>
      <c r="G290"/>
      <c r="H290"/>
      <c r="I290"/>
    </row>
    <row r="291" spans="1:9" x14ac:dyDescent="0.25">
      <c r="A291"/>
      <c r="B291"/>
      <c r="C291"/>
      <c r="D291"/>
      <c r="E291"/>
      <c r="F291"/>
      <c r="G291"/>
      <c r="H291"/>
      <c r="I291"/>
    </row>
    <row r="292" spans="1:9" x14ac:dyDescent="0.25">
      <c r="A292"/>
      <c r="B292"/>
      <c r="C292"/>
      <c r="D292"/>
      <c r="E292"/>
      <c r="F292"/>
      <c r="G292"/>
      <c r="H292"/>
      <c r="I292"/>
    </row>
    <row r="293" spans="1:9" x14ac:dyDescent="0.25">
      <c r="A293"/>
      <c r="B293"/>
      <c r="C293"/>
      <c r="D293"/>
      <c r="E293"/>
      <c r="F293"/>
      <c r="G293"/>
      <c r="H293"/>
      <c r="I293"/>
    </row>
    <row r="294" spans="1:9" x14ac:dyDescent="0.25">
      <c r="A294"/>
      <c r="B294"/>
      <c r="C294"/>
      <c r="D294"/>
      <c r="E294"/>
      <c r="F294"/>
      <c r="G294"/>
      <c r="H294"/>
      <c r="I294"/>
    </row>
    <row r="295" spans="1:9" x14ac:dyDescent="0.25">
      <c r="A295"/>
      <c r="B295"/>
      <c r="C295"/>
      <c r="D295"/>
      <c r="E295"/>
      <c r="F295"/>
      <c r="G295"/>
      <c r="H295"/>
      <c r="I295"/>
    </row>
    <row r="296" spans="1:9" x14ac:dyDescent="0.25">
      <c r="A296"/>
      <c r="B296"/>
      <c r="C296"/>
      <c r="D296"/>
      <c r="E296"/>
      <c r="F296"/>
      <c r="G296"/>
      <c r="H296"/>
      <c r="I296"/>
    </row>
    <row r="297" spans="1:9" x14ac:dyDescent="0.25">
      <c r="A297"/>
      <c r="B297"/>
      <c r="C297"/>
      <c r="D297"/>
      <c r="E297"/>
      <c r="F297"/>
      <c r="G297"/>
      <c r="H297"/>
      <c r="I297"/>
    </row>
    <row r="298" spans="1:9" x14ac:dyDescent="0.25">
      <c r="A298"/>
      <c r="B298"/>
      <c r="C298"/>
      <c r="D298"/>
      <c r="E298"/>
      <c r="F298"/>
      <c r="G298"/>
      <c r="H298"/>
      <c r="I298"/>
    </row>
  </sheetData>
  <hyperlinks>
    <hyperlink ref="M1" r:id="rId1" display="https://youtu.be/tq2U_I7b4KQ" xr:uid="{EB4B3301-2BFF-4E5A-B54A-AB5564F85FDC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BCFC8-7602-4BC3-B29D-919DDA9D776E}">
  <sheetPr>
    <tabColor rgb="FFFFFF00"/>
  </sheetPr>
  <dimension ref="A1:BH83"/>
  <sheetViews>
    <sheetView zoomScaleNormal="100" workbookViewId="0">
      <selection activeCell="Y1" sqref="Y1:AA1048576"/>
    </sheetView>
  </sheetViews>
  <sheetFormatPr defaultColWidth="9.140625" defaultRowHeight="13.5" x14ac:dyDescent="0.25"/>
  <cols>
    <col min="1" max="1" width="6.7109375" style="3" bestFit="1" customWidth="1"/>
    <col min="2" max="2" width="6.7109375" style="3" customWidth="1"/>
    <col min="3" max="3" width="8.140625" style="6" bestFit="1" customWidth="1"/>
    <col min="4" max="4" width="12.140625" style="6" bestFit="1" customWidth="1"/>
    <col min="5" max="5" width="11.5703125" style="6" bestFit="1" customWidth="1"/>
    <col min="6" max="6" width="11.5703125" style="3" bestFit="1" customWidth="1"/>
    <col min="7" max="7" width="9.5703125" style="3" bestFit="1" customWidth="1"/>
    <col min="8" max="8" width="9.7109375" style="3" bestFit="1" customWidth="1"/>
    <col min="9" max="10" width="9.140625" style="3"/>
    <col min="11" max="11" width="9.140625" style="3" customWidth="1"/>
    <col min="12" max="12" width="14.5703125" style="3" bestFit="1" customWidth="1"/>
    <col min="13" max="16384" width="9.140625" style="3"/>
  </cols>
  <sheetData>
    <row r="1" spans="1:60" ht="18.75" x14ac:dyDescent="0.3">
      <c r="A1" s="40" t="s">
        <v>36</v>
      </c>
      <c r="B1" s="3" t="s">
        <v>35</v>
      </c>
      <c r="E1" s="7" t="s">
        <v>4</v>
      </c>
      <c r="F1" s="7" t="s">
        <v>5</v>
      </c>
      <c r="G1" s="7" t="s">
        <v>7</v>
      </c>
      <c r="H1" s="7" t="s">
        <v>3</v>
      </c>
      <c r="J1" s="18" t="s">
        <v>44</v>
      </c>
      <c r="K1" s="17"/>
      <c r="L1" s="18"/>
      <c r="M1" s="43" t="s">
        <v>14</v>
      </c>
      <c r="N1" s="41"/>
      <c r="O1" s="41"/>
      <c r="P1" s="41"/>
      <c r="Q1" s="41"/>
      <c r="R1" s="42"/>
      <c r="S1" s="41"/>
      <c r="T1" s="18" t="s">
        <v>43</v>
      </c>
      <c r="U1" s="17"/>
      <c r="BH1" s="40" t="s">
        <v>35</v>
      </c>
    </row>
    <row r="2" spans="1:60" ht="15" x14ac:dyDescent="0.25">
      <c r="E2" s="8">
        <f>INTERCEPT($D$6:$D$76,$A$6:$A$76)</f>
        <v>1202.9091213950378</v>
      </c>
      <c r="F2" s="8">
        <f>SLOPE($D$6:$D$76,$A$6:$A$76)</f>
        <v>79.488900067069082</v>
      </c>
      <c r="G2" s="9">
        <f>RSQ($D$6:$D$76,$A$6:$A$76)</f>
        <v>0.9955872023184833</v>
      </c>
      <c r="H2" s="8">
        <f>STEYX($D$6:$D$76,$A$6:$A$76)</f>
        <v>110.01530753264936</v>
      </c>
      <c r="J2" s="6" t="s">
        <v>10</v>
      </c>
      <c r="K2" s="6" t="s">
        <v>9</v>
      </c>
      <c r="L2" s="6" t="s">
        <v>11</v>
      </c>
    </row>
    <row r="3" spans="1:60" ht="15" x14ac:dyDescent="0.3">
      <c r="A3" s="10" t="str">
        <f>[1]ArdiData!A2</f>
        <v>Per.</v>
      </c>
      <c r="B3" s="10"/>
      <c r="C3" s="39" t="str">
        <f>[1]ArdiData!D2</f>
        <v>Trend&amp;S</v>
      </c>
      <c r="D3" s="6" t="s">
        <v>6</v>
      </c>
      <c r="E3" s="3" t="s">
        <v>8</v>
      </c>
      <c r="F3" s="3" t="s">
        <v>9</v>
      </c>
      <c r="G3" s="3" t="s">
        <v>10</v>
      </c>
      <c r="H3" s="3" t="s">
        <v>12</v>
      </c>
      <c r="J3" s="6">
        <v>1</v>
      </c>
      <c r="K3" s="11">
        <f>AVERAGEIF($G$4:$G$78,J3,$F$4:$F$78)</f>
        <v>0.86746989053010926</v>
      </c>
      <c r="L3" s="6">
        <f>K3/$K$8</f>
        <v>0.86605413131488107</v>
      </c>
      <c r="M3" s="38" t="s">
        <v>34</v>
      </c>
    </row>
    <row r="4" spans="1:60" ht="15" x14ac:dyDescent="0.3">
      <c r="A4" s="10">
        <f>[1]ArdiData!A3</f>
        <v>1</v>
      </c>
      <c r="B4" s="37">
        <f ca="1">'0.ArdiData'!D3</f>
        <v>1134</v>
      </c>
      <c r="C4" s="36">
        <f t="shared" ref="C4:C35" si="0">AE4</f>
        <v>1120</v>
      </c>
      <c r="E4" s="12">
        <f t="shared" ref="E4:E35" si="1">$E$2+$F$2*A4</f>
        <v>1282.398021462107</v>
      </c>
      <c r="F4" s="16">
        <f t="shared" ref="F4:F35" si="2">C4/E4</f>
        <v>0.87336379287535759</v>
      </c>
      <c r="G4" s="16">
        <f t="shared" ref="G4:G35" si="3">IF(MOD(A4,5)&lt;&gt;0,MOD(A4,5),5)</f>
        <v>1</v>
      </c>
      <c r="H4" s="13">
        <f t="shared" ref="H4:H35" si="4">VLOOKUP(G4,$J$3:$L$7,3)*E4</f>
        <v>1110.6261044772873</v>
      </c>
      <c r="J4" s="6">
        <v>2</v>
      </c>
      <c r="K4" s="11">
        <f>AVERAGEIF($G$4:$G$78,J4,$F$4:$F$78)</f>
        <v>1.0364031052216591</v>
      </c>
      <c r="L4" s="6">
        <f>K4/$K$8</f>
        <v>1.0347116375835006</v>
      </c>
      <c r="M4" s="38" t="s">
        <v>33</v>
      </c>
      <c r="AE4" s="36">
        <v>1120</v>
      </c>
    </row>
    <row r="5" spans="1:60" ht="15" x14ac:dyDescent="0.3">
      <c r="A5" s="10">
        <f>[1]ArdiData!A4</f>
        <v>2</v>
      </c>
      <c r="B5" s="37">
        <f ca="1">'0.ArdiData'!D4</f>
        <v>1458</v>
      </c>
      <c r="C5" s="36">
        <f t="shared" si="0"/>
        <v>1461</v>
      </c>
      <c r="E5" s="12">
        <f t="shared" si="1"/>
        <v>1361.8869215291759</v>
      </c>
      <c r="F5" s="16">
        <f t="shared" si="2"/>
        <v>1.0727762906773026</v>
      </c>
      <c r="G5" s="16">
        <f t="shared" si="3"/>
        <v>2</v>
      </c>
      <c r="H5" s="13">
        <f t="shared" si="4"/>
        <v>1409.160246779006</v>
      </c>
      <c r="J5" s="6">
        <v>3</v>
      </c>
      <c r="K5" s="11">
        <f>AVERAGEIF($G$4:$G$78,J5,$F$4:$F$78)</f>
        <v>1.1830137498486875</v>
      </c>
      <c r="L5" s="6">
        <f>K5/$K$8</f>
        <v>1.1810830054662325</v>
      </c>
      <c r="M5" s="38" t="s">
        <v>32</v>
      </c>
      <c r="AE5" s="36">
        <v>1461</v>
      </c>
    </row>
    <row r="6" spans="1:60" ht="15" x14ac:dyDescent="0.3">
      <c r="A6" s="10">
        <f>[1]ArdiData!A5</f>
        <v>3</v>
      </c>
      <c r="B6" s="37">
        <f ca="1">'0.ArdiData'!D5</f>
        <v>1665</v>
      </c>
      <c r="C6" s="36">
        <f t="shared" si="0"/>
        <v>1719</v>
      </c>
      <c r="D6" s="14">
        <f t="shared" ref="D6:D37" si="5">AVERAGE(C4:C8)</f>
        <v>1470.8</v>
      </c>
      <c r="E6" s="12">
        <f t="shared" si="1"/>
        <v>1441.375821596245</v>
      </c>
      <c r="F6" s="16">
        <f t="shared" si="2"/>
        <v>1.1926105421251629</v>
      </c>
      <c r="G6" s="16">
        <f t="shared" si="3"/>
        <v>3</v>
      </c>
      <c r="H6" s="13">
        <f t="shared" si="4"/>
        <v>1702.3844873772532</v>
      </c>
      <c r="J6" s="6">
        <v>4</v>
      </c>
      <c r="K6" s="11">
        <f>AVERAGEIF($G$4:$G$78,J6,$F$4:$F$78)</f>
        <v>1.0429691526104796</v>
      </c>
      <c r="L6" s="6">
        <f>K6/$K$8</f>
        <v>1.0412669688169827</v>
      </c>
      <c r="AE6" s="36">
        <v>1719</v>
      </c>
    </row>
    <row r="7" spans="1:60" ht="15" x14ac:dyDescent="0.3">
      <c r="A7" s="10">
        <f>[1]ArdiData!A6</f>
        <v>4</v>
      </c>
      <c r="B7" s="37">
        <f ca="1">'0.ArdiData'!D6</f>
        <v>1524</v>
      </c>
      <c r="C7" s="36">
        <f t="shared" si="0"/>
        <v>1692</v>
      </c>
      <c r="D7" s="14">
        <f t="shared" si="5"/>
        <v>1547.8</v>
      </c>
      <c r="E7" s="12">
        <f t="shared" si="1"/>
        <v>1520.8647216633142</v>
      </c>
      <c r="F7" s="16">
        <f t="shared" si="2"/>
        <v>1.1125249839114695</v>
      </c>
      <c r="G7" s="16">
        <f t="shared" si="3"/>
        <v>4</v>
      </c>
      <c r="H7" s="13">
        <f t="shared" si="4"/>
        <v>1583.6261987070432</v>
      </c>
      <c r="J7" s="6">
        <v>5</v>
      </c>
      <c r="K7" s="11">
        <f>AVERAGEIF($G$4:$G$78,J7,$F$4:$F$78)</f>
        <v>0.87831772029648225</v>
      </c>
      <c r="L7" s="6">
        <f>K7/$K$8</f>
        <v>0.87688425681840343</v>
      </c>
      <c r="AE7" s="36">
        <v>1692</v>
      </c>
    </row>
    <row r="8" spans="1:60" ht="15" x14ac:dyDescent="0.3">
      <c r="A8" s="10">
        <f>[1]ArdiData!A7</f>
        <v>5</v>
      </c>
      <c r="B8" s="37">
        <f ca="1">'0.ArdiData'!D7</f>
        <v>1410</v>
      </c>
      <c r="C8" s="36">
        <f t="shared" si="0"/>
        <v>1362</v>
      </c>
      <c r="D8" s="14">
        <f t="shared" si="5"/>
        <v>1620.2</v>
      </c>
      <c r="E8" s="12">
        <f t="shared" si="1"/>
        <v>1600.3536217303831</v>
      </c>
      <c r="F8" s="16">
        <f t="shared" si="2"/>
        <v>0.85106190376058066</v>
      </c>
      <c r="G8" s="16">
        <f t="shared" si="3"/>
        <v>5</v>
      </c>
      <c r="H8" s="13">
        <f t="shared" si="4"/>
        <v>1403.3248962376874</v>
      </c>
      <c r="J8" s="6"/>
      <c r="K8" s="15">
        <f>AVERAGE(K3:K7)</f>
        <v>1.0016347237014835</v>
      </c>
      <c r="L8" s="15">
        <f>AVERAGE(L3:L7)</f>
        <v>1</v>
      </c>
      <c r="AE8" s="36">
        <v>1362</v>
      </c>
    </row>
    <row r="9" spans="1:60" ht="15" x14ac:dyDescent="0.3">
      <c r="A9" s="10">
        <f>[1]ArdiData!A8</f>
        <v>6</v>
      </c>
      <c r="B9" s="37">
        <f ca="1">'0.ArdiData'!D8</f>
        <v>1438</v>
      </c>
      <c r="C9" s="36">
        <f t="shared" si="0"/>
        <v>1505</v>
      </c>
      <c r="D9" s="14">
        <f t="shared" si="5"/>
        <v>1684.6</v>
      </c>
      <c r="E9" s="12">
        <f t="shared" si="1"/>
        <v>1679.8425217974523</v>
      </c>
      <c r="F9" s="16">
        <f t="shared" si="2"/>
        <v>0.8959173139572818</v>
      </c>
      <c r="G9" s="16">
        <f t="shared" si="3"/>
        <v>1</v>
      </c>
      <c r="H9" s="13">
        <f t="shared" si="4"/>
        <v>1454.8345559610916</v>
      </c>
      <c r="AE9" s="36">
        <v>1505</v>
      </c>
    </row>
    <row r="10" spans="1:60" ht="15" x14ac:dyDescent="0.3">
      <c r="A10" s="10">
        <f>[1]ArdiData!A9</f>
        <v>7</v>
      </c>
      <c r="B10" s="37">
        <f ca="1">'0.ArdiData'!D9</f>
        <v>1862</v>
      </c>
      <c r="C10" s="36">
        <f t="shared" si="0"/>
        <v>1823</v>
      </c>
      <c r="D10" s="14">
        <f t="shared" si="5"/>
        <v>1755.2</v>
      </c>
      <c r="E10" s="12">
        <f t="shared" si="1"/>
        <v>1759.3314218645214</v>
      </c>
      <c r="F10" s="16">
        <f t="shared" si="2"/>
        <v>1.0361890757728884</v>
      </c>
      <c r="G10" s="16">
        <f t="shared" si="3"/>
        <v>2</v>
      </c>
      <c r="H10" s="13">
        <f t="shared" si="4"/>
        <v>1820.4006965695476</v>
      </c>
      <c r="AE10" s="36">
        <v>1823</v>
      </c>
    </row>
    <row r="11" spans="1:60" ht="15" x14ac:dyDescent="0.3">
      <c r="A11" s="10">
        <f>[1]ArdiData!A10</f>
        <v>8</v>
      </c>
      <c r="B11" s="37">
        <f ca="1">'0.ArdiData'!D10</f>
        <v>2150</v>
      </c>
      <c r="C11" s="36">
        <f t="shared" si="0"/>
        <v>2041</v>
      </c>
      <c r="D11" s="14">
        <f t="shared" si="5"/>
        <v>1838.8</v>
      </c>
      <c r="E11" s="12">
        <f t="shared" si="1"/>
        <v>1838.8203219315906</v>
      </c>
      <c r="F11" s="16">
        <f t="shared" si="2"/>
        <v>1.1099507524781049</v>
      </c>
      <c r="G11" s="16">
        <f t="shared" si="3"/>
        <v>3</v>
      </c>
      <c r="H11" s="13">
        <f t="shared" si="4"/>
        <v>2171.7994323393482</v>
      </c>
      <c r="AE11" s="36">
        <v>2041</v>
      </c>
    </row>
    <row r="12" spans="1:60" ht="15" x14ac:dyDescent="0.3">
      <c r="A12" s="10">
        <f>[1]ArdiData!A11</f>
        <v>9</v>
      </c>
      <c r="B12" s="37">
        <f ca="1">'0.ArdiData'!D11</f>
        <v>1967</v>
      </c>
      <c r="C12" s="36">
        <f t="shared" si="0"/>
        <v>2045</v>
      </c>
      <c r="D12" s="14">
        <f t="shared" si="5"/>
        <v>1911</v>
      </c>
      <c r="E12" s="12">
        <f t="shared" si="1"/>
        <v>1918.3092219986595</v>
      </c>
      <c r="F12" s="16">
        <f t="shared" si="2"/>
        <v>1.0660429385150654</v>
      </c>
      <c r="G12" s="16">
        <f t="shared" si="3"/>
        <v>4</v>
      </c>
      <c r="H12" s="13">
        <f t="shared" si="4"/>
        <v>1997.4720288442084</v>
      </c>
      <c r="AE12" s="36">
        <v>2045</v>
      </c>
    </row>
    <row r="13" spans="1:60" ht="15" x14ac:dyDescent="0.3">
      <c r="A13" s="10">
        <f>[1]ArdiData!A12</f>
        <v>10</v>
      </c>
      <c r="B13" s="37">
        <f ca="1">'0.ArdiData'!D12</f>
        <v>1611</v>
      </c>
      <c r="C13" s="36">
        <f t="shared" si="0"/>
        <v>1780</v>
      </c>
      <c r="D13" s="14">
        <f t="shared" si="5"/>
        <v>1962.2</v>
      </c>
      <c r="E13" s="12">
        <f t="shared" si="1"/>
        <v>1997.7981220657286</v>
      </c>
      <c r="F13" s="16">
        <f t="shared" si="2"/>
        <v>0.89098091560896808</v>
      </c>
      <c r="G13" s="16">
        <f t="shared" si="3"/>
        <v>5</v>
      </c>
      <c r="H13" s="13">
        <f t="shared" si="4"/>
        <v>1751.8377215408084</v>
      </c>
      <c r="AE13" s="36">
        <v>1780</v>
      </c>
    </row>
    <row r="14" spans="1:60" ht="15" x14ac:dyDescent="0.3">
      <c r="A14" s="10">
        <f>[1]ArdiData!A13</f>
        <v>11</v>
      </c>
      <c r="B14" s="37">
        <f ca="1">'0.ArdiData'!D13</f>
        <v>1628</v>
      </c>
      <c r="C14" s="36">
        <f t="shared" si="0"/>
        <v>1866</v>
      </c>
      <c r="D14" s="14">
        <f t="shared" si="5"/>
        <v>2149.4</v>
      </c>
      <c r="E14" s="12">
        <f t="shared" si="1"/>
        <v>2077.2870221327976</v>
      </c>
      <c r="F14" s="16">
        <f t="shared" si="2"/>
        <v>0.89828703502134988</v>
      </c>
      <c r="G14" s="16">
        <f t="shared" si="3"/>
        <v>1</v>
      </c>
      <c r="H14" s="13">
        <f t="shared" si="4"/>
        <v>1799.0430074448961</v>
      </c>
      <c r="AE14" s="36">
        <v>1866</v>
      </c>
    </row>
    <row r="15" spans="1:60" ht="15" x14ac:dyDescent="0.3">
      <c r="A15" s="10">
        <f>[1]ArdiData!A14</f>
        <v>12</v>
      </c>
      <c r="B15" s="37">
        <f ca="1">'0.ArdiData'!D14</f>
        <v>1859</v>
      </c>
      <c r="C15" s="36">
        <f t="shared" si="0"/>
        <v>2079</v>
      </c>
      <c r="D15" s="14">
        <f t="shared" si="5"/>
        <v>2200.4</v>
      </c>
      <c r="E15" s="12">
        <f t="shared" si="1"/>
        <v>2156.7759221998667</v>
      </c>
      <c r="F15" s="16">
        <f t="shared" si="2"/>
        <v>0.96393880263623455</v>
      </c>
      <c r="G15" s="16">
        <f t="shared" si="3"/>
        <v>2</v>
      </c>
      <c r="H15" s="13">
        <f t="shared" si="4"/>
        <v>2231.6411463600889</v>
      </c>
      <c r="AE15" s="36">
        <v>2079</v>
      </c>
    </row>
    <row r="16" spans="1:60" ht="15" x14ac:dyDescent="0.3">
      <c r="A16" s="10">
        <f>[1]ArdiData!A15</f>
        <v>13</v>
      </c>
      <c r="B16" s="37">
        <f ca="1">'0.ArdiData'!D15</f>
        <v>2706</v>
      </c>
      <c r="C16" s="36">
        <f t="shared" si="0"/>
        <v>2977</v>
      </c>
      <c r="D16" s="14">
        <f t="shared" si="5"/>
        <v>2253</v>
      </c>
      <c r="E16" s="12">
        <f t="shared" si="1"/>
        <v>2236.2648222669359</v>
      </c>
      <c r="F16" s="16">
        <f t="shared" si="2"/>
        <v>1.3312376827455388</v>
      </c>
      <c r="G16" s="16">
        <f t="shared" si="3"/>
        <v>3</v>
      </c>
      <c r="H16" s="13">
        <f t="shared" si="4"/>
        <v>2641.2143773014427</v>
      </c>
      <c r="AE16" s="36">
        <v>2977</v>
      </c>
    </row>
    <row r="17" spans="1:31" ht="15" x14ac:dyDescent="0.3">
      <c r="A17" s="10">
        <f>[1]ArdiData!A16</f>
        <v>14</v>
      </c>
      <c r="B17" s="37">
        <f ca="1">'0.ArdiData'!D16</f>
        <v>2099</v>
      </c>
      <c r="C17" s="36">
        <f t="shared" si="0"/>
        <v>2300</v>
      </c>
      <c r="D17" s="14">
        <f t="shared" si="5"/>
        <v>2301.4</v>
      </c>
      <c r="E17" s="12">
        <f t="shared" si="1"/>
        <v>2315.753722334005</v>
      </c>
      <c r="F17" s="16">
        <f t="shared" si="2"/>
        <v>0.99319715124191743</v>
      </c>
      <c r="G17" s="16">
        <f t="shared" si="3"/>
        <v>4</v>
      </c>
      <c r="H17" s="13">
        <f t="shared" si="4"/>
        <v>2411.3178589813738</v>
      </c>
      <c r="AE17" s="36">
        <v>2300</v>
      </c>
    </row>
    <row r="18" spans="1:31" ht="15" x14ac:dyDescent="0.3">
      <c r="A18" s="10">
        <f>[1]ArdiData!A17</f>
        <v>15</v>
      </c>
      <c r="B18" s="37">
        <f ca="1">'0.ArdiData'!D17</f>
        <v>1844</v>
      </c>
      <c r="C18" s="36">
        <f t="shared" si="0"/>
        <v>2043</v>
      </c>
      <c r="D18" s="14">
        <f t="shared" si="5"/>
        <v>2383.1999999999998</v>
      </c>
      <c r="E18" s="12">
        <f t="shared" si="1"/>
        <v>2395.2426224010742</v>
      </c>
      <c r="F18" s="16">
        <f t="shared" si="2"/>
        <v>0.85294073380842983</v>
      </c>
      <c r="G18" s="16">
        <f t="shared" si="3"/>
        <v>5</v>
      </c>
      <c r="H18" s="13">
        <f t="shared" si="4"/>
        <v>2100.3505468439298</v>
      </c>
      <c r="AE18" s="36">
        <v>2043</v>
      </c>
    </row>
    <row r="19" spans="1:31" ht="15" x14ac:dyDescent="0.3">
      <c r="A19" s="10">
        <f>[1]ArdiData!A18</f>
        <v>16</v>
      </c>
      <c r="B19" s="37">
        <f ca="1">'0.ArdiData'!D18</f>
        <v>1888</v>
      </c>
      <c r="C19" s="36">
        <f t="shared" si="0"/>
        <v>2108</v>
      </c>
      <c r="D19" s="14">
        <f t="shared" si="5"/>
        <v>2423</v>
      </c>
      <c r="E19" s="12">
        <f t="shared" si="1"/>
        <v>2474.7315224681433</v>
      </c>
      <c r="F19" s="16">
        <f t="shared" si="2"/>
        <v>0.85180957241681388</v>
      </c>
      <c r="G19" s="16">
        <f t="shared" si="3"/>
        <v>1</v>
      </c>
      <c r="H19" s="13">
        <f t="shared" si="4"/>
        <v>2143.2514589287011</v>
      </c>
      <c r="AE19" s="36">
        <v>2108</v>
      </c>
    </row>
    <row r="20" spans="1:31" ht="15" x14ac:dyDescent="0.3">
      <c r="A20" s="10">
        <f>[1]ArdiData!A19</f>
        <v>17</v>
      </c>
      <c r="B20" s="37">
        <f ca="1">'0.ArdiData'!D19</f>
        <v>2305</v>
      </c>
      <c r="C20" s="36">
        <f t="shared" si="0"/>
        <v>2488</v>
      </c>
      <c r="D20" s="14">
        <f t="shared" si="5"/>
        <v>2469.4</v>
      </c>
      <c r="E20" s="12">
        <f t="shared" si="1"/>
        <v>2554.2204225352125</v>
      </c>
      <c r="F20" s="16">
        <f t="shared" si="2"/>
        <v>0.9740741159412214</v>
      </c>
      <c r="G20" s="16">
        <f t="shared" si="3"/>
        <v>2</v>
      </c>
      <c r="H20" s="13">
        <f t="shared" si="4"/>
        <v>2642.8815961506307</v>
      </c>
      <c r="AE20" s="36">
        <v>2488</v>
      </c>
    </row>
    <row r="21" spans="1:31" ht="15" x14ac:dyDescent="0.3">
      <c r="A21" s="10">
        <f>[1]ArdiData!A20</f>
        <v>18</v>
      </c>
      <c r="B21" s="37">
        <f ca="1">'0.ArdiData'!D20</f>
        <v>2772</v>
      </c>
      <c r="C21" s="36">
        <f t="shared" si="0"/>
        <v>3176</v>
      </c>
      <c r="D21" s="14">
        <f t="shared" si="5"/>
        <v>2555.6</v>
      </c>
      <c r="E21" s="12">
        <f t="shared" si="1"/>
        <v>2633.7093226022812</v>
      </c>
      <c r="F21" s="16">
        <f t="shared" si="2"/>
        <v>1.205903769540482</v>
      </c>
      <c r="G21" s="16">
        <f t="shared" si="3"/>
        <v>3</v>
      </c>
      <c r="H21" s="13">
        <f t="shared" si="4"/>
        <v>3110.6293222635377</v>
      </c>
      <c r="AE21" s="36">
        <v>3176</v>
      </c>
    </row>
    <row r="22" spans="1:31" ht="15" x14ac:dyDescent="0.3">
      <c r="A22" s="10">
        <f>[1]ArdiData!A21</f>
        <v>19</v>
      </c>
      <c r="B22" s="37">
        <f ca="1">'0.ArdiData'!D21</f>
        <v>2704</v>
      </c>
      <c r="C22" s="36">
        <f t="shared" si="0"/>
        <v>2532</v>
      </c>
      <c r="D22" s="14">
        <f t="shared" si="5"/>
        <v>2653.2</v>
      </c>
      <c r="E22" s="12">
        <f t="shared" si="1"/>
        <v>2713.1982226693503</v>
      </c>
      <c r="F22" s="16">
        <f t="shared" si="2"/>
        <v>0.93321600273971861</v>
      </c>
      <c r="G22" s="16">
        <f t="shared" si="3"/>
        <v>4</v>
      </c>
      <c r="H22" s="13">
        <f t="shared" si="4"/>
        <v>2825.1636891185394</v>
      </c>
      <c r="AE22" s="36">
        <v>2532</v>
      </c>
    </row>
    <row r="23" spans="1:31" ht="15" x14ac:dyDescent="0.3">
      <c r="A23" s="10">
        <f>[1]ArdiData!A22</f>
        <v>20</v>
      </c>
      <c r="B23" s="37">
        <f ca="1">'0.ArdiData'!D22</f>
        <v>2314</v>
      </c>
      <c r="C23" s="36">
        <f t="shared" si="0"/>
        <v>2474</v>
      </c>
      <c r="D23" s="14">
        <f t="shared" si="5"/>
        <v>2763.4</v>
      </c>
      <c r="E23" s="12">
        <f t="shared" si="1"/>
        <v>2792.6871227364195</v>
      </c>
      <c r="F23" s="16">
        <f t="shared" si="2"/>
        <v>0.88588513187107287</v>
      </c>
      <c r="G23" s="16">
        <f t="shared" si="3"/>
        <v>5</v>
      </c>
      <c r="H23" s="13">
        <f t="shared" si="4"/>
        <v>2448.8633721470505</v>
      </c>
      <c r="AE23" s="36">
        <v>2474</v>
      </c>
    </row>
    <row r="24" spans="1:31" ht="15" x14ac:dyDescent="0.3">
      <c r="A24" s="10">
        <f>[1]ArdiData!A23</f>
        <v>21</v>
      </c>
      <c r="B24" s="37">
        <f ca="1">'0.ArdiData'!D23</f>
        <v>2256</v>
      </c>
      <c r="C24" s="36">
        <f t="shared" si="0"/>
        <v>2596</v>
      </c>
      <c r="D24" s="14">
        <f t="shared" si="5"/>
        <v>2863</v>
      </c>
      <c r="E24" s="12">
        <f t="shared" si="1"/>
        <v>2872.1760228034882</v>
      </c>
      <c r="F24" s="16">
        <f t="shared" si="2"/>
        <v>0.90384432548325611</v>
      </c>
      <c r="G24" s="16">
        <f t="shared" si="3"/>
        <v>1</v>
      </c>
      <c r="H24" s="13">
        <f t="shared" si="4"/>
        <v>2487.459910412505</v>
      </c>
      <c r="AE24" s="36">
        <v>2596</v>
      </c>
    </row>
    <row r="25" spans="1:31" ht="15" x14ac:dyDescent="0.3">
      <c r="A25" s="10">
        <f>[1]ArdiData!A24</f>
        <v>22</v>
      </c>
      <c r="B25" s="37">
        <f ca="1">'0.ArdiData'!D24</f>
        <v>2651</v>
      </c>
      <c r="C25" s="36">
        <f t="shared" si="0"/>
        <v>3039</v>
      </c>
      <c r="D25" s="14">
        <f t="shared" si="5"/>
        <v>3054.4</v>
      </c>
      <c r="E25" s="12">
        <f t="shared" si="1"/>
        <v>2951.6649228705573</v>
      </c>
      <c r="F25" s="16">
        <f t="shared" si="2"/>
        <v>1.0295884117647431</v>
      </c>
      <c r="G25" s="16">
        <f t="shared" si="3"/>
        <v>2</v>
      </c>
      <c r="H25" s="13">
        <f t="shared" si="4"/>
        <v>3054.1220459411716</v>
      </c>
      <c r="AE25" s="36">
        <v>3039</v>
      </c>
    </row>
    <row r="26" spans="1:31" ht="15" x14ac:dyDescent="0.3">
      <c r="A26" s="10">
        <f>[1]ArdiData!A25</f>
        <v>23</v>
      </c>
      <c r="B26" s="37">
        <f ca="1">'0.ArdiData'!D25</f>
        <v>2893</v>
      </c>
      <c r="C26" s="36">
        <f t="shared" si="0"/>
        <v>3674</v>
      </c>
      <c r="D26" s="14">
        <f t="shared" si="5"/>
        <v>3142.4</v>
      </c>
      <c r="E26" s="12">
        <f t="shared" si="1"/>
        <v>3031.1538229376265</v>
      </c>
      <c r="F26" s="16">
        <f t="shared" si="2"/>
        <v>1.2120796946026853</v>
      </c>
      <c r="G26" s="16">
        <f t="shared" si="3"/>
        <v>3</v>
      </c>
      <c r="H26" s="13">
        <f t="shared" si="4"/>
        <v>3580.0442672256322</v>
      </c>
      <c r="AE26" s="36">
        <v>3674</v>
      </c>
    </row>
    <row r="27" spans="1:31" ht="15" x14ac:dyDescent="0.3">
      <c r="A27" s="10">
        <f>[1]ArdiData!A26</f>
        <v>24</v>
      </c>
      <c r="B27" s="37">
        <f ca="1">'0.ArdiData'!D26</f>
        <v>2869</v>
      </c>
      <c r="C27" s="36">
        <f t="shared" si="0"/>
        <v>3489</v>
      </c>
      <c r="D27" s="14">
        <f t="shared" si="5"/>
        <v>3167.8</v>
      </c>
      <c r="E27" s="12">
        <f t="shared" si="1"/>
        <v>3110.6427230046957</v>
      </c>
      <c r="F27" s="16">
        <f t="shared" si="2"/>
        <v>1.1216331513089468</v>
      </c>
      <c r="G27" s="16">
        <f t="shared" si="3"/>
        <v>4</v>
      </c>
      <c r="H27" s="13">
        <f t="shared" si="4"/>
        <v>3239.0095192557046</v>
      </c>
      <c r="AE27" s="36">
        <v>3489</v>
      </c>
    </row>
    <row r="28" spans="1:31" ht="15" x14ac:dyDescent="0.3">
      <c r="A28" s="10">
        <f>[1]ArdiData!A27</f>
        <v>25</v>
      </c>
      <c r="B28" s="37">
        <f ca="1">'0.ArdiData'!D27</f>
        <v>2669</v>
      </c>
      <c r="C28" s="36">
        <f t="shared" si="0"/>
        <v>2914</v>
      </c>
      <c r="D28" s="14">
        <f t="shared" si="5"/>
        <v>3248</v>
      </c>
      <c r="E28" s="12">
        <f t="shared" si="1"/>
        <v>3190.1316230717648</v>
      </c>
      <c r="F28" s="16">
        <f t="shared" si="2"/>
        <v>0.91344193415885488</v>
      </c>
      <c r="G28" s="16">
        <f t="shared" si="3"/>
        <v>5</v>
      </c>
      <c r="H28" s="13">
        <f t="shared" si="4"/>
        <v>2797.3761974501717</v>
      </c>
      <c r="AE28" s="36">
        <v>2914</v>
      </c>
    </row>
    <row r="29" spans="1:31" ht="15" x14ac:dyDescent="0.3">
      <c r="A29" s="10">
        <f>[1]ArdiData!A28</f>
        <v>26</v>
      </c>
      <c r="B29" s="37">
        <f ca="1">'0.ArdiData'!D28</f>
        <v>2571</v>
      </c>
      <c r="C29" s="36">
        <f t="shared" si="0"/>
        <v>2723</v>
      </c>
      <c r="D29" s="14">
        <f t="shared" si="5"/>
        <v>3330.2</v>
      </c>
      <c r="E29" s="12">
        <f t="shared" si="1"/>
        <v>3269.620523138834</v>
      </c>
      <c r="F29" s="16">
        <f t="shared" si="2"/>
        <v>0.83281835941802851</v>
      </c>
      <c r="G29" s="16">
        <f t="shared" si="3"/>
        <v>1</v>
      </c>
      <c r="H29" s="13">
        <f t="shared" si="4"/>
        <v>2831.6683618963098</v>
      </c>
      <c r="AE29" s="36">
        <v>2723</v>
      </c>
    </row>
    <row r="30" spans="1:31" ht="15" x14ac:dyDescent="0.3">
      <c r="A30" s="10">
        <f>[1]ArdiData!A29</f>
        <v>27</v>
      </c>
      <c r="B30" s="37">
        <f ca="1">'0.ArdiData'!D29</f>
        <v>3026</v>
      </c>
      <c r="C30" s="36">
        <f t="shared" si="0"/>
        <v>3440</v>
      </c>
      <c r="D30" s="14">
        <f t="shared" si="5"/>
        <v>3354</v>
      </c>
      <c r="E30" s="12">
        <f t="shared" si="1"/>
        <v>3349.1094232059031</v>
      </c>
      <c r="F30" s="16">
        <f t="shared" si="2"/>
        <v>1.0271387301245871</v>
      </c>
      <c r="G30" s="16">
        <f t="shared" si="3"/>
        <v>2</v>
      </c>
      <c r="H30" s="13">
        <f t="shared" si="4"/>
        <v>3465.3624957317134</v>
      </c>
      <c r="AE30" s="36">
        <v>3440</v>
      </c>
    </row>
    <row r="31" spans="1:31" ht="15" x14ac:dyDescent="0.3">
      <c r="A31" s="10">
        <f>[1]ArdiData!A30</f>
        <v>28</v>
      </c>
      <c r="B31" s="37">
        <f ca="1">'0.ArdiData'!D30</f>
        <v>3542</v>
      </c>
      <c r="C31" s="36">
        <f t="shared" si="0"/>
        <v>4085</v>
      </c>
      <c r="D31" s="14">
        <f t="shared" si="5"/>
        <v>3382.6</v>
      </c>
      <c r="E31" s="12">
        <f t="shared" si="1"/>
        <v>3428.5983232729723</v>
      </c>
      <c r="F31" s="16">
        <f t="shared" si="2"/>
        <v>1.1914489872643992</v>
      </c>
      <c r="G31" s="16">
        <f t="shared" si="3"/>
        <v>3</v>
      </c>
      <c r="H31" s="13">
        <f t="shared" si="4"/>
        <v>4049.4592121877272</v>
      </c>
      <c r="AE31" s="36">
        <v>4085</v>
      </c>
    </row>
    <row r="32" spans="1:31" ht="15" x14ac:dyDescent="0.3">
      <c r="A32" s="10">
        <f>[1]ArdiData!A31</f>
        <v>29</v>
      </c>
      <c r="B32" s="37">
        <f ca="1">'0.ArdiData'!D31</f>
        <v>3124</v>
      </c>
      <c r="C32" s="36">
        <f t="shared" si="0"/>
        <v>3608</v>
      </c>
      <c r="D32" s="14">
        <f t="shared" si="5"/>
        <v>3468.4</v>
      </c>
      <c r="E32" s="12">
        <f t="shared" si="1"/>
        <v>3508.087223340041</v>
      </c>
      <c r="F32" s="16">
        <f t="shared" si="2"/>
        <v>1.0284806991101072</v>
      </c>
      <c r="G32" s="16">
        <f t="shared" si="3"/>
        <v>4</v>
      </c>
      <c r="H32" s="13">
        <f t="shared" si="4"/>
        <v>3652.8553493928698</v>
      </c>
      <c r="AE32" s="36">
        <v>3608</v>
      </c>
    </row>
    <row r="33" spans="1:31" ht="15" x14ac:dyDescent="0.3">
      <c r="A33" s="10">
        <f>[1]ArdiData!A32</f>
        <v>30</v>
      </c>
      <c r="B33" s="37">
        <f ca="1">'0.ArdiData'!D32</f>
        <v>2769</v>
      </c>
      <c r="C33" s="36">
        <f t="shared" si="0"/>
        <v>3057</v>
      </c>
      <c r="D33" s="14">
        <f t="shared" si="5"/>
        <v>3608</v>
      </c>
      <c r="E33" s="12">
        <f t="shared" si="1"/>
        <v>3587.5761234071101</v>
      </c>
      <c r="F33" s="16">
        <f t="shared" si="2"/>
        <v>0.85210735461601195</v>
      </c>
      <c r="G33" s="16">
        <f t="shared" si="3"/>
        <v>5</v>
      </c>
      <c r="H33" s="13">
        <f t="shared" si="4"/>
        <v>3145.8890227532925</v>
      </c>
      <c r="AE33" s="36">
        <v>3057</v>
      </c>
    </row>
    <row r="34" spans="1:31" ht="15" x14ac:dyDescent="0.3">
      <c r="A34" s="10">
        <f>[1]ArdiData!A33</f>
        <v>31</v>
      </c>
      <c r="B34" s="37">
        <f ca="1">'0.ArdiData'!D33</f>
        <v>2942</v>
      </c>
      <c r="C34" s="36">
        <f t="shared" si="0"/>
        <v>3152</v>
      </c>
      <c r="D34" s="14">
        <f t="shared" si="5"/>
        <v>3704.8</v>
      </c>
      <c r="E34" s="12">
        <f t="shared" si="1"/>
        <v>3667.0650234741793</v>
      </c>
      <c r="F34" s="16">
        <f t="shared" si="2"/>
        <v>0.85954298050973577</v>
      </c>
      <c r="G34" s="16">
        <f t="shared" si="3"/>
        <v>1</v>
      </c>
      <c r="H34" s="13">
        <f t="shared" si="4"/>
        <v>3175.8768133801141</v>
      </c>
      <c r="AE34" s="36">
        <v>3152</v>
      </c>
    </row>
    <row r="35" spans="1:31" ht="15" x14ac:dyDescent="0.3">
      <c r="A35" s="10">
        <f>[1]ArdiData!A34</f>
        <v>32</v>
      </c>
      <c r="B35" s="37">
        <f ca="1">'0.ArdiData'!D34</f>
        <v>3144</v>
      </c>
      <c r="C35" s="36">
        <f t="shared" si="0"/>
        <v>4138</v>
      </c>
      <c r="D35" s="14">
        <f t="shared" si="5"/>
        <v>3758.2</v>
      </c>
      <c r="E35" s="12">
        <f t="shared" si="1"/>
        <v>3746.5539235412484</v>
      </c>
      <c r="F35" s="16">
        <f t="shared" si="2"/>
        <v>1.1044816341756416</v>
      </c>
      <c r="G35" s="16">
        <f t="shared" si="3"/>
        <v>2</v>
      </c>
      <c r="H35" s="13">
        <f t="shared" si="4"/>
        <v>3876.6029455222542</v>
      </c>
      <c r="AE35" s="36">
        <v>4138</v>
      </c>
    </row>
    <row r="36" spans="1:31" ht="15" x14ac:dyDescent="0.3">
      <c r="A36" s="10">
        <f>[1]ArdiData!A35</f>
        <v>33</v>
      </c>
      <c r="B36" s="37">
        <f ca="1">'0.ArdiData'!D35</f>
        <v>3890</v>
      </c>
      <c r="C36" s="36">
        <f t="shared" ref="C36:C67" si="6">AE36</f>
        <v>4569</v>
      </c>
      <c r="D36" s="14">
        <f t="shared" si="5"/>
        <v>3836</v>
      </c>
      <c r="E36" s="12">
        <f t="shared" ref="E36:E67" si="7">$E$2+$F$2*A36</f>
        <v>3826.0428236083176</v>
      </c>
      <c r="F36" s="16">
        <f t="shared" ref="F36:F67" si="8">C36/E36</f>
        <v>1.1941842291485394</v>
      </c>
      <c r="G36" s="16">
        <f t="shared" ref="G36:G67" si="9">IF(MOD(A36,5)&lt;&gt;0,MOD(A36,5),5)</f>
        <v>3</v>
      </c>
      <c r="H36" s="13">
        <f t="shared" ref="H36:H67" si="10">VLOOKUP(G36,$J$3:$L$7,3)*E36</f>
        <v>4518.8741571498222</v>
      </c>
      <c r="AE36" s="36">
        <v>4569</v>
      </c>
    </row>
    <row r="37" spans="1:31" ht="15" x14ac:dyDescent="0.3">
      <c r="A37" s="10">
        <f>[1]ArdiData!A36</f>
        <v>34</v>
      </c>
      <c r="B37" s="37">
        <f ca="1">'0.ArdiData'!D36</f>
        <v>3854</v>
      </c>
      <c r="C37" s="36">
        <f t="shared" si="6"/>
        <v>3875</v>
      </c>
      <c r="D37" s="14">
        <f t="shared" si="5"/>
        <v>3879.8</v>
      </c>
      <c r="E37" s="12">
        <f t="shared" si="7"/>
        <v>3905.5317236753867</v>
      </c>
      <c r="F37" s="16">
        <f t="shared" si="8"/>
        <v>0.99218244125625632</v>
      </c>
      <c r="G37" s="16">
        <f t="shared" si="9"/>
        <v>4</v>
      </c>
      <c r="H37" s="13">
        <f t="shared" si="10"/>
        <v>4066.7011795300355</v>
      </c>
      <c r="AE37" s="36">
        <v>3875</v>
      </c>
    </row>
    <row r="38" spans="1:31" ht="15" x14ac:dyDescent="0.3">
      <c r="A38" s="10">
        <f>[1]ArdiData!A37</f>
        <v>35</v>
      </c>
      <c r="B38" s="37">
        <f ca="1">'0.ArdiData'!D37</f>
        <v>3284</v>
      </c>
      <c r="C38" s="36">
        <f t="shared" si="6"/>
        <v>3446</v>
      </c>
      <c r="D38" s="14">
        <f t="shared" ref="D38:D69" si="11">AVERAGE(C36:C40)</f>
        <v>3841.8</v>
      </c>
      <c r="E38" s="12">
        <f t="shared" si="7"/>
        <v>3985.0206237424559</v>
      </c>
      <c r="F38" s="16">
        <f t="shared" si="8"/>
        <v>0.86473831012792979</v>
      </c>
      <c r="G38" s="16">
        <f t="shared" si="9"/>
        <v>5</v>
      </c>
      <c r="H38" s="13">
        <f t="shared" si="10"/>
        <v>3494.4018480564141</v>
      </c>
      <c r="AE38" s="36">
        <v>3446</v>
      </c>
    </row>
    <row r="39" spans="1:31" ht="15" x14ac:dyDescent="0.3">
      <c r="A39" s="10">
        <f>[1]ArdiData!A38</f>
        <v>36</v>
      </c>
      <c r="B39" s="37">
        <f ca="1">'0.ArdiData'!D38</f>
        <v>3362</v>
      </c>
      <c r="C39" s="36">
        <f t="shared" si="6"/>
        <v>3371</v>
      </c>
      <c r="D39" s="14">
        <f t="shared" si="11"/>
        <v>3914.4</v>
      </c>
      <c r="E39" s="12">
        <f t="shared" si="7"/>
        <v>4064.5095238095246</v>
      </c>
      <c r="F39" s="16">
        <f t="shared" si="8"/>
        <v>0.82937436368471784</v>
      </c>
      <c r="G39" s="16">
        <f t="shared" si="9"/>
        <v>1</v>
      </c>
      <c r="H39" s="13">
        <f t="shared" si="10"/>
        <v>3520.0852648639188</v>
      </c>
      <c r="AE39" s="36">
        <v>3371</v>
      </c>
    </row>
    <row r="40" spans="1:31" ht="15" x14ac:dyDescent="0.3">
      <c r="A40" s="10">
        <f>[1]ArdiData!A39</f>
        <v>37</v>
      </c>
      <c r="B40" s="37">
        <f ca="1">'0.ArdiData'!D39</f>
        <v>3460</v>
      </c>
      <c r="C40" s="36">
        <f t="shared" si="6"/>
        <v>3948</v>
      </c>
      <c r="D40" s="14">
        <f t="shared" si="11"/>
        <v>4047.6</v>
      </c>
      <c r="E40" s="12">
        <f t="shared" si="7"/>
        <v>4143.9984238765937</v>
      </c>
      <c r="F40" s="16">
        <f t="shared" si="8"/>
        <v>0.95270306505250968</v>
      </c>
      <c r="G40" s="16">
        <f t="shared" si="9"/>
        <v>2</v>
      </c>
      <c r="H40" s="13">
        <f t="shared" si="10"/>
        <v>4287.843395312796</v>
      </c>
      <c r="AE40" s="36">
        <v>3948</v>
      </c>
    </row>
    <row r="41" spans="1:31" ht="15" x14ac:dyDescent="0.3">
      <c r="A41" s="10">
        <f>[1]ArdiData!A40</f>
        <v>38</v>
      </c>
      <c r="B41" s="37">
        <f ca="1">'0.ArdiData'!D40</f>
        <v>4002</v>
      </c>
      <c r="C41" s="36">
        <f t="shared" si="6"/>
        <v>4932</v>
      </c>
      <c r="D41" s="14">
        <f t="shared" si="11"/>
        <v>4123.3999999999996</v>
      </c>
      <c r="E41" s="12">
        <f t="shared" si="7"/>
        <v>4223.4873239436629</v>
      </c>
      <c r="F41" s="16">
        <f t="shared" si="8"/>
        <v>1.1677553693696816</v>
      </c>
      <c r="G41" s="16">
        <f t="shared" si="9"/>
        <v>3</v>
      </c>
      <c r="H41" s="13">
        <f t="shared" si="10"/>
        <v>4988.2891021119167</v>
      </c>
      <c r="AE41" s="36">
        <v>4932</v>
      </c>
    </row>
    <row r="42" spans="1:31" ht="15" x14ac:dyDescent="0.3">
      <c r="A42" s="10">
        <f>[1]ArdiData!A41</f>
        <v>39</v>
      </c>
      <c r="B42" s="37">
        <f ca="1">'0.ArdiData'!D41</f>
        <v>4174</v>
      </c>
      <c r="C42" s="36">
        <f t="shared" si="6"/>
        <v>4541</v>
      </c>
      <c r="D42" s="14">
        <f t="shared" si="11"/>
        <v>4199.6000000000004</v>
      </c>
      <c r="E42" s="12">
        <f t="shared" si="7"/>
        <v>4302.976224010732</v>
      </c>
      <c r="F42" s="16">
        <f t="shared" si="8"/>
        <v>1.0553160797545402</v>
      </c>
      <c r="G42" s="16">
        <f t="shared" si="9"/>
        <v>4</v>
      </c>
      <c r="H42" s="13">
        <f t="shared" si="10"/>
        <v>4480.5470096672007</v>
      </c>
      <c r="AE42" s="36">
        <v>4541</v>
      </c>
    </row>
    <row r="43" spans="1:31" ht="15" x14ac:dyDescent="0.3">
      <c r="A43" s="10">
        <f>[1]ArdiData!A42</f>
        <v>40</v>
      </c>
      <c r="B43" s="37">
        <f ca="1">'0.ArdiData'!D42</f>
        <v>3283</v>
      </c>
      <c r="C43" s="36">
        <f t="shared" si="6"/>
        <v>3825</v>
      </c>
      <c r="D43" s="14">
        <f t="shared" si="11"/>
        <v>4346.8</v>
      </c>
      <c r="E43" s="12">
        <f t="shared" si="7"/>
        <v>4382.4651240778012</v>
      </c>
      <c r="F43" s="16">
        <f t="shared" si="8"/>
        <v>0.87279644941952428</v>
      </c>
      <c r="G43" s="16">
        <f t="shared" si="9"/>
        <v>5</v>
      </c>
      <c r="H43" s="13">
        <f t="shared" si="10"/>
        <v>3842.9146733595348</v>
      </c>
      <c r="AE43" s="36">
        <v>3825</v>
      </c>
    </row>
    <row r="44" spans="1:31" ht="15" x14ac:dyDescent="0.3">
      <c r="A44" s="10">
        <f>[1]ArdiData!A43</f>
        <v>41</v>
      </c>
      <c r="B44" s="37">
        <f ca="1">'0.ArdiData'!D43</f>
        <v>3284</v>
      </c>
      <c r="C44" s="36">
        <f t="shared" si="6"/>
        <v>3752</v>
      </c>
      <c r="D44" s="14">
        <f t="shared" si="11"/>
        <v>4453.2</v>
      </c>
      <c r="E44" s="12">
        <f t="shared" si="7"/>
        <v>4461.9540241448703</v>
      </c>
      <c r="F44" s="16">
        <f t="shared" si="8"/>
        <v>0.84088719419718083</v>
      </c>
      <c r="G44" s="16">
        <f t="shared" si="9"/>
        <v>1</v>
      </c>
      <c r="H44" s="13">
        <f t="shared" si="10"/>
        <v>3864.2937163477236</v>
      </c>
      <c r="AE44" s="36">
        <v>3752</v>
      </c>
    </row>
    <row r="45" spans="1:31" ht="15" x14ac:dyDescent="0.3">
      <c r="A45" s="10">
        <f>[1]ArdiData!A44</f>
        <v>42</v>
      </c>
      <c r="B45" s="37">
        <f ca="1">'0.ArdiData'!D44</f>
        <v>4488</v>
      </c>
      <c r="C45" s="36">
        <f t="shared" si="6"/>
        <v>4684</v>
      </c>
      <c r="D45" s="14">
        <f t="shared" si="11"/>
        <v>4507.6000000000004</v>
      </c>
      <c r="E45" s="12">
        <f t="shared" si="7"/>
        <v>4541.4429242119386</v>
      </c>
      <c r="F45" s="16">
        <f t="shared" si="8"/>
        <v>1.0313902603571306</v>
      </c>
      <c r="G45" s="16">
        <f t="shared" si="9"/>
        <v>2</v>
      </c>
      <c r="H45" s="13">
        <f t="shared" si="10"/>
        <v>4699.0838451033369</v>
      </c>
      <c r="AE45" s="36">
        <v>4684</v>
      </c>
    </row>
    <row r="46" spans="1:31" ht="15" x14ac:dyDescent="0.3">
      <c r="A46" s="10">
        <f>[1]ArdiData!A45</f>
        <v>43</v>
      </c>
      <c r="B46" s="37">
        <f ca="1">'0.ArdiData'!D45</f>
        <v>5225</v>
      </c>
      <c r="C46" s="36">
        <f t="shared" si="6"/>
        <v>5464</v>
      </c>
      <c r="D46" s="14">
        <f t="shared" si="11"/>
        <v>4592.8</v>
      </c>
      <c r="E46" s="12">
        <f t="shared" si="7"/>
        <v>4620.9318242790087</v>
      </c>
      <c r="F46" s="16">
        <f t="shared" si="8"/>
        <v>1.1824454910352487</v>
      </c>
      <c r="G46" s="16">
        <f t="shared" si="9"/>
        <v>3</v>
      </c>
      <c r="H46" s="13">
        <f t="shared" si="10"/>
        <v>5457.7040470740121</v>
      </c>
      <c r="AE46" s="36">
        <v>5464</v>
      </c>
    </row>
    <row r="47" spans="1:31" ht="15" x14ac:dyDescent="0.3">
      <c r="A47" s="10">
        <f>[1]ArdiData!A46</f>
        <v>44</v>
      </c>
      <c r="B47" s="37">
        <f ca="1">'0.ArdiData'!D46</f>
        <v>4125</v>
      </c>
      <c r="C47" s="36">
        <f t="shared" si="6"/>
        <v>4813</v>
      </c>
      <c r="D47" s="14">
        <f t="shared" si="11"/>
        <v>4684.2</v>
      </c>
      <c r="E47" s="12">
        <f t="shared" si="7"/>
        <v>4700.4207243460769</v>
      </c>
      <c r="F47" s="16">
        <f t="shared" si="8"/>
        <v>1.023950893389354</v>
      </c>
      <c r="G47" s="16">
        <f t="shared" si="9"/>
        <v>4</v>
      </c>
      <c r="H47" s="13">
        <f t="shared" si="10"/>
        <v>4894.3928398043654</v>
      </c>
      <c r="AE47" s="36">
        <v>4813</v>
      </c>
    </row>
    <row r="48" spans="1:31" ht="15" x14ac:dyDescent="0.3">
      <c r="A48" s="10">
        <f>[1]ArdiData!A47</f>
        <v>45</v>
      </c>
      <c r="B48" s="37">
        <f ca="1">'0.ArdiData'!D47</f>
        <v>3687</v>
      </c>
      <c r="C48" s="36">
        <f t="shared" si="6"/>
        <v>4251</v>
      </c>
      <c r="D48" s="14">
        <f t="shared" si="11"/>
        <v>4740</v>
      </c>
      <c r="E48" s="12">
        <f t="shared" si="7"/>
        <v>4779.909624413147</v>
      </c>
      <c r="F48" s="16">
        <f t="shared" si="8"/>
        <v>0.88934735884716987</v>
      </c>
      <c r="G48" s="16">
        <f t="shared" si="9"/>
        <v>5</v>
      </c>
      <c r="H48" s="13">
        <f t="shared" si="10"/>
        <v>4191.427498662656</v>
      </c>
      <c r="AE48" s="36">
        <v>4251</v>
      </c>
    </row>
    <row r="49" spans="1:31" ht="15" x14ac:dyDescent="0.3">
      <c r="A49" s="10">
        <f>[1]ArdiData!A48</f>
        <v>46</v>
      </c>
      <c r="B49" s="37">
        <f ca="1">'0.ArdiData'!D48</f>
        <v>3941</v>
      </c>
      <c r="C49" s="36">
        <f t="shared" si="6"/>
        <v>4209</v>
      </c>
      <c r="D49" s="14">
        <f t="shared" si="11"/>
        <v>4915.2</v>
      </c>
      <c r="E49" s="12">
        <f t="shared" si="7"/>
        <v>4859.3985244802152</v>
      </c>
      <c r="F49" s="16">
        <f t="shared" si="8"/>
        <v>0.86615657859636341</v>
      </c>
      <c r="G49" s="16">
        <f t="shared" si="9"/>
        <v>1</v>
      </c>
      <c r="H49" s="13">
        <f t="shared" si="10"/>
        <v>4208.5021678315279</v>
      </c>
      <c r="AE49" s="36">
        <v>4209</v>
      </c>
    </row>
    <row r="50" spans="1:31" ht="15" x14ac:dyDescent="0.3">
      <c r="A50" s="10">
        <f>[1]ArdiData!A49</f>
        <v>47</v>
      </c>
      <c r="B50" s="37">
        <f ca="1">'0.ArdiData'!D49</f>
        <v>4075</v>
      </c>
      <c r="C50" s="36">
        <f t="shared" si="6"/>
        <v>4963</v>
      </c>
      <c r="D50" s="14">
        <f t="shared" si="11"/>
        <v>5088.2</v>
      </c>
      <c r="E50" s="12">
        <f t="shared" si="7"/>
        <v>4938.8874245472853</v>
      </c>
      <c r="F50" s="16">
        <f t="shared" si="8"/>
        <v>1.0048821877034229</v>
      </c>
      <c r="G50" s="16">
        <f t="shared" si="9"/>
        <v>2</v>
      </c>
      <c r="H50" s="13">
        <f t="shared" si="10"/>
        <v>5110.3242948938796</v>
      </c>
      <c r="AE50" s="36">
        <v>4963</v>
      </c>
    </row>
    <row r="51" spans="1:31" ht="15" x14ac:dyDescent="0.3">
      <c r="A51" s="10">
        <f>[1]ArdiData!A50</f>
        <v>48</v>
      </c>
      <c r="B51" s="37">
        <f ca="1">'0.ArdiData'!D50</f>
        <v>5914</v>
      </c>
      <c r="C51" s="36">
        <f t="shared" si="6"/>
        <v>6340</v>
      </c>
      <c r="D51" s="14">
        <f t="shared" si="11"/>
        <v>5134.6000000000004</v>
      </c>
      <c r="E51" s="12">
        <f t="shared" si="7"/>
        <v>5018.3763246143535</v>
      </c>
      <c r="F51" s="16">
        <f t="shared" si="8"/>
        <v>1.2633568289614487</v>
      </c>
      <c r="G51" s="16">
        <f t="shared" si="9"/>
        <v>3</v>
      </c>
      <c r="H51" s="13">
        <f t="shared" si="10"/>
        <v>5927.1189920361057</v>
      </c>
      <c r="AE51" s="36">
        <v>6340</v>
      </c>
    </row>
    <row r="52" spans="1:31" ht="15" x14ac:dyDescent="0.3">
      <c r="A52" s="10">
        <f>[1]ArdiData!A51</f>
        <v>49</v>
      </c>
      <c r="B52" s="37">
        <f ca="1">'0.ArdiData'!D51</f>
        <v>5092</v>
      </c>
      <c r="C52" s="36">
        <f t="shared" si="6"/>
        <v>5678</v>
      </c>
      <c r="D52" s="14">
        <f t="shared" si="11"/>
        <v>5252.4</v>
      </c>
      <c r="E52" s="12">
        <f t="shared" si="7"/>
        <v>5097.8652246814227</v>
      </c>
      <c r="F52" s="16">
        <f t="shared" si="8"/>
        <v>1.1137995513317698</v>
      </c>
      <c r="G52" s="16">
        <f t="shared" si="9"/>
        <v>4</v>
      </c>
      <c r="H52" s="13">
        <f t="shared" si="10"/>
        <v>5308.238669941531</v>
      </c>
      <c r="AE52" s="36">
        <v>5678</v>
      </c>
    </row>
    <row r="53" spans="1:31" ht="15" x14ac:dyDescent="0.3">
      <c r="A53" s="10">
        <f>[1]ArdiData!A52</f>
        <v>50</v>
      </c>
      <c r="B53" s="37">
        <f ca="1">'0.ArdiData'!D52</f>
        <v>3876</v>
      </c>
      <c r="C53" s="36">
        <f t="shared" si="6"/>
        <v>4483</v>
      </c>
      <c r="D53" s="14">
        <f t="shared" si="11"/>
        <v>5355.6</v>
      </c>
      <c r="E53" s="12">
        <f t="shared" si="7"/>
        <v>5177.3541247484918</v>
      </c>
      <c r="F53" s="16">
        <f t="shared" si="8"/>
        <v>0.86588629867341316</v>
      </c>
      <c r="G53" s="16">
        <f t="shared" si="9"/>
        <v>5</v>
      </c>
      <c r="H53" s="13">
        <f t="shared" si="10"/>
        <v>4539.9403239657768</v>
      </c>
      <c r="AE53" s="36">
        <v>4483</v>
      </c>
    </row>
    <row r="54" spans="1:31" ht="15" x14ac:dyDescent="0.3">
      <c r="A54" s="10">
        <f>[1]ArdiData!A53</f>
        <v>51</v>
      </c>
      <c r="B54" s="37">
        <f ca="1">'0.ArdiData'!D53</f>
        <v>4234</v>
      </c>
      <c r="C54" s="36">
        <f t="shared" si="6"/>
        <v>4798</v>
      </c>
      <c r="D54" s="14">
        <f t="shared" si="11"/>
        <v>5210.8</v>
      </c>
      <c r="E54" s="12">
        <f t="shared" si="7"/>
        <v>5256.843024815561</v>
      </c>
      <c r="F54" s="16">
        <f t="shared" si="8"/>
        <v>0.91271509865340528</v>
      </c>
      <c r="G54" s="16">
        <f t="shared" si="9"/>
        <v>1</v>
      </c>
      <c r="H54" s="13">
        <f t="shared" si="10"/>
        <v>4552.7106193153322</v>
      </c>
      <c r="AE54" s="36">
        <v>4798</v>
      </c>
    </row>
    <row r="55" spans="1:31" ht="15" x14ac:dyDescent="0.3">
      <c r="A55" s="10">
        <f>[1]ArdiData!A54</f>
        <v>52</v>
      </c>
      <c r="B55" s="37">
        <f ca="1">'0.ArdiData'!D54</f>
        <v>5174</v>
      </c>
      <c r="C55" s="36">
        <f t="shared" si="6"/>
        <v>5479</v>
      </c>
      <c r="D55" s="14">
        <f t="shared" si="11"/>
        <v>5227.6000000000004</v>
      </c>
      <c r="E55" s="12">
        <f t="shared" si="7"/>
        <v>5336.3319248826301</v>
      </c>
      <c r="F55" s="16">
        <f t="shared" si="8"/>
        <v>1.0267352325765433</v>
      </c>
      <c r="G55" s="16">
        <f t="shared" si="9"/>
        <v>2</v>
      </c>
      <c r="H55" s="13">
        <f t="shared" si="10"/>
        <v>5521.5647446844205</v>
      </c>
      <c r="AE55" s="36">
        <v>5479</v>
      </c>
    </row>
    <row r="56" spans="1:31" ht="15" x14ac:dyDescent="0.3">
      <c r="A56" s="10">
        <f>[1]ArdiData!A55</f>
        <v>53</v>
      </c>
      <c r="B56" s="37">
        <f ca="1">'0.ArdiData'!D55</f>
        <v>5621</v>
      </c>
      <c r="C56" s="36">
        <f t="shared" si="6"/>
        <v>5616</v>
      </c>
      <c r="D56" s="14">
        <f t="shared" si="11"/>
        <v>5279</v>
      </c>
      <c r="E56" s="12">
        <f t="shared" si="7"/>
        <v>5415.8208249496993</v>
      </c>
      <c r="F56" s="16">
        <f t="shared" si="8"/>
        <v>1.0369619271982027</v>
      </c>
      <c r="G56" s="16">
        <f t="shared" si="9"/>
        <v>3</v>
      </c>
      <c r="H56" s="13">
        <f t="shared" si="10"/>
        <v>6396.5339369982012</v>
      </c>
      <c r="AE56" s="36">
        <v>5616</v>
      </c>
    </row>
    <row r="57" spans="1:31" ht="15" x14ac:dyDescent="0.3">
      <c r="A57" s="10">
        <f>[1]ArdiData!A56</f>
        <v>54</v>
      </c>
      <c r="B57" s="37">
        <f ca="1">'0.ArdiData'!D56</f>
        <v>4724</v>
      </c>
      <c r="C57" s="36">
        <f t="shared" si="6"/>
        <v>5762</v>
      </c>
      <c r="D57" s="14">
        <f t="shared" si="11"/>
        <v>5357.2</v>
      </c>
      <c r="E57" s="12">
        <f t="shared" si="7"/>
        <v>5495.3097250167684</v>
      </c>
      <c r="F57" s="16">
        <f t="shared" si="8"/>
        <v>1.0485305266360427</v>
      </c>
      <c r="G57" s="16">
        <f t="shared" si="9"/>
        <v>4</v>
      </c>
      <c r="H57" s="13">
        <f t="shared" si="10"/>
        <v>5722.0845000786967</v>
      </c>
      <c r="AE57" s="36">
        <v>5762</v>
      </c>
    </row>
    <row r="58" spans="1:31" ht="15" x14ac:dyDescent="0.3">
      <c r="A58" s="10">
        <f>[1]ArdiData!A57</f>
        <v>55</v>
      </c>
      <c r="B58" s="37">
        <f ca="1">'0.ArdiData'!D57</f>
        <v>4508</v>
      </c>
      <c r="C58" s="36">
        <f t="shared" si="6"/>
        <v>4740</v>
      </c>
      <c r="D58" s="14">
        <f t="shared" si="11"/>
        <v>5538</v>
      </c>
      <c r="E58" s="12">
        <f t="shared" si="7"/>
        <v>5574.7986250838376</v>
      </c>
      <c r="F58" s="16">
        <f t="shared" si="8"/>
        <v>0.85025492735689923</v>
      </c>
      <c r="G58" s="16">
        <f t="shared" si="9"/>
        <v>5</v>
      </c>
      <c r="H58" s="13">
        <f t="shared" si="10"/>
        <v>4888.4531492688984</v>
      </c>
      <c r="AE58" s="36">
        <v>4740</v>
      </c>
    </row>
    <row r="59" spans="1:31" ht="15" x14ac:dyDescent="0.3">
      <c r="A59" s="10">
        <f>[1]ArdiData!A58</f>
        <v>56</v>
      </c>
      <c r="B59" s="37">
        <f ca="1">'0.ArdiData'!D58</f>
        <v>4620</v>
      </c>
      <c r="C59" s="36">
        <f t="shared" si="6"/>
        <v>5189</v>
      </c>
      <c r="D59" s="14">
        <f t="shared" si="11"/>
        <v>5909.4</v>
      </c>
      <c r="E59" s="12">
        <f t="shared" si="7"/>
        <v>5654.2875251509067</v>
      </c>
      <c r="F59" s="16">
        <f t="shared" si="8"/>
        <v>0.91771067122404804</v>
      </c>
      <c r="G59" s="16">
        <f t="shared" si="9"/>
        <v>1</v>
      </c>
      <c r="H59" s="13">
        <f t="shared" si="10"/>
        <v>4896.9190707991374</v>
      </c>
      <c r="AE59" s="36">
        <v>5189</v>
      </c>
    </row>
    <row r="60" spans="1:31" ht="15" x14ac:dyDescent="0.3">
      <c r="A60" s="10">
        <f>[1]ArdiData!A59</f>
        <v>57</v>
      </c>
      <c r="B60" s="37">
        <f ca="1">'0.ArdiData'!D59</f>
        <v>4968</v>
      </c>
      <c r="C60" s="36">
        <f t="shared" si="6"/>
        <v>6383</v>
      </c>
      <c r="D60" s="14">
        <f t="shared" si="11"/>
        <v>5979</v>
      </c>
      <c r="E60" s="12">
        <f t="shared" si="7"/>
        <v>5733.7764252179759</v>
      </c>
      <c r="F60" s="16">
        <f t="shared" si="8"/>
        <v>1.1132279193738084</v>
      </c>
      <c r="G60" s="16">
        <f t="shared" si="9"/>
        <v>2</v>
      </c>
      <c r="H60" s="13">
        <f t="shared" si="10"/>
        <v>5932.8051944749623</v>
      </c>
      <c r="AE60" s="36">
        <v>6383</v>
      </c>
    </row>
    <row r="61" spans="1:31" ht="15" x14ac:dyDescent="0.3">
      <c r="A61" s="10">
        <f>[1]ArdiData!A60</f>
        <v>58</v>
      </c>
      <c r="B61" s="37">
        <f ca="1">'0.ArdiData'!D60</f>
        <v>6204</v>
      </c>
      <c r="C61" s="36">
        <f t="shared" si="6"/>
        <v>7473</v>
      </c>
      <c r="D61" s="14">
        <f t="shared" si="11"/>
        <v>6089.8</v>
      </c>
      <c r="E61" s="12">
        <f t="shared" si="7"/>
        <v>5813.2653252850441</v>
      </c>
      <c r="F61" s="16">
        <f t="shared" si="8"/>
        <v>1.2855081579531333</v>
      </c>
      <c r="G61" s="16">
        <f t="shared" si="9"/>
        <v>3</v>
      </c>
      <c r="H61" s="13">
        <f t="shared" si="10"/>
        <v>6865.9488819602957</v>
      </c>
      <c r="AE61" s="36">
        <v>7473</v>
      </c>
    </row>
    <row r="62" spans="1:31" ht="15" x14ac:dyDescent="0.3">
      <c r="A62" s="10">
        <f>[1]ArdiData!A61</f>
        <v>59</v>
      </c>
      <c r="B62" s="37">
        <f ca="1">'0.ArdiData'!D61</f>
        <v>4948</v>
      </c>
      <c r="C62" s="36">
        <f t="shared" si="6"/>
        <v>6110</v>
      </c>
      <c r="D62" s="14">
        <f t="shared" si="11"/>
        <v>6069.4</v>
      </c>
      <c r="E62" s="12">
        <f t="shared" si="7"/>
        <v>5892.7542253521133</v>
      </c>
      <c r="F62" s="16">
        <f t="shared" si="8"/>
        <v>1.0368665935044841</v>
      </c>
      <c r="G62" s="16">
        <f t="shared" si="9"/>
        <v>4</v>
      </c>
      <c r="H62" s="13">
        <f t="shared" si="10"/>
        <v>6135.9303302158614</v>
      </c>
      <c r="AE62" s="36">
        <v>6110</v>
      </c>
    </row>
    <row r="63" spans="1:31" ht="15" x14ac:dyDescent="0.3">
      <c r="A63" s="10">
        <f>[1]ArdiData!A62</f>
        <v>60</v>
      </c>
      <c r="B63" s="37">
        <f ca="1">'0.ArdiData'!D62</f>
        <v>4826</v>
      </c>
      <c r="C63" s="36">
        <f t="shared" si="6"/>
        <v>5294</v>
      </c>
      <c r="D63" s="14">
        <f t="shared" si="11"/>
        <v>6152.8</v>
      </c>
      <c r="E63" s="12">
        <f t="shared" si="7"/>
        <v>5972.2431254191824</v>
      </c>
      <c r="F63" s="16">
        <f t="shared" si="8"/>
        <v>0.88643410672073442</v>
      </c>
      <c r="G63" s="16">
        <f t="shared" si="9"/>
        <v>5</v>
      </c>
      <c r="H63" s="13">
        <f t="shared" si="10"/>
        <v>5236.9659745720191</v>
      </c>
      <c r="AE63" s="36">
        <v>5294</v>
      </c>
    </row>
    <row r="64" spans="1:31" ht="15" x14ac:dyDescent="0.3">
      <c r="A64" s="10">
        <f>[1]ArdiData!A63</f>
        <v>61</v>
      </c>
      <c r="B64" s="37">
        <f ca="1">'0.ArdiData'!D63</f>
        <v>4530</v>
      </c>
      <c r="C64" s="36">
        <f t="shared" si="6"/>
        <v>5087</v>
      </c>
      <c r="D64" s="14">
        <f t="shared" si="11"/>
        <v>5965</v>
      </c>
      <c r="E64" s="12">
        <f t="shared" si="7"/>
        <v>6051.7320254862516</v>
      </c>
      <c r="F64" s="16">
        <f t="shared" si="8"/>
        <v>0.8405857990037594</v>
      </c>
      <c r="G64" s="16">
        <f t="shared" si="9"/>
        <v>1</v>
      </c>
      <c r="H64" s="13">
        <f t="shared" si="10"/>
        <v>5241.1275222829418</v>
      </c>
      <c r="AE64" s="36">
        <v>5087</v>
      </c>
    </row>
    <row r="65" spans="1:31" ht="15" x14ac:dyDescent="0.3">
      <c r="A65" s="10">
        <f>[1]ArdiData!A64</f>
        <v>62</v>
      </c>
      <c r="B65" s="37">
        <f ca="1">'0.ArdiData'!D64</f>
        <v>5172</v>
      </c>
      <c r="C65" s="36">
        <f t="shared" si="6"/>
        <v>6800</v>
      </c>
      <c r="D65" s="14">
        <f t="shared" si="11"/>
        <v>6084.6</v>
      </c>
      <c r="E65" s="12">
        <f t="shared" si="7"/>
        <v>6131.2209255533207</v>
      </c>
      <c r="F65" s="16">
        <f t="shared" si="8"/>
        <v>1.1090776343842681</v>
      </c>
      <c r="G65" s="16">
        <f t="shared" si="9"/>
        <v>2</v>
      </c>
      <c r="H65" s="13">
        <f t="shared" si="10"/>
        <v>6344.0456442655031</v>
      </c>
      <c r="AE65" s="36">
        <v>6800</v>
      </c>
    </row>
    <row r="66" spans="1:31" ht="15" x14ac:dyDescent="0.3">
      <c r="A66" s="10">
        <f>[1]ArdiData!A65</f>
        <v>63</v>
      </c>
      <c r="B66" s="37">
        <f ca="1">'0.ArdiData'!D65</f>
        <v>6446</v>
      </c>
      <c r="C66" s="36">
        <f t="shared" si="6"/>
        <v>6534</v>
      </c>
      <c r="D66" s="14">
        <f t="shared" si="11"/>
        <v>6172.6</v>
      </c>
      <c r="E66" s="12">
        <f t="shared" si="7"/>
        <v>6210.7098256203899</v>
      </c>
      <c r="F66" s="16">
        <f t="shared" si="8"/>
        <v>1.0520536594780157</v>
      </c>
      <c r="G66" s="16">
        <f t="shared" si="9"/>
        <v>3</v>
      </c>
      <c r="H66" s="13">
        <f t="shared" si="10"/>
        <v>7335.3638269223902</v>
      </c>
      <c r="AE66" s="36">
        <v>6534</v>
      </c>
    </row>
    <row r="67" spans="1:31" ht="15" x14ac:dyDescent="0.3">
      <c r="A67" s="10">
        <f>[1]ArdiData!A66</f>
        <v>64</v>
      </c>
      <c r="B67" s="37">
        <f ca="1">'0.ArdiData'!D66</f>
        <v>5660</v>
      </c>
      <c r="C67" s="36">
        <f t="shared" si="6"/>
        <v>6708</v>
      </c>
      <c r="D67" s="14">
        <f t="shared" si="11"/>
        <v>6230</v>
      </c>
      <c r="E67" s="12">
        <f t="shared" si="7"/>
        <v>6290.198725687459</v>
      </c>
      <c r="F67" s="16">
        <f t="shared" si="8"/>
        <v>1.0664209975761743</v>
      </c>
      <c r="G67" s="16">
        <f t="shared" si="9"/>
        <v>4</v>
      </c>
      <c r="H67" s="13">
        <f t="shared" si="10"/>
        <v>6549.7761603530271</v>
      </c>
      <c r="AE67" s="36">
        <v>6708</v>
      </c>
    </row>
    <row r="68" spans="1:31" ht="15" x14ac:dyDescent="0.3">
      <c r="A68" s="10">
        <f>[1]ArdiData!A67</f>
        <v>65</v>
      </c>
      <c r="B68" s="37">
        <f ca="1">'0.ArdiData'!D67</f>
        <v>4644</v>
      </c>
      <c r="C68" s="36">
        <f t="shared" ref="C68:C78" si="12">AE68</f>
        <v>5734</v>
      </c>
      <c r="D68" s="14">
        <f t="shared" si="11"/>
        <v>6226</v>
      </c>
      <c r="E68" s="12">
        <f t="shared" ref="E68:E78" si="13">$E$2+$F$2*A68</f>
        <v>6369.6876257545282</v>
      </c>
      <c r="F68" s="16">
        <f t="shared" ref="F68:F78" si="14">C68/E68</f>
        <v>0.90020113024314485</v>
      </c>
      <c r="G68" s="16">
        <f t="shared" ref="G68:G78" si="15">IF(MOD(A68,5)&lt;&gt;0,MOD(A68,5),5)</f>
        <v>5</v>
      </c>
      <c r="H68" s="13">
        <f t="shared" ref="H68:H78" si="16">VLOOKUP(G68,$J$3:$L$7,3)*E68</f>
        <v>5585.4787998751399</v>
      </c>
      <c r="AE68" s="36">
        <v>5734</v>
      </c>
    </row>
    <row r="69" spans="1:31" ht="15" x14ac:dyDescent="0.3">
      <c r="A69" s="10">
        <f>[1]ArdiData!A68</f>
        <v>66</v>
      </c>
      <c r="B69" s="37">
        <f ca="1">'0.ArdiData'!D68</f>
        <v>4684</v>
      </c>
      <c r="C69" s="36">
        <f t="shared" si="12"/>
        <v>5374</v>
      </c>
      <c r="D69" s="14">
        <f t="shared" si="11"/>
        <v>6319</v>
      </c>
      <c r="E69" s="12">
        <f t="shared" si="13"/>
        <v>6449.1765258215974</v>
      </c>
      <c r="F69" s="16">
        <f t="shared" si="14"/>
        <v>0.83328468037481351</v>
      </c>
      <c r="G69" s="16">
        <f t="shared" si="15"/>
        <v>1</v>
      </c>
      <c r="H69" s="13">
        <f t="shared" si="16"/>
        <v>5585.3359737667461</v>
      </c>
      <c r="AE69" s="36">
        <v>5374</v>
      </c>
    </row>
    <row r="70" spans="1:31" ht="15" x14ac:dyDescent="0.3">
      <c r="A70" s="10">
        <f>[1]ArdiData!A69</f>
        <v>67</v>
      </c>
      <c r="B70" s="37">
        <f ca="1">'0.ArdiData'!D69</f>
        <v>6088</v>
      </c>
      <c r="C70" s="36">
        <f t="shared" si="12"/>
        <v>6780</v>
      </c>
      <c r="D70" s="14">
        <f t="shared" ref="D70:D76" si="17">AVERAGE(C68:C72)</f>
        <v>6324.4</v>
      </c>
      <c r="E70" s="12">
        <f t="shared" si="13"/>
        <v>6528.6654258886665</v>
      </c>
      <c r="F70" s="16">
        <f t="shared" si="14"/>
        <v>1.038497082897631</v>
      </c>
      <c r="G70" s="16">
        <f t="shared" si="15"/>
        <v>2</v>
      </c>
      <c r="H70" s="13">
        <f t="shared" si="16"/>
        <v>6755.2860940560449</v>
      </c>
      <c r="AE70" s="36">
        <v>6780</v>
      </c>
    </row>
    <row r="71" spans="1:31" ht="15" x14ac:dyDescent="0.3">
      <c r="A71" s="10">
        <f>[1]ArdiData!A70</f>
        <v>68</v>
      </c>
      <c r="B71" s="37">
        <f ca="1">'0.ArdiData'!D70</f>
        <v>6903</v>
      </c>
      <c r="C71" s="36">
        <f t="shared" si="12"/>
        <v>6999</v>
      </c>
      <c r="D71" s="14">
        <f t="shared" si="17"/>
        <v>6406.4</v>
      </c>
      <c r="E71" s="12">
        <f t="shared" si="13"/>
        <v>6608.1543259557357</v>
      </c>
      <c r="F71" s="16">
        <f t="shared" si="14"/>
        <v>1.0591459664477094</v>
      </c>
      <c r="G71" s="16">
        <f t="shared" si="15"/>
        <v>3</v>
      </c>
      <c r="H71" s="13">
        <f t="shared" si="16"/>
        <v>7804.7787718844856</v>
      </c>
      <c r="AE71" s="36">
        <v>6999</v>
      </c>
    </row>
    <row r="72" spans="1:31" ht="15" x14ac:dyDescent="0.3">
      <c r="A72" s="10">
        <f>[1]ArdiData!A71</f>
        <v>69</v>
      </c>
      <c r="B72" s="37">
        <f ca="1">'0.ArdiData'!D71</f>
        <v>5611</v>
      </c>
      <c r="C72" s="36">
        <f t="shared" si="12"/>
        <v>6735</v>
      </c>
      <c r="D72" s="14">
        <f t="shared" si="17"/>
        <v>6503.4</v>
      </c>
      <c r="E72" s="12">
        <f t="shared" si="13"/>
        <v>6687.6432260228048</v>
      </c>
      <c r="F72" s="16">
        <f t="shared" si="14"/>
        <v>1.0070812351043072</v>
      </c>
      <c r="G72" s="16">
        <f t="shared" si="15"/>
        <v>4</v>
      </c>
      <c r="H72" s="13">
        <f t="shared" si="16"/>
        <v>6963.6219904901936</v>
      </c>
      <c r="AE72" s="36">
        <v>6735</v>
      </c>
    </row>
    <row r="73" spans="1:31" ht="15" x14ac:dyDescent="0.3">
      <c r="A73" s="10">
        <f>[1]ArdiData!A72</f>
        <v>70</v>
      </c>
      <c r="B73" s="37">
        <f ca="1">'0.ArdiData'!D72</f>
        <v>4955</v>
      </c>
      <c r="C73" s="36">
        <f t="shared" si="12"/>
        <v>6144</v>
      </c>
      <c r="D73" s="14">
        <f t="shared" si="17"/>
        <v>6617.6</v>
      </c>
      <c r="E73" s="12">
        <f t="shared" si="13"/>
        <v>6767.132126089874</v>
      </c>
      <c r="F73" s="16">
        <f t="shared" si="14"/>
        <v>0.90791784252483232</v>
      </c>
      <c r="G73" s="16">
        <f t="shared" si="15"/>
        <v>5</v>
      </c>
      <c r="H73" s="13">
        <f t="shared" si="16"/>
        <v>5933.9916251782615</v>
      </c>
      <c r="AE73" s="36">
        <v>6144</v>
      </c>
    </row>
    <row r="74" spans="1:31" ht="15" x14ac:dyDescent="0.3">
      <c r="A74" s="10">
        <f>[1]ArdiData!A73</f>
        <v>71</v>
      </c>
      <c r="B74" s="37">
        <f ca="1">'0.ArdiData'!D73</f>
        <v>5287</v>
      </c>
      <c r="C74" s="36">
        <f t="shared" si="12"/>
        <v>5859</v>
      </c>
      <c r="D74" s="14">
        <f t="shared" si="17"/>
        <v>6984</v>
      </c>
      <c r="E74" s="12">
        <f t="shared" si="13"/>
        <v>6846.6210261569422</v>
      </c>
      <c r="F74" s="16">
        <f t="shared" si="14"/>
        <v>0.85575059253552688</v>
      </c>
      <c r="G74" s="16">
        <f t="shared" si="15"/>
        <v>1</v>
      </c>
      <c r="H74" s="13">
        <f t="shared" si="16"/>
        <v>5929.5444252505504</v>
      </c>
      <c r="AE74" s="36">
        <v>5859</v>
      </c>
    </row>
    <row r="75" spans="1:31" ht="15" x14ac:dyDescent="0.3">
      <c r="A75" s="10">
        <f>[1]ArdiData!A74</f>
        <v>72</v>
      </c>
      <c r="B75" s="37">
        <f ca="1">'0.ArdiData'!D74</f>
        <v>6271</v>
      </c>
      <c r="C75" s="36">
        <f t="shared" si="12"/>
        <v>7351</v>
      </c>
      <c r="D75" s="14">
        <f t="shared" si="17"/>
        <v>7118.2</v>
      </c>
      <c r="E75" s="12">
        <f t="shared" si="13"/>
        <v>6926.1099262240114</v>
      </c>
      <c r="F75" s="16">
        <f t="shared" si="14"/>
        <v>1.0613461348869511</v>
      </c>
      <c r="G75" s="16">
        <f t="shared" si="15"/>
        <v>2</v>
      </c>
      <c r="H75" s="13">
        <f t="shared" si="16"/>
        <v>7166.5265438465849</v>
      </c>
      <c r="AE75" s="36">
        <v>7351</v>
      </c>
    </row>
    <row r="76" spans="1:31" ht="15" x14ac:dyDescent="0.3">
      <c r="A76" s="10">
        <f>[1]ArdiData!A75</f>
        <v>73</v>
      </c>
      <c r="B76" s="37">
        <f ca="1">'0.ArdiData'!D75</f>
        <v>8211</v>
      </c>
      <c r="C76" s="36">
        <f t="shared" si="12"/>
        <v>8831</v>
      </c>
      <c r="D76" s="14">
        <f t="shared" si="17"/>
        <v>7165.8</v>
      </c>
      <c r="E76" s="12">
        <f t="shared" si="13"/>
        <v>7005.5988262910805</v>
      </c>
      <c r="F76" s="16">
        <f t="shared" si="14"/>
        <v>1.26056318938196</v>
      </c>
      <c r="G76" s="16">
        <f t="shared" si="15"/>
        <v>3</v>
      </c>
      <c r="H76" s="13">
        <f t="shared" si="16"/>
        <v>8274.1937168465793</v>
      </c>
      <c r="AE76" s="36">
        <v>8831</v>
      </c>
    </row>
    <row r="77" spans="1:31" ht="15" x14ac:dyDescent="0.3">
      <c r="A77" s="10">
        <f>[1]ArdiData!A76</f>
        <v>74</v>
      </c>
      <c r="B77" s="37">
        <f ca="1">'0.ArdiData'!D76</f>
        <v>6033</v>
      </c>
      <c r="C77" s="36">
        <f t="shared" si="12"/>
        <v>7406</v>
      </c>
      <c r="D77" s="14"/>
      <c r="E77" s="12">
        <f t="shared" si="13"/>
        <v>7085.0877263581497</v>
      </c>
      <c r="F77" s="16">
        <f t="shared" si="14"/>
        <v>1.0452940437770422</v>
      </c>
      <c r="G77" s="16">
        <f t="shared" si="15"/>
        <v>4</v>
      </c>
      <c r="H77" s="13">
        <f t="shared" si="16"/>
        <v>7377.4678206273584</v>
      </c>
      <c r="AE77" s="36">
        <v>7406</v>
      </c>
    </row>
    <row r="78" spans="1:31" ht="15" x14ac:dyDescent="0.3">
      <c r="A78" s="10">
        <f>[1]ArdiData!A77</f>
        <v>75</v>
      </c>
      <c r="B78" s="37">
        <f ca="1">'0.ArdiData'!D77</f>
        <v>5750</v>
      </c>
      <c r="C78" s="36">
        <f t="shared" si="12"/>
        <v>6382</v>
      </c>
      <c r="D78" s="14"/>
      <c r="E78" s="12">
        <f t="shared" si="13"/>
        <v>7164.5766264252188</v>
      </c>
      <c r="F78" s="16">
        <f t="shared" si="14"/>
        <v>0.89077140670966803</v>
      </c>
      <c r="G78" s="16">
        <f t="shared" si="15"/>
        <v>5</v>
      </c>
      <c r="H78" s="13">
        <f t="shared" si="16"/>
        <v>6282.5044504813823</v>
      </c>
      <c r="AE78" s="36">
        <v>6382</v>
      </c>
    </row>
    <row r="79" spans="1:31" ht="15" x14ac:dyDescent="0.3">
      <c r="A79" s="10">
        <v>76</v>
      </c>
      <c r="B79" s="37"/>
      <c r="C79" s="36"/>
      <c r="D79" s="14"/>
      <c r="E79" s="12"/>
      <c r="F79" s="16"/>
      <c r="G79" s="16"/>
      <c r="H79" s="13"/>
    </row>
    <row r="80" spans="1:31" ht="15" x14ac:dyDescent="0.3">
      <c r="A80" s="10">
        <v>77</v>
      </c>
      <c r="B80" s="37"/>
      <c r="C80" s="36"/>
      <c r="D80" s="14"/>
      <c r="E80" s="12"/>
      <c r="F80" s="16"/>
      <c r="G80" s="16"/>
      <c r="H80" s="13"/>
    </row>
    <row r="81" spans="1:8" ht="15" x14ac:dyDescent="0.3">
      <c r="A81" s="10">
        <v>78</v>
      </c>
      <c r="B81" s="37"/>
      <c r="C81" s="36"/>
      <c r="D81" s="14"/>
      <c r="E81" s="12"/>
      <c r="F81" s="16"/>
      <c r="G81" s="16"/>
      <c r="H81" s="13"/>
    </row>
    <row r="82" spans="1:8" ht="15" x14ac:dyDescent="0.3">
      <c r="A82" s="10">
        <v>79</v>
      </c>
      <c r="B82" s="37"/>
      <c r="C82" s="36"/>
      <c r="D82" s="14"/>
      <c r="E82" s="12"/>
      <c r="F82" s="16"/>
      <c r="G82" s="16"/>
      <c r="H82" s="13"/>
    </row>
    <row r="83" spans="1:8" ht="15" x14ac:dyDescent="0.3">
      <c r="A83" s="10">
        <v>80</v>
      </c>
      <c r="B83" s="37"/>
      <c r="C83" s="36"/>
      <c r="D83" s="14"/>
      <c r="E83" s="12"/>
      <c r="F83" s="16"/>
      <c r="G83" s="16"/>
      <c r="H83" s="13"/>
    </row>
  </sheetData>
  <conditionalFormatting sqref="G4:G83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4:G8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9:F8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:F7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M1" r:id="rId1" xr:uid="{A2471232-405B-4AFB-BADA-191A49157DEB}"/>
  </hyperlinks>
  <pageMargins left="0.75" right="0.75" top="1" bottom="1" header="0.5" footer="0.5"/>
  <pageSetup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E1C76-2FE3-47B5-A6AA-BE95EBB6C482}">
  <sheetPr>
    <tabColor rgb="FF00B050"/>
  </sheetPr>
  <dimension ref="A1:Y83"/>
  <sheetViews>
    <sheetView zoomScale="117" zoomScaleNormal="117" workbookViewId="0">
      <selection activeCell="D8" sqref="D8"/>
    </sheetView>
  </sheetViews>
  <sheetFormatPr defaultColWidth="9.140625" defaultRowHeight="13.5" x14ac:dyDescent="0.25"/>
  <cols>
    <col min="1" max="1" width="6.7109375" style="3" bestFit="1" customWidth="1"/>
    <col min="2" max="2" width="6.7109375" style="3" customWidth="1"/>
    <col min="3" max="3" width="8.140625" style="6" bestFit="1" customWidth="1"/>
    <col min="4" max="4" width="12.140625" style="6" bestFit="1" customWidth="1"/>
    <col min="5" max="5" width="11.5703125" style="6" bestFit="1" customWidth="1"/>
    <col min="6" max="6" width="11.5703125" style="3" bestFit="1" customWidth="1"/>
    <col min="7" max="7" width="9.5703125" style="3" bestFit="1" customWidth="1"/>
    <col min="8" max="8" width="9.7109375" style="3" bestFit="1" customWidth="1"/>
    <col min="9" max="10" width="9.140625" style="3"/>
    <col min="11" max="11" width="9.140625" style="3" customWidth="1"/>
    <col min="12" max="12" width="14.5703125" style="3" bestFit="1" customWidth="1"/>
    <col min="13" max="16384" width="9.140625" style="3"/>
  </cols>
  <sheetData>
    <row r="1" spans="1:25" ht="15" x14ac:dyDescent="0.25">
      <c r="E1" s="7" t="s">
        <v>4</v>
      </c>
      <c r="F1" s="7" t="s">
        <v>5</v>
      </c>
      <c r="G1" s="7" t="s">
        <v>7</v>
      </c>
      <c r="H1" s="7" t="s">
        <v>3</v>
      </c>
      <c r="J1" s="3">
        <v>7</v>
      </c>
    </row>
    <row r="2" spans="1:25" ht="15" x14ac:dyDescent="0.25">
      <c r="E2" s="8">
        <f>INTERCEPT($D$7:$D$75,$A$7:$A$75)</f>
        <v>64.580273848669805</v>
      </c>
      <c r="F2" s="8">
        <f>SLOPE($D$7:$D$75,$A$7:$A$75)</f>
        <v>4.737481079388278</v>
      </c>
      <c r="G2" s="9">
        <f>RSQ($D$7:$D$75,$A$7:$A$75)</f>
        <v>0.98350143749387364</v>
      </c>
      <c r="H2" s="8">
        <f>STEYX($D$7:$D$75,$A$7:$A$75)</f>
        <v>12.401751918008769</v>
      </c>
      <c r="J2" s="6" t="s">
        <v>10</v>
      </c>
      <c r="K2" s="6" t="s">
        <v>9</v>
      </c>
      <c r="L2" s="6" t="s">
        <v>11</v>
      </c>
    </row>
    <row r="3" spans="1:25" x14ac:dyDescent="0.25">
      <c r="A3" s="10" t="str">
        <f>[1]ArdiData!A2</f>
        <v>Per.</v>
      </c>
      <c r="B3" s="10"/>
      <c r="C3" s="39" t="str">
        <f>[1]ArdiData!D2</f>
        <v>Trend&amp;S</v>
      </c>
      <c r="D3" s="6" t="s">
        <v>6</v>
      </c>
      <c r="E3" s="3" t="s">
        <v>8</v>
      </c>
      <c r="F3" s="3" t="s">
        <v>9</v>
      </c>
      <c r="G3" s="3" t="s">
        <v>10</v>
      </c>
      <c r="H3" s="3" t="s">
        <v>12</v>
      </c>
      <c r="J3" s="13">
        <v>1</v>
      </c>
      <c r="K3" s="11">
        <f t="shared" ref="K3:K9" si="0">AVERAGEIF($G$4:$G$78,J3,$F$4:$F$78)</f>
        <v>0.47790853335104538</v>
      </c>
      <c r="L3" s="11">
        <f t="shared" ref="L3:L9" si="1">K3/$K$10</f>
        <v>0.48127235718175376</v>
      </c>
    </row>
    <row r="4" spans="1:25" ht="15" x14ac:dyDescent="0.3">
      <c r="A4" s="10">
        <f>[1]ArdiData!A3</f>
        <v>1</v>
      </c>
      <c r="B4" s="37">
        <f>'[2]0.ArdiData'!D3</f>
        <v>31</v>
      </c>
      <c r="C4" s="36">
        <v>35</v>
      </c>
      <c r="E4" s="12">
        <f t="shared" ref="E4:E35" si="2">$E$2+$F$2*A4</f>
        <v>69.317754928058079</v>
      </c>
      <c r="F4" s="16">
        <f t="shared" ref="F4:F35" si="3">C4/E4</f>
        <v>0.50492114230077123</v>
      </c>
      <c r="G4" s="16">
        <f t="shared" ref="G4:G35" si="4">IF(MOD(A4,$J$1)&lt;&gt;0,MOD(A4,$J$1),$J$1)</f>
        <v>1</v>
      </c>
      <c r="H4" s="13">
        <f t="shared" ref="H4:H35" si="5">E4*VLOOKUP(G4,$J$3:$L$9,3)</f>
        <v>33.360719308773639</v>
      </c>
      <c r="J4" s="13">
        <v>2</v>
      </c>
      <c r="K4" s="11">
        <f t="shared" si="0"/>
        <v>0.97851695640996927</v>
      </c>
      <c r="L4" s="11">
        <f t="shared" si="1"/>
        <v>0.98540438031438049</v>
      </c>
      <c r="Y4" s="36">
        <v>1756</v>
      </c>
    </row>
    <row r="5" spans="1:25" ht="15" x14ac:dyDescent="0.3">
      <c r="A5" s="10">
        <f>[1]ArdiData!A4</f>
        <v>2</v>
      </c>
      <c r="B5" s="37">
        <f>'[2]0.ArdiData'!D4</f>
        <v>76</v>
      </c>
      <c r="C5" s="36">
        <v>74</v>
      </c>
      <c r="E5" s="12">
        <f t="shared" si="2"/>
        <v>74.055236007446354</v>
      </c>
      <c r="F5" s="16">
        <f t="shared" si="3"/>
        <v>0.99925412421289428</v>
      </c>
      <c r="G5" s="16">
        <f t="shared" si="4"/>
        <v>2</v>
      </c>
      <c r="H5" s="13">
        <f t="shared" si="5"/>
        <v>72.974353946952874</v>
      </c>
      <c r="J5" s="13">
        <v>3</v>
      </c>
      <c r="K5" s="11">
        <f t="shared" si="0"/>
        <v>1.192479363033599</v>
      </c>
      <c r="L5" s="11">
        <f t="shared" si="1"/>
        <v>1.2008727902672029</v>
      </c>
      <c r="Y5" s="36">
        <v>1962</v>
      </c>
    </row>
    <row r="6" spans="1:25" ht="15" x14ac:dyDescent="0.3">
      <c r="A6" s="10">
        <f>[1]ArdiData!A5</f>
        <v>3</v>
      </c>
      <c r="B6" s="37">
        <f>'[2]0.ArdiData'!D5</f>
        <v>140</v>
      </c>
      <c r="C6" s="36">
        <v>89</v>
      </c>
      <c r="D6" s="14"/>
      <c r="E6" s="12">
        <f t="shared" si="2"/>
        <v>78.792717086834642</v>
      </c>
      <c r="F6" s="16">
        <f t="shared" si="3"/>
        <v>1.1295460201215841</v>
      </c>
      <c r="G6" s="16">
        <f t="shared" si="4"/>
        <v>3</v>
      </c>
      <c r="H6" s="13">
        <f t="shared" si="5"/>
        <v>94.620030020801437</v>
      </c>
      <c r="J6" s="13">
        <v>4</v>
      </c>
      <c r="K6" s="11">
        <f t="shared" si="0"/>
        <v>1.8220400369740277</v>
      </c>
      <c r="L6" s="11">
        <f t="shared" si="1"/>
        <v>1.8348647121349879</v>
      </c>
      <c r="Y6" s="36">
        <v>2071</v>
      </c>
    </row>
    <row r="7" spans="1:25" ht="15" x14ac:dyDescent="0.3">
      <c r="A7" s="10">
        <f>[1]ArdiData!A6</f>
        <v>4</v>
      </c>
      <c r="B7" s="37">
        <f>'[2]0.ArdiData'!D6</f>
        <v>196</v>
      </c>
      <c r="C7" s="36">
        <v>163</v>
      </c>
      <c r="D7" s="14">
        <f t="shared" ref="D7:D38" si="6">AVERAGE(C4:C10)</f>
        <v>72</v>
      </c>
      <c r="E7" s="12">
        <f t="shared" si="2"/>
        <v>83.530198166222917</v>
      </c>
      <c r="F7" s="16">
        <f t="shared" si="3"/>
        <v>1.9513900790183001</v>
      </c>
      <c r="G7" s="16">
        <f t="shared" si="4"/>
        <v>4</v>
      </c>
      <c r="H7" s="13">
        <f t="shared" si="5"/>
        <v>153.26661301284511</v>
      </c>
      <c r="J7" s="13">
        <v>5</v>
      </c>
      <c r="K7" s="11">
        <f t="shared" si="0"/>
        <v>1.2067588933391988</v>
      </c>
      <c r="L7" s="11">
        <f t="shared" si="1"/>
        <v>1.215252828977615</v>
      </c>
      <c r="Y7" s="36">
        <v>2746</v>
      </c>
    </row>
    <row r="8" spans="1:25" ht="15" x14ac:dyDescent="0.3">
      <c r="A8" s="10">
        <f>[1]ArdiData!A7</f>
        <v>5</v>
      </c>
      <c r="B8" s="37">
        <f>'[2]0.ArdiData'!D7</f>
        <v>135</v>
      </c>
      <c r="C8" s="36">
        <v>41</v>
      </c>
      <c r="D8" s="14">
        <f t="shared" si="6"/>
        <v>74.714285714285708</v>
      </c>
      <c r="E8" s="12">
        <f t="shared" si="2"/>
        <v>88.267679245611191</v>
      </c>
      <c r="F8" s="16">
        <f t="shared" si="3"/>
        <v>0.46449618195936182</v>
      </c>
      <c r="G8" s="16">
        <f t="shared" si="4"/>
        <v>5</v>
      </c>
      <c r="H8" s="13">
        <f t="shared" si="5"/>
        <v>107.26754691051771</v>
      </c>
      <c r="J8" s="13">
        <v>6</v>
      </c>
      <c r="K8" s="11">
        <f t="shared" si="0"/>
        <v>0.83810883122353785</v>
      </c>
      <c r="L8" s="11">
        <f t="shared" si="1"/>
        <v>0.8440079735540349</v>
      </c>
      <c r="Y8" s="36">
        <v>2821</v>
      </c>
    </row>
    <row r="9" spans="1:25" ht="15" x14ac:dyDescent="0.3">
      <c r="A9" s="10">
        <f>[1]ArdiData!A8</f>
        <v>6</v>
      </c>
      <c r="B9" s="37">
        <f>'[2]0.ArdiData'!D8</f>
        <v>105</v>
      </c>
      <c r="C9" s="36">
        <v>73</v>
      </c>
      <c r="D9" s="14">
        <f t="shared" si="6"/>
        <v>75.428571428571431</v>
      </c>
      <c r="E9" s="12">
        <f t="shared" si="2"/>
        <v>93.00516032499948</v>
      </c>
      <c r="F9" s="16">
        <f t="shared" si="3"/>
        <v>0.78490268437694244</v>
      </c>
      <c r="G9" s="16">
        <f t="shared" si="4"/>
        <v>6</v>
      </c>
      <c r="H9" s="13">
        <f t="shared" si="5"/>
        <v>78.497096895970941</v>
      </c>
      <c r="J9" s="13">
        <v>7</v>
      </c>
      <c r="K9" s="11">
        <f t="shared" si="0"/>
        <v>0.43526131197337631</v>
      </c>
      <c r="L9" s="11">
        <f t="shared" si="1"/>
        <v>0.43832495757002432</v>
      </c>
      <c r="Y9" s="36">
        <v>2514</v>
      </c>
    </row>
    <row r="10" spans="1:25" ht="15" x14ac:dyDescent="0.3">
      <c r="A10" s="10">
        <f>[1]ArdiData!A9</f>
        <v>7</v>
      </c>
      <c r="B10" s="37">
        <f>'[2]0.ArdiData'!D9</f>
        <v>47</v>
      </c>
      <c r="C10" s="36">
        <v>29</v>
      </c>
      <c r="D10" s="14">
        <f t="shared" si="6"/>
        <v>80.428571428571431</v>
      </c>
      <c r="E10" s="12">
        <f t="shared" si="2"/>
        <v>97.742641404387754</v>
      </c>
      <c r="F10" s="16">
        <f t="shared" si="3"/>
        <v>0.29669752713167585</v>
      </c>
      <c r="G10" s="16">
        <f t="shared" si="4"/>
        <v>7</v>
      </c>
      <c r="H10" s="13">
        <f t="shared" si="5"/>
        <v>42.843039146360361</v>
      </c>
      <c r="K10" s="15">
        <f>AVERAGE(K3:K9)</f>
        <v>0.9930105609006793</v>
      </c>
      <c r="L10" s="15">
        <f>AVERAGE(L3:L9)</f>
        <v>1</v>
      </c>
      <c r="Y10" s="36">
        <v>2647</v>
      </c>
    </row>
    <row r="11" spans="1:25" ht="15" x14ac:dyDescent="0.3">
      <c r="A11" s="10">
        <f>[1]ArdiData!A10</f>
        <v>8</v>
      </c>
      <c r="B11" s="37">
        <f>'[2]0.ArdiData'!D10</f>
        <v>73</v>
      </c>
      <c r="C11" s="36">
        <v>54</v>
      </c>
      <c r="D11" s="14">
        <f t="shared" si="6"/>
        <v>89.857142857142861</v>
      </c>
      <c r="E11" s="12">
        <f t="shared" si="2"/>
        <v>102.48012248377603</v>
      </c>
      <c r="F11" s="16">
        <f t="shared" si="3"/>
        <v>0.52693145452230428</v>
      </c>
      <c r="G11" s="16">
        <f t="shared" si="4"/>
        <v>1</v>
      </c>
      <c r="H11" s="13">
        <f t="shared" si="5"/>
        <v>49.320850112041732</v>
      </c>
      <c r="Y11" s="36">
        <v>3501</v>
      </c>
    </row>
    <row r="12" spans="1:25" ht="15" x14ac:dyDescent="0.3">
      <c r="A12" s="10">
        <f>[1]ArdiData!A11</f>
        <v>9</v>
      </c>
      <c r="B12" s="37">
        <f>'[2]0.ArdiData'!D11</f>
        <v>117</v>
      </c>
      <c r="C12" s="36">
        <v>79</v>
      </c>
      <c r="D12" s="14">
        <f t="shared" si="6"/>
        <v>111.71428571428571</v>
      </c>
      <c r="E12" s="12">
        <f t="shared" si="2"/>
        <v>107.2176035631643</v>
      </c>
      <c r="F12" s="16">
        <f t="shared" si="3"/>
        <v>0.73681930368327364</v>
      </c>
      <c r="G12" s="16">
        <f t="shared" si="4"/>
        <v>2</v>
      </c>
      <c r="H12" s="13">
        <f t="shared" si="5"/>
        <v>105.65269619795284</v>
      </c>
      <c r="Y12" s="36">
        <v>3690</v>
      </c>
    </row>
    <row r="13" spans="1:25" ht="15" x14ac:dyDescent="0.3">
      <c r="A13" s="10">
        <f>[1]ArdiData!A12</f>
        <v>10</v>
      </c>
      <c r="B13" s="37">
        <f>'[2]0.ArdiData'!D12</f>
        <v>192</v>
      </c>
      <c r="C13" s="36">
        <v>124</v>
      </c>
      <c r="D13" s="14">
        <f t="shared" si="6"/>
        <v>114.42857142857143</v>
      </c>
      <c r="E13" s="12">
        <f t="shared" si="2"/>
        <v>111.95508464255258</v>
      </c>
      <c r="F13" s="16">
        <f t="shared" si="3"/>
        <v>1.1075870327453561</v>
      </c>
      <c r="G13" s="16">
        <f t="shared" si="4"/>
        <v>3</v>
      </c>
      <c r="H13" s="13">
        <f t="shared" si="5"/>
        <v>134.44381487930301</v>
      </c>
      <c r="Y13" s="36">
        <v>4036</v>
      </c>
    </row>
    <row r="14" spans="1:25" ht="15" x14ac:dyDescent="0.3">
      <c r="A14" s="10">
        <f>[1]ArdiData!A13</f>
        <v>11</v>
      </c>
      <c r="B14" s="37">
        <f>'[2]0.ArdiData'!D13</f>
        <v>314</v>
      </c>
      <c r="C14" s="36">
        <v>229</v>
      </c>
      <c r="D14" s="14">
        <f t="shared" si="6"/>
        <v>118.57142857142857</v>
      </c>
      <c r="E14" s="12">
        <f t="shared" si="2"/>
        <v>116.69256572194087</v>
      </c>
      <c r="F14" s="16">
        <f t="shared" si="3"/>
        <v>1.962421501174884</v>
      </c>
      <c r="G14" s="16">
        <f t="shared" si="4"/>
        <v>4</v>
      </c>
      <c r="H14" s="13">
        <f t="shared" si="5"/>
        <v>214.11507101168218</v>
      </c>
      <c r="Y14" s="36">
        <v>3127</v>
      </c>
    </row>
    <row r="15" spans="1:25" ht="15" x14ac:dyDescent="0.3">
      <c r="A15" s="10">
        <f>[1]ArdiData!A14</f>
        <v>12</v>
      </c>
      <c r="B15" s="37">
        <f>'[2]0.ArdiData'!D14</f>
        <v>240</v>
      </c>
      <c r="C15" s="36">
        <v>194</v>
      </c>
      <c r="D15" s="14">
        <f t="shared" si="6"/>
        <v>121</v>
      </c>
      <c r="E15" s="12">
        <f t="shared" si="2"/>
        <v>121.43004680132914</v>
      </c>
      <c r="F15" s="16">
        <f t="shared" si="3"/>
        <v>1.5976276474421693</v>
      </c>
      <c r="G15" s="16">
        <f t="shared" si="4"/>
        <v>5</v>
      </c>
      <c r="H15" s="13">
        <f t="shared" si="5"/>
        <v>147.56820789819943</v>
      </c>
      <c r="Y15" s="36">
        <v>3227</v>
      </c>
    </row>
    <row r="16" spans="1:25" ht="15" x14ac:dyDescent="0.3">
      <c r="A16" s="10">
        <f>[1]ArdiData!A15</f>
        <v>13</v>
      </c>
      <c r="B16" s="37">
        <f>'[2]0.ArdiData'!D15</f>
        <v>140</v>
      </c>
      <c r="C16" s="36">
        <v>92</v>
      </c>
      <c r="D16" s="14">
        <f t="shared" si="6"/>
        <v>128.28571428571428</v>
      </c>
      <c r="E16" s="12">
        <f t="shared" si="2"/>
        <v>126.16752788071742</v>
      </c>
      <c r="F16" s="16">
        <f t="shared" si="3"/>
        <v>0.72918921013479454</v>
      </c>
      <c r="G16" s="16">
        <f t="shared" si="4"/>
        <v>6</v>
      </c>
      <c r="H16" s="13">
        <f t="shared" si="5"/>
        <v>106.48639953492651</v>
      </c>
      <c r="Y16" s="36">
        <v>4176</v>
      </c>
    </row>
    <row r="17" spans="1:25" ht="15" x14ac:dyDescent="0.3">
      <c r="A17" s="10">
        <f>[1]ArdiData!A16</f>
        <v>14</v>
      </c>
      <c r="B17" s="37">
        <f>'[2]0.ArdiData'!D16</f>
        <v>90</v>
      </c>
      <c r="C17" s="36">
        <v>58</v>
      </c>
      <c r="D17" s="14">
        <f t="shared" si="6"/>
        <v>137.14285714285714</v>
      </c>
      <c r="E17" s="12">
        <f t="shared" si="2"/>
        <v>130.9050089601057</v>
      </c>
      <c r="F17" s="16">
        <f t="shared" si="3"/>
        <v>0.44306937114740919</v>
      </c>
      <c r="G17" s="16">
        <f t="shared" si="4"/>
        <v>7</v>
      </c>
      <c r="H17" s="13">
        <f t="shared" si="5"/>
        <v>57.378932498141985</v>
      </c>
      <c r="Y17" s="36">
        <v>4724</v>
      </c>
    </row>
    <row r="18" spans="1:25" ht="15" x14ac:dyDescent="0.3">
      <c r="A18" s="10">
        <f>[1]ArdiData!A17</f>
        <v>15</v>
      </c>
      <c r="B18" s="37">
        <f>'[2]0.ArdiData'!D17</f>
        <v>115</v>
      </c>
      <c r="C18" s="36">
        <v>71</v>
      </c>
      <c r="D18" s="14">
        <f t="shared" si="6"/>
        <v>145.28571428571428</v>
      </c>
      <c r="E18" s="12">
        <f t="shared" si="2"/>
        <v>135.64249003949396</v>
      </c>
      <c r="F18" s="16">
        <f t="shared" si="3"/>
        <v>0.52343480261478159</v>
      </c>
      <c r="G18" s="16">
        <f t="shared" si="4"/>
        <v>1</v>
      </c>
      <c r="H18" s="13">
        <f t="shared" si="5"/>
        <v>65.280980915309812</v>
      </c>
      <c r="Y18" s="36">
        <v>5097</v>
      </c>
    </row>
    <row r="19" spans="1:25" ht="15" x14ac:dyDescent="0.3">
      <c r="A19" s="10">
        <f>[1]ArdiData!A18</f>
        <v>16</v>
      </c>
      <c r="B19" s="37">
        <f>'[2]0.ArdiData'!D18</f>
        <v>159</v>
      </c>
      <c r="C19" s="36">
        <v>130</v>
      </c>
      <c r="D19" s="14">
        <f t="shared" si="6"/>
        <v>139</v>
      </c>
      <c r="E19" s="12">
        <f t="shared" si="2"/>
        <v>140.37997111888225</v>
      </c>
      <c r="F19" s="16">
        <f t="shared" si="3"/>
        <v>0.92605803352038119</v>
      </c>
      <c r="G19" s="16">
        <f t="shared" si="4"/>
        <v>2</v>
      </c>
      <c r="H19" s="13">
        <f t="shared" si="5"/>
        <v>138.3310384489528</v>
      </c>
      <c r="Y19" s="36">
        <v>3992</v>
      </c>
    </row>
    <row r="20" spans="1:25" ht="15" x14ac:dyDescent="0.3">
      <c r="A20" s="10">
        <f>[1]ArdiData!A19</f>
        <v>17</v>
      </c>
      <c r="B20" s="37">
        <f>'[2]0.ArdiData'!D19</f>
        <v>317</v>
      </c>
      <c r="C20" s="36">
        <v>186</v>
      </c>
      <c r="D20" s="14">
        <f t="shared" si="6"/>
        <v>140.42857142857142</v>
      </c>
      <c r="E20" s="12">
        <f t="shared" si="2"/>
        <v>145.11745219827054</v>
      </c>
      <c r="F20" s="16">
        <f t="shared" si="3"/>
        <v>1.2817204077278908</v>
      </c>
      <c r="G20" s="16">
        <f t="shared" si="4"/>
        <v>3</v>
      </c>
      <c r="H20" s="13">
        <f t="shared" si="5"/>
        <v>174.2675997378046</v>
      </c>
      <c r="Y20" s="36">
        <v>4270</v>
      </c>
    </row>
    <row r="21" spans="1:25" ht="15" x14ac:dyDescent="0.3">
      <c r="A21" s="10">
        <f>[1]ArdiData!A20</f>
        <v>18</v>
      </c>
      <c r="B21" s="37">
        <f>'[2]0.ArdiData'!D20</f>
        <v>277</v>
      </c>
      <c r="C21" s="36">
        <v>286</v>
      </c>
      <c r="D21" s="14">
        <f t="shared" si="6"/>
        <v>138.85714285714286</v>
      </c>
      <c r="E21" s="12">
        <f t="shared" si="2"/>
        <v>149.8549332776588</v>
      </c>
      <c r="F21" s="16">
        <f t="shared" si="3"/>
        <v>1.908512410933344</v>
      </c>
      <c r="G21" s="16">
        <f t="shared" si="4"/>
        <v>4</v>
      </c>
      <c r="H21" s="13">
        <f t="shared" si="5"/>
        <v>274.96352901051927</v>
      </c>
      <c r="Y21" s="36">
        <v>5352</v>
      </c>
    </row>
    <row r="22" spans="1:25" ht="15" x14ac:dyDescent="0.3">
      <c r="A22" s="10">
        <f>[1]ArdiData!A21</f>
        <v>19</v>
      </c>
      <c r="B22" s="37">
        <f>'[2]0.ArdiData'!D21</f>
        <v>248</v>
      </c>
      <c r="C22" s="36">
        <v>150</v>
      </c>
      <c r="D22" s="14">
        <f t="shared" si="6"/>
        <v>140.42857142857142</v>
      </c>
      <c r="E22" s="12">
        <f t="shared" si="2"/>
        <v>154.59241435704709</v>
      </c>
      <c r="F22" s="16">
        <f t="shared" si="3"/>
        <v>0.970293404264711</v>
      </c>
      <c r="G22" s="16">
        <f t="shared" si="4"/>
        <v>5</v>
      </c>
      <c r="H22" s="13">
        <f t="shared" si="5"/>
        <v>187.86886888588114</v>
      </c>
      <c r="Y22" s="36">
        <v>5502</v>
      </c>
    </row>
    <row r="23" spans="1:25" ht="15" x14ac:dyDescent="0.3">
      <c r="A23" s="10">
        <f>[1]ArdiData!A22</f>
        <v>20</v>
      </c>
      <c r="B23" s="37">
        <f>'[2]0.ArdiData'!D22</f>
        <v>147</v>
      </c>
      <c r="C23" s="36">
        <v>102</v>
      </c>
      <c r="D23" s="14">
        <f t="shared" si="6"/>
        <v>152</v>
      </c>
      <c r="E23" s="12">
        <f t="shared" si="2"/>
        <v>159.32989543643538</v>
      </c>
      <c r="F23" s="16">
        <f t="shared" si="3"/>
        <v>0.64018117705156519</v>
      </c>
      <c r="G23" s="16">
        <f t="shared" si="4"/>
        <v>6</v>
      </c>
      <c r="H23" s="13">
        <f t="shared" si="5"/>
        <v>134.4757021738821</v>
      </c>
      <c r="Y23" s="36">
        <v>5484</v>
      </c>
    </row>
    <row r="24" spans="1:25" ht="15" x14ac:dyDescent="0.3">
      <c r="A24" s="10">
        <f>[1]ArdiData!A23</f>
        <v>21</v>
      </c>
      <c r="B24" s="37">
        <f>'[2]0.ArdiData'!D23</f>
        <v>112</v>
      </c>
      <c r="C24" s="36">
        <v>47</v>
      </c>
      <c r="D24" s="14">
        <f t="shared" si="6"/>
        <v>148.42857142857142</v>
      </c>
      <c r="E24" s="12">
        <f t="shared" si="2"/>
        <v>164.06737651582364</v>
      </c>
      <c r="F24" s="16">
        <f t="shared" si="3"/>
        <v>0.28646767564706588</v>
      </c>
      <c r="G24" s="16">
        <f t="shared" si="4"/>
        <v>7</v>
      </c>
      <c r="H24" s="13">
        <f t="shared" si="5"/>
        <v>71.914825849923602</v>
      </c>
      <c r="Y24" s="36">
        <v>4564</v>
      </c>
    </row>
    <row r="25" spans="1:25" ht="15" x14ac:dyDescent="0.3">
      <c r="A25" s="10">
        <f>[1]ArdiData!A24</f>
        <v>22</v>
      </c>
      <c r="B25" s="37">
        <f>'[2]0.ArdiData'!D24</f>
        <v>107</v>
      </c>
      <c r="C25" s="36">
        <v>82</v>
      </c>
      <c r="D25" s="14">
        <f t="shared" si="6"/>
        <v>152.57142857142858</v>
      </c>
      <c r="E25" s="12">
        <f t="shared" si="2"/>
        <v>168.80485759521193</v>
      </c>
      <c r="F25" s="16">
        <f t="shared" si="3"/>
        <v>0.48576801146702248</v>
      </c>
      <c r="G25" s="16">
        <f t="shared" si="4"/>
        <v>1</v>
      </c>
      <c r="H25" s="13">
        <f t="shared" si="5"/>
        <v>81.241111718577912</v>
      </c>
      <c r="Y25" s="36">
        <v>5215</v>
      </c>
    </row>
    <row r="26" spans="1:25" ht="15" x14ac:dyDescent="0.3">
      <c r="A26" s="10">
        <f>[1]ArdiData!A25</f>
        <v>23</v>
      </c>
      <c r="B26" s="37">
        <f>'[2]0.ArdiData'!D25</f>
        <v>253</v>
      </c>
      <c r="C26" s="36">
        <v>211</v>
      </c>
      <c r="D26" s="14">
        <f t="shared" si="6"/>
        <v>179.28571428571428</v>
      </c>
      <c r="E26" s="12">
        <f t="shared" si="2"/>
        <v>173.54233867460022</v>
      </c>
      <c r="F26" s="16">
        <f t="shared" si="3"/>
        <v>1.2158416304140893</v>
      </c>
      <c r="G26" s="16">
        <f t="shared" si="4"/>
        <v>2</v>
      </c>
      <c r="H26" s="13">
        <f t="shared" si="5"/>
        <v>171.00938069995277</v>
      </c>
      <c r="Y26" s="36">
        <v>6055</v>
      </c>
    </row>
    <row r="27" spans="1:25" ht="15" x14ac:dyDescent="0.3">
      <c r="A27" s="10">
        <f>[1]ArdiData!A26</f>
        <v>24</v>
      </c>
      <c r="B27" s="37">
        <f>'[2]0.ArdiData'!D26</f>
        <v>231</v>
      </c>
      <c r="C27" s="36">
        <v>161</v>
      </c>
      <c r="D27" s="14">
        <f t="shared" si="6"/>
        <v>196.85714285714286</v>
      </c>
      <c r="E27" s="12">
        <f t="shared" si="2"/>
        <v>178.27981975398848</v>
      </c>
      <c r="F27" s="16">
        <f t="shared" si="3"/>
        <v>0.90307472950200862</v>
      </c>
      <c r="G27" s="16">
        <f t="shared" si="4"/>
        <v>3</v>
      </c>
      <c r="H27" s="13">
        <f t="shared" si="5"/>
        <v>214.09138459630614</v>
      </c>
      <c r="Y27" s="36">
        <v>6246</v>
      </c>
    </row>
    <row r="28" spans="1:25" ht="15" x14ac:dyDescent="0.3">
      <c r="A28" s="10">
        <f>[1]ArdiData!A27</f>
        <v>25</v>
      </c>
      <c r="B28" s="37">
        <f>'[2]0.ArdiData'!D27</f>
        <v>560</v>
      </c>
      <c r="C28" s="36">
        <v>315</v>
      </c>
      <c r="D28" s="14">
        <f t="shared" si="6"/>
        <v>200.85714285714286</v>
      </c>
      <c r="E28" s="12">
        <f t="shared" si="2"/>
        <v>183.01730083337674</v>
      </c>
      <c r="F28" s="16">
        <f t="shared" si="3"/>
        <v>1.7211487578804554</v>
      </c>
      <c r="G28" s="16">
        <f t="shared" si="4"/>
        <v>4</v>
      </c>
      <c r="H28" s="13">
        <f t="shared" si="5"/>
        <v>335.8119870093563</v>
      </c>
      <c r="Y28" s="36">
        <v>7163</v>
      </c>
    </row>
    <row r="29" spans="1:25" ht="15" x14ac:dyDescent="0.3">
      <c r="A29" s="10">
        <f>[1]ArdiData!A28</f>
        <v>26</v>
      </c>
      <c r="B29" s="37">
        <f>'[2]0.ArdiData'!D28</f>
        <v>209</v>
      </c>
      <c r="C29" s="36">
        <v>337</v>
      </c>
      <c r="D29" s="14">
        <f t="shared" si="6"/>
        <v>204</v>
      </c>
      <c r="E29" s="12">
        <f t="shared" si="2"/>
        <v>187.75478191276503</v>
      </c>
      <c r="F29" s="16">
        <f t="shared" si="3"/>
        <v>1.7948943646962747</v>
      </c>
      <c r="G29" s="16">
        <f t="shared" si="4"/>
        <v>5</v>
      </c>
      <c r="H29" s="13">
        <f t="shared" si="5"/>
        <v>228.16952987356285</v>
      </c>
      <c r="Y29" s="36">
        <v>6091</v>
      </c>
    </row>
    <row r="30" spans="1:25" ht="15" x14ac:dyDescent="0.3">
      <c r="A30" s="10">
        <f>[1]ArdiData!A29</f>
        <v>27</v>
      </c>
      <c r="B30" s="37">
        <f>'[2]0.ArdiData'!D29</f>
        <v>269</v>
      </c>
      <c r="C30" s="36">
        <v>225</v>
      </c>
      <c r="D30" s="14">
        <f t="shared" si="6"/>
        <v>206.71428571428572</v>
      </c>
      <c r="E30" s="12">
        <f t="shared" si="2"/>
        <v>192.49226299215331</v>
      </c>
      <c r="F30" s="16">
        <f t="shared" si="3"/>
        <v>1.1688781486722499</v>
      </c>
      <c r="G30" s="16">
        <f t="shared" si="4"/>
        <v>6</v>
      </c>
      <c r="H30" s="13">
        <f t="shared" si="5"/>
        <v>162.46500481283766</v>
      </c>
      <c r="Y30" s="36">
        <v>5990</v>
      </c>
    </row>
    <row r="31" spans="1:25" ht="15" x14ac:dyDescent="0.3">
      <c r="A31" s="10">
        <f>[1]ArdiData!A30</f>
        <v>28</v>
      </c>
      <c r="B31" s="37">
        <f>'[2]0.ArdiData'!D30</f>
        <v>101</v>
      </c>
      <c r="C31" s="36">
        <v>75</v>
      </c>
      <c r="D31" s="14">
        <f t="shared" si="6"/>
        <v>214.28571428571428</v>
      </c>
      <c r="E31" s="12">
        <f t="shared" si="2"/>
        <v>197.2297440715416</v>
      </c>
      <c r="F31" s="16">
        <f t="shared" si="3"/>
        <v>0.38026718714797436</v>
      </c>
      <c r="G31" s="16">
        <f t="shared" si="4"/>
        <v>7</v>
      </c>
      <c r="H31" s="13">
        <f t="shared" si="5"/>
        <v>86.450719201705226</v>
      </c>
      <c r="Y31" s="36">
        <v>6649</v>
      </c>
    </row>
    <row r="32" spans="1:25" ht="15" x14ac:dyDescent="0.3">
      <c r="A32" s="10">
        <f>[1]ArdiData!A31</f>
        <v>29</v>
      </c>
      <c r="B32" s="37">
        <f>'[2]0.ArdiData'!D31</f>
        <v>125</v>
      </c>
      <c r="C32" s="36">
        <v>104</v>
      </c>
      <c r="D32" s="14">
        <f t="shared" si="6"/>
        <v>233</v>
      </c>
      <c r="E32" s="12">
        <f t="shared" si="2"/>
        <v>201.96722515092986</v>
      </c>
      <c r="F32" s="16">
        <f t="shared" si="3"/>
        <v>0.51493503424766529</v>
      </c>
      <c r="G32" s="16">
        <f t="shared" si="4"/>
        <v>1</v>
      </c>
      <c r="H32" s="13">
        <f t="shared" si="5"/>
        <v>97.201242521845998</v>
      </c>
      <c r="Y32" s="36">
        <v>7482</v>
      </c>
    </row>
    <row r="33" spans="1:25" ht="15" x14ac:dyDescent="0.3">
      <c r="A33" s="10">
        <f>[1]ArdiData!A32</f>
        <v>30</v>
      </c>
      <c r="B33" s="37">
        <f>'[2]0.ArdiData'!D32</f>
        <v>225</v>
      </c>
      <c r="C33" s="36">
        <v>230</v>
      </c>
      <c r="D33" s="14">
        <f t="shared" si="6"/>
        <v>216.28571428571428</v>
      </c>
      <c r="E33" s="12">
        <f t="shared" si="2"/>
        <v>206.70470623031815</v>
      </c>
      <c r="F33" s="16">
        <f t="shared" si="3"/>
        <v>1.1126984198595138</v>
      </c>
      <c r="G33" s="16">
        <f t="shared" si="4"/>
        <v>2</v>
      </c>
      <c r="H33" s="13">
        <f t="shared" si="5"/>
        <v>203.68772295095272</v>
      </c>
      <c r="Y33" s="36">
        <v>7485</v>
      </c>
    </row>
    <row r="34" spans="1:25" ht="15" x14ac:dyDescent="0.3">
      <c r="A34" s="10">
        <f>[1]ArdiData!A33</f>
        <v>31</v>
      </c>
      <c r="B34" s="37">
        <f>'[2]0.ArdiData'!D33</f>
        <v>398</v>
      </c>
      <c r="C34" s="36">
        <v>214</v>
      </c>
      <c r="D34" s="14">
        <f t="shared" si="6"/>
        <v>215.42857142857142</v>
      </c>
      <c r="E34" s="12">
        <f t="shared" si="2"/>
        <v>211.44218730970641</v>
      </c>
      <c r="F34" s="16">
        <f t="shared" si="3"/>
        <v>1.0120969836854132</v>
      </c>
      <c r="G34" s="16">
        <f t="shared" si="4"/>
        <v>3</v>
      </c>
      <c r="H34" s="13">
        <f t="shared" si="5"/>
        <v>253.91516945480771</v>
      </c>
      <c r="Y34" s="36">
        <v>6588</v>
      </c>
    </row>
    <row r="35" spans="1:25" ht="15" x14ac:dyDescent="0.3">
      <c r="A35" s="10">
        <f>[1]ArdiData!A34</f>
        <v>32</v>
      </c>
      <c r="B35" s="37">
        <f>'[2]0.ArdiData'!D34</f>
        <v>391</v>
      </c>
      <c r="C35" s="36">
        <v>446</v>
      </c>
      <c r="D35" s="14">
        <f t="shared" si="6"/>
        <v>218.57142857142858</v>
      </c>
      <c r="E35" s="12">
        <f t="shared" si="2"/>
        <v>216.1796683890947</v>
      </c>
      <c r="F35" s="16">
        <f t="shared" si="3"/>
        <v>2.0630987332132418</v>
      </c>
      <c r="G35" s="16">
        <f t="shared" si="4"/>
        <v>4</v>
      </c>
      <c r="H35" s="13">
        <f t="shared" si="5"/>
        <v>396.66044500819339</v>
      </c>
      <c r="Y35" s="36">
        <v>7024</v>
      </c>
    </row>
    <row r="36" spans="1:25" ht="15" x14ac:dyDescent="0.3">
      <c r="A36" s="10">
        <f>[1]ArdiData!A35</f>
        <v>33</v>
      </c>
      <c r="B36" s="37">
        <f>'[2]0.ArdiData'!D35</f>
        <v>353</v>
      </c>
      <c r="C36" s="36">
        <v>220</v>
      </c>
      <c r="D36" s="14">
        <f t="shared" si="6"/>
        <v>217.14285714285714</v>
      </c>
      <c r="E36" s="12">
        <f t="shared" ref="E36:E67" si="7">$E$2+$F$2*A36</f>
        <v>220.91714946848299</v>
      </c>
      <c r="F36" s="16">
        <f t="shared" ref="F36:F67" si="8">C36/E36</f>
        <v>0.99584844603196443</v>
      </c>
      <c r="G36" s="16">
        <f t="shared" ref="G36:G67" si="9">IF(MOD(A36,$J$1)&lt;&gt;0,MOD(A36,$J$1),$J$1)</f>
        <v>5</v>
      </c>
      <c r="H36" s="13">
        <f t="shared" ref="H36:H67" si="10">E36*VLOOKUP(G36,$J$3:$L$9,3)</f>
        <v>268.47019086124459</v>
      </c>
      <c r="Y36" s="36">
        <v>7434</v>
      </c>
    </row>
    <row r="37" spans="1:25" ht="15" x14ac:dyDescent="0.3">
      <c r="A37" s="10">
        <f>[1]ArdiData!A36</f>
        <v>34</v>
      </c>
      <c r="B37" s="37">
        <f>'[2]0.ArdiData'!D36</f>
        <v>211</v>
      </c>
      <c r="C37" s="36">
        <v>219</v>
      </c>
      <c r="D37" s="14">
        <f t="shared" si="6"/>
        <v>225</v>
      </c>
      <c r="E37" s="12">
        <f t="shared" si="7"/>
        <v>225.65463054787125</v>
      </c>
      <c r="F37" s="16">
        <f t="shared" si="8"/>
        <v>0.9705096654488572</v>
      </c>
      <c r="G37" s="16">
        <f t="shared" si="9"/>
        <v>6</v>
      </c>
      <c r="H37" s="13">
        <f t="shared" si="10"/>
        <v>190.45430745179323</v>
      </c>
      <c r="Y37" s="36">
        <v>8159</v>
      </c>
    </row>
    <row r="38" spans="1:25" ht="15" x14ac:dyDescent="0.3">
      <c r="A38" s="10">
        <f>[1]ArdiData!A37</f>
        <v>35</v>
      </c>
      <c r="B38" s="37">
        <f>'[2]0.ArdiData'!D37</f>
        <v>163</v>
      </c>
      <c r="C38" s="36">
        <v>97</v>
      </c>
      <c r="D38" s="14">
        <f t="shared" si="6"/>
        <v>246.57142857142858</v>
      </c>
      <c r="E38" s="12">
        <f t="shared" si="7"/>
        <v>230.39211162725954</v>
      </c>
      <c r="F38" s="16">
        <f t="shared" si="8"/>
        <v>0.42102135925960738</v>
      </c>
      <c r="G38" s="16">
        <f t="shared" si="9"/>
        <v>7</v>
      </c>
      <c r="H38" s="13">
        <f t="shared" si="10"/>
        <v>100.98661255348685</v>
      </c>
      <c r="Y38" s="36">
        <v>9576</v>
      </c>
    </row>
    <row r="39" spans="1:25" ht="15" x14ac:dyDescent="0.3">
      <c r="A39" s="10">
        <f>[1]ArdiData!A38</f>
        <v>36</v>
      </c>
      <c r="B39" s="37">
        <f>'[2]0.ArdiData'!D38</f>
        <v>136</v>
      </c>
      <c r="C39" s="36">
        <v>94</v>
      </c>
      <c r="D39" s="14">
        <f t="shared" ref="D39:D70" si="11">AVERAGE(C36:C42)</f>
        <v>253.14285714285714</v>
      </c>
      <c r="E39" s="12">
        <f t="shared" si="7"/>
        <v>235.1295927066478</v>
      </c>
      <c r="F39" s="16">
        <f t="shared" si="8"/>
        <v>0.39977953824500606</v>
      </c>
      <c r="G39" s="16">
        <f t="shared" si="9"/>
        <v>1</v>
      </c>
      <c r="H39" s="13">
        <f t="shared" si="10"/>
        <v>113.16137332511408</v>
      </c>
      <c r="Y39" s="36">
        <v>6848</v>
      </c>
    </row>
    <row r="40" spans="1:25" ht="15" x14ac:dyDescent="0.3">
      <c r="A40" s="10">
        <f>[1]ArdiData!A39</f>
        <v>37</v>
      </c>
      <c r="B40" s="37">
        <f>'[2]0.ArdiData'!D39</f>
        <v>311</v>
      </c>
      <c r="C40" s="36">
        <v>285</v>
      </c>
      <c r="D40" s="14">
        <f t="shared" si="11"/>
        <v>244.71428571428572</v>
      </c>
      <c r="E40" s="12">
        <f t="shared" si="7"/>
        <v>239.86707378603609</v>
      </c>
      <c r="F40" s="16">
        <f t="shared" si="8"/>
        <v>1.1881580723089278</v>
      </c>
      <c r="G40" s="16">
        <f t="shared" si="9"/>
        <v>2</v>
      </c>
      <c r="H40" s="13">
        <f t="shared" si="10"/>
        <v>236.36606520195267</v>
      </c>
      <c r="Y40" s="36">
        <v>8459</v>
      </c>
    </row>
    <row r="41" spans="1:25" ht="15" x14ac:dyDescent="0.3">
      <c r="A41" s="10">
        <f>[1]ArdiData!A40</f>
        <v>38</v>
      </c>
      <c r="B41" s="37">
        <f>'[2]0.ArdiData'!D40</f>
        <v>512</v>
      </c>
      <c r="C41" s="36">
        <v>365</v>
      </c>
      <c r="D41" s="14">
        <f t="shared" si="11"/>
        <v>241.57142857142858</v>
      </c>
      <c r="E41" s="12">
        <f t="shared" si="7"/>
        <v>244.60455486542438</v>
      </c>
      <c r="F41" s="16">
        <f t="shared" si="8"/>
        <v>1.4922044284940414</v>
      </c>
      <c r="G41" s="16">
        <f t="shared" si="9"/>
        <v>3</v>
      </c>
      <c r="H41" s="13">
        <f t="shared" si="10"/>
        <v>293.73895431330931</v>
      </c>
      <c r="Y41" s="36">
        <v>8437</v>
      </c>
    </row>
    <row r="42" spans="1:25" ht="15" x14ac:dyDescent="0.3">
      <c r="A42" s="10">
        <f>[1]ArdiData!A41</f>
        <v>39</v>
      </c>
      <c r="B42" s="37">
        <f>'[2]0.ArdiData'!D41</f>
        <v>458</v>
      </c>
      <c r="C42" s="36">
        <v>492</v>
      </c>
      <c r="D42" s="14">
        <f t="shared" si="11"/>
        <v>246.42857142857142</v>
      </c>
      <c r="E42" s="12">
        <f t="shared" si="7"/>
        <v>249.34203594481264</v>
      </c>
      <c r="F42" s="16">
        <f t="shared" si="8"/>
        <v>1.9731931606947146</v>
      </c>
      <c r="G42" s="16">
        <f t="shared" si="9"/>
        <v>4</v>
      </c>
      <c r="H42" s="13">
        <f t="shared" si="10"/>
        <v>457.50890300703043</v>
      </c>
      <c r="Y42" s="36">
        <v>8919</v>
      </c>
    </row>
    <row r="43" spans="1:25" ht="15" x14ac:dyDescent="0.3">
      <c r="A43" s="10">
        <f>[1]ArdiData!A42</f>
        <v>40</v>
      </c>
      <c r="B43" s="37">
        <f>'[2]0.ArdiData'!D42</f>
        <v>427</v>
      </c>
      <c r="C43" s="36">
        <v>161</v>
      </c>
      <c r="D43" s="14">
        <f t="shared" si="11"/>
        <v>256</v>
      </c>
      <c r="E43" s="12">
        <f t="shared" si="7"/>
        <v>254.07951702420092</v>
      </c>
      <c r="F43" s="16">
        <f t="shared" si="8"/>
        <v>0.63365989468826345</v>
      </c>
      <c r="G43" s="16">
        <f t="shared" si="9"/>
        <v>5</v>
      </c>
      <c r="H43" s="13">
        <f t="shared" si="10"/>
        <v>308.77085184892627</v>
      </c>
      <c r="Y43" s="36">
        <v>10045</v>
      </c>
    </row>
    <row r="44" spans="1:25" ht="15" x14ac:dyDescent="0.3">
      <c r="A44" s="10">
        <f>[1]ArdiData!A43</f>
        <v>41</v>
      </c>
      <c r="B44" s="37">
        <f>'[2]0.ArdiData'!D43</f>
        <v>300</v>
      </c>
      <c r="C44" s="36">
        <v>197</v>
      </c>
      <c r="D44" s="14">
        <f t="shared" si="11"/>
        <v>244</v>
      </c>
      <c r="E44" s="12">
        <f t="shared" si="7"/>
        <v>258.81699810358919</v>
      </c>
      <c r="F44" s="16">
        <f t="shared" si="8"/>
        <v>0.76115557109256216</v>
      </c>
      <c r="G44" s="16">
        <f t="shared" si="9"/>
        <v>6</v>
      </c>
      <c r="H44" s="13">
        <f t="shared" si="10"/>
        <v>218.44361009074879</v>
      </c>
      <c r="Y44" s="36">
        <v>8891</v>
      </c>
    </row>
    <row r="45" spans="1:25" ht="15" x14ac:dyDescent="0.3">
      <c r="A45" s="10">
        <f>[1]ArdiData!A44</f>
        <v>42</v>
      </c>
      <c r="B45" s="37">
        <f>'[2]0.ArdiData'!D44</f>
        <v>198</v>
      </c>
      <c r="C45" s="36">
        <v>131</v>
      </c>
      <c r="D45" s="14">
        <f t="shared" si="11"/>
        <v>251.14285714285714</v>
      </c>
      <c r="E45" s="12">
        <f t="shared" si="7"/>
        <v>263.5544791829775</v>
      </c>
      <c r="F45" s="16">
        <f t="shared" si="8"/>
        <v>0.49705093385664245</v>
      </c>
      <c r="G45" s="16">
        <f t="shared" si="9"/>
        <v>7</v>
      </c>
      <c r="H45" s="13">
        <f t="shared" si="10"/>
        <v>115.52250590526847</v>
      </c>
      <c r="Y45" s="36">
        <v>8708</v>
      </c>
    </row>
    <row r="46" spans="1:25" ht="15" x14ac:dyDescent="0.3">
      <c r="A46" s="10">
        <f>[1]ArdiData!A45</f>
        <v>43</v>
      </c>
      <c r="B46" s="37">
        <f>'[2]0.ArdiData'!D45</f>
        <v>183</v>
      </c>
      <c r="C46" s="36">
        <v>161</v>
      </c>
      <c r="D46" s="14">
        <f t="shared" si="11"/>
        <v>251.42857142857142</v>
      </c>
      <c r="E46" s="12">
        <f t="shared" si="7"/>
        <v>268.29196026236576</v>
      </c>
      <c r="F46" s="16">
        <f t="shared" si="8"/>
        <v>0.60009252548066017</v>
      </c>
      <c r="G46" s="16">
        <f t="shared" si="9"/>
        <v>1</v>
      </c>
      <c r="H46" s="13">
        <f t="shared" si="10"/>
        <v>129.12150412838218</v>
      </c>
      <c r="Y46" s="36">
        <v>10160</v>
      </c>
    </row>
    <row r="47" spans="1:25" ht="15" x14ac:dyDescent="0.3">
      <c r="A47" s="10">
        <f>[1]ArdiData!A46</f>
        <v>44</v>
      </c>
      <c r="B47" s="37">
        <f>'[2]0.ArdiData'!D46</f>
        <v>324</v>
      </c>
      <c r="C47" s="36">
        <v>201</v>
      </c>
      <c r="D47" s="14">
        <f t="shared" si="11"/>
        <v>280.14285714285717</v>
      </c>
      <c r="E47" s="12">
        <f t="shared" si="7"/>
        <v>273.02944134175402</v>
      </c>
      <c r="F47" s="16">
        <f t="shared" si="8"/>
        <v>0.73618434338883632</v>
      </c>
      <c r="G47" s="16">
        <f t="shared" si="9"/>
        <v>2</v>
      </c>
      <c r="H47" s="13">
        <f t="shared" si="10"/>
        <v>269.04440745295261</v>
      </c>
      <c r="Y47" s="36">
        <v>10004</v>
      </c>
    </row>
    <row r="48" spans="1:25" ht="15" x14ac:dyDescent="0.3">
      <c r="A48" s="10">
        <f>[1]ArdiData!A47</f>
        <v>45</v>
      </c>
      <c r="B48" s="37">
        <f>'[2]0.ArdiData'!D47</f>
        <v>449</v>
      </c>
      <c r="C48" s="36">
        <v>415</v>
      </c>
      <c r="D48" s="14">
        <f t="shared" si="11"/>
        <v>288.42857142857144</v>
      </c>
      <c r="E48" s="12">
        <f t="shared" si="7"/>
        <v>277.76692242114234</v>
      </c>
      <c r="F48" s="16">
        <f t="shared" si="8"/>
        <v>1.4940583867318398</v>
      </c>
      <c r="G48" s="16">
        <f t="shared" si="9"/>
        <v>3</v>
      </c>
      <c r="H48" s="13">
        <f t="shared" si="10"/>
        <v>333.5627391718109</v>
      </c>
      <c r="Y48" s="36">
        <v>10608</v>
      </c>
    </row>
    <row r="49" spans="1:25" ht="15" x14ac:dyDescent="0.3">
      <c r="A49" s="10">
        <f>[1]ArdiData!A48</f>
        <v>46</v>
      </c>
      <c r="B49" s="37">
        <f>'[2]0.ArdiData'!D48</f>
        <v>719</v>
      </c>
      <c r="C49" s="36">
        <v>494</v>
      </c>
      <c r="D49" s="14">
        <f t="shared" si="11"/>
        <v>294.42857142857144</v>
      </c>
      <c r="E49" s="12">
        <f t="shared" si="7"/>
        <v>282.5044035005306</v>
      </c>
      <c r="F49" s="16">
        <f t="shared" si="8"/>
        <v>1.7486453091662062</v>
      </c>
      <c r="G49" s="16">
        <f t="shared" si="9"/>
        <v>4</v>
      </c>
      <c r="H49" s="13">
        <f t="shared" si="10"/>
        <v>518.35736100586757</v>
      </c>
      <c r="Y49" s="36">
        <v>9742</v>
      </c>
    </row>
    <row r="50" spans="1:25" ht="15" x14ac:dyDescent="0.3">
      <c r="A50" s="10">
        <f>[1]ArdiData!A49</f>
        <v>47</v>
      </c>
      <c r="B50" s="37">
        <f>'[2]0.ArdiData'!D49</f>
        <v>578</v>
      </c>
      <c r="C50" s="36">
        <v>362</v>
      </c>
      <c r="D50" s="14">
        <f t="shared" si="11"/>
        <v>289.71428571428572</v>
      </c>
      <c r="E50" s="12">
        <f t="shared" si="7"/>
        <v>287.24188457991886</v>
      </c>
      <c r="F50" s="16">
        <f t="shared" si="8"/>
        <v>1.2602618887889983</v>
      </c>
      <c r="G50" s="16">
        <f t="shared" si="9"/>
        <v>5</v>
      </c>
      <c r="H50" s="13">
        <f t="shared" si="10"/>
        <v>349.07151283660795</v>
      </c>
      <c r="Y50" s="36">
        <v>8280</v>
      </c>
    </row>
    <row r="51" spans="1:25" ht="15" x14ac:dyDescent="0.3">
      <c r="A51" s="10">
        <f>[1]ArdiData!A50</f>
        <v>48</v>
      </c>
      <c r="B51" s="37">
        <f>'[2]0.ArdiData'!D50</f>
        <v>267</v>
      </c>
      <c r="C51" s="36">
        <v>255</v>
      </c>
      <c r="D51" s="14">
        <f t="shared" si="11"/>
        <v>303.14285714285717</v>
      </c>
      <c r="E51" s="12">
        <f t="shared" si="7"/>
        <v>291.97936565930718</v>
      </c>
      <c r="F51" s="16">
        <f t="shared" si="8"/>
        <v>0.87334938694792519</v>
      </c>
      <c r="G51" s="16">
        <f t="shared" si="9"/>
        <v>6</v>
      </c>
      <c r="H51" s="13">
        <f t="shared" si="10"/>
        <v>246.43291272970441</v>
      </c>
      <c r="Y51" s="36">
        <v>9626</v>
      </c>
    </row>
    <row r="52" spans="1:25" ht="15" x14ac:dyDescent="0.3">
      <c r="A52" s="10">
        <f>[1]ArdiData!A51</f>
        <v>49</v>
      </c>
      <c r="B52" s="37">
        <f>'[2]0.ArdiData'!D51</f>
        <v>157</v>
      </c>
      <c r="C52" s="36">
        <v>173</v>
      </c>
      <c r="D52" s="14">
        <f t="shared" si="11"/>
        <v>289.14285714285717</v>
      </c>
      <c r="E52" s="12">
        <f t="shared" si="7"/>
        <v>296.71684673869544</v>
      </c>
      <c r="F52" s="16">
        <f t="shared" si="8"/>
        <v>0.5830474470913779</v>
      </c>
      <c r="G52" s="16">
        <f t="shared" si="9"/>
        <v>7</v>
      </c>
      <c r="H52" s="13">
        <f t="shared" si="10"/>
        <v>130.0583992570501</v>
      </c>
      <c r="Y52" s="36">
        <v>11080</v>
      </c>
    </row>
    <row r="53" spans="1:25" ht="15" x14ac:dyDescent="0.3">
      <c r="A53" s="10">
        <f>[1]ArdiData!A52</f>
        <v>50</v>
      </c>
      <c r="B53" s="37">
        <f>'[2]0.ArdiData'!D52</f>
        <v>231</v>
      </c>
      <c r="C53" s="36">
        <v>128</v>
      </c>
      <c r="D53" s="14">
        <f t="shared" si="11"/>
        <v>298</v>
      </c>
      <c r="E53" s="12">
        <f t="shared" si="7"/>
        <v>301.4543278180837</v>
      </c>
      <c r="F53" s="16">
        <f t="shared" si="8"/>
        <v>0.42460826794712053</v>
      </c>
      <c r="G53" s="16">
        <f t="shared" si="9"/>
        <v>1</v>
      </c>
      <c r="H53" s="13">
        <f t="shared" si="10"/>
        <v>145.08163493165026</v>
      </c>
      <c r="Y53" s="36">
        <v>11969</v>
      </c>
    </row>
    <row r="54" spans="1:25" ht="15" x14ac:dyDescent="0.3">
      <c r="A54" s="10">
        <f>[1]ArdiData!A53</f>
        <v>51</v>
      </c>
      <c r="B54" s="37">
        <f>'[2]0.ArdiData'!D53</f>
        <v>364</v>
      </c>
      <c r="C54" s="36">
        <v>295</v>
      </c>
      <c r="D54" s="14">
        <f t="shared" si="11"/>
        <v>318.71428571428572</v>
      </c>
      <c r="E54" s="12">
        <f t="shared" si="7"/>
        <v>306.19180889747201</v>
      </c>
      <c r="F54" s="16">
        <f t="shared" si="8"/>
        <v>0.96344837264663874</v>
      </c>
      <c r="G54" s="16">
        <f t="shared" si="9"/>
        <v>2</v>
      </c>
      <c r="H54" s="13">
        <f t="shared" si="10"/>
        <v>301.72274970395262</v>
      </c>
      <c r="Y54" s="36">
        <v>10532</v>
      </c>
    </row>
    <row r="55" spans="1:25" ht="15" x14ac:dyDescent="0.3">
      <c r="A55" s="10">
        <f>[1]ArdiData!A54</f>
        <v>52</v>
      </c>
      <c r="B55" s="37">
        <f>'[2]0.ArdiData'!D54</f>
        <v>520</v>
      </c>
      <c r="C55" s="36">
        <v>317</v>
      </c>
      <c r="D55" s="14">
        <f t="shared" si="11"/>
        <v>314.85714285714283</v>
      </c>
      <c r="E55" s="12">
        <f t="shared" si="7"/>
        <v>310.92928997686022</v>
      </c>
      <c r="F55" s="16">
        <f t="shared" si="8"/>
        <v>1.0195244070559952</v>
      </c>
      <c r="G55" s="16">
        <f t="shared" si="9"/>
        <v>3</v>
      </c>
      <c r="H55" s="13">
        <f t="shared" si="10"/>
        <v>373.38652403031239</v>
      </c>
      <c r="Y55" s="36">
        <v>9688</v>
      </c>
    </row>
    <row r="56" spans="1:25" ht="15" x14ac:dyDescent="0.3">
      <c r="A56" s="10">
        <f>[1]ArdiData!A55</f>
        <v>53</v>
      </c>
      <c r="B56" s="37">
        <f>'[2]0.ArdiData'!D55</f>
        <v>804</v>
      </c>
      <c r="C56" s="36">
        <v>556</v>
      </c>
      <c r="D56" s="14">
        <f t="shared" si="11"/>
        <v>312.85714285714283</v>
      </c>
      <c r="E56" s="12">
        <f t="shared" si="7"/>
        <v>315.66677105624854</v>
      </c>
      <c r="F56" s="16">
        <f t="shared" si="8"/>
        <v>1.7613510542765574</v>
      </c>
      <c r="G56" s="16">
        <f t="shared" si="9"/>
        <v>4</v>
      </c>
      <c r="H56" s="13">
        <f t="shared" si="10"/>
        <v>579.20581900470461</v>
      </c>
      <c r="Y56" s="36">
        <v>11226</v>
      </c>
    </row>
    <row r="57" spans="1:25" ht="15" x14ac:dyDescent="0.3">
      <c r="A57" s="10">
        <f>[1]ArdiData!A56</f>
        <v>54</v>
      </c>
      <c r="B57" s="37">
        <f>'[2]0.ArdiData'!D56</f>
        <v>754</v>
      </c>
      <c r="C57" s="36">
        <v>507</v>
      </c>
      <c r="D57" s="14">
        <f t="shared" si="11"/>
        <v>316.42857142857144</v>
      </c>
      <c r="E57" s="12">
        <f t="shared" si="7"/>
        <v>320.40425213563685</v>
      </c>
      <c r="F57" s="16">
        <f t="shared" si="8"/>
        <v>1.5823760035037597</v>
      </c>
      <c r="G57" s="16">
        <f t="shared" si="9"/>
        <v>5</v>
      </c>
      <c r="H57" s="13">
        <f t="shared" si="10"/>
        <v>389.37217382428975</v>
      </c>
      <c r="Y57" s="36">
        <v>12363</v>
      </c>
    </row>
    <row r="58" spans="1:25" ht="15" x14ac:dyDescent="0.3">
      <c r="A58" s="10">
        <f>[1]ArdiData!A57</f>
        <v>55</v>
      </c>
      <c r="B58" s="37">
        <f>'[2]0.ArdiData'!D57</f>
        <v>429</v>
      </c>
      <c r="C58" s="36">
        <v>228</v>
      </c>
      <c r="D58" s="14">
        <f t="shared" si="11"/>
        <v>312.57142857142856</v>
      </c>
      <c r="E58" s="12">
        <f t="shared" si="7"/>
        <v>325.14173321502506</v>
      </c>
      <c r="F58" s="16">
        <f t="shared" si="8"/>
        <v>0.70123265243596833</v>
      </c>
      <c r="G58" s="16">
        <f t="shared" si="9"/>
        <v>6</v>
      </c>
      <c r="H58" s="13">
        <f t="shared" si="10"/>
        <v>274.42221536865992</v>
      </c>
      <c r="Y58" s="36">
        <v>12508</v>
      </c>
    </row>
    <row r="59" spans="1:25" ht="15" x14ac:dyDescent="0.3">
      <c r="A59" s="10">
        <f>[1]ArdiData!A58</f>
        <v>56</v>
      </c>
      <c r="B59" s="37">
        <f>'[2]0.ArdiData'!D58</f>
        <v>237</v>
      </c>
      <c r="C59" s="36">
        <v>159</v>
      </c>
      <c r="D59" s="14">
        <f t="shared" si="11"/>
        <v>331.14285714285717</v>
      </c>
      <c r="E59" s="12">
        <f t="shared" si="7"/>
        <v>329.87921429441337</v>
      </c>
      <c r="F59" s="16">
        <f t="shared" si="8"/>
        <v>0.48199460017536705</v>
      </c>
      <c r="G59" s="16">
        <f t="shared" si="9"/>
        <v>7</v>
      </c>
      <c r="H59" s="13">
        <f t="shared" si="10"/>
        <v>144.59429260883169</v>
      </c>
      <c r="Y59" s="36">
        <v>10859</v>
      </c>
    </row>
    <row r="60" spans="1:25" ht="15" x14ac:dyDescent="0.3">
      <c r="A60" s="10">
        <f>[1]ArdiData!A59</f>
        <v>57</v>
      </c>
      <c r="B60" s="37">
        <f>'[2]0.ArdiData'!D59</f>
        <v>160</v>
      </c>
      <c r="C60" s="36">
        <v>153</v>
      </c>
      <c r="D60" s="14">
        <f t="shared" si="11"/>
        <v>326.42857142857144</v>
      </c>
      <c r="E60" s="12">
        <f t="shared" si="7"/>
        <v>334.61669537380169</v>
      </c>
      <c r="F60" s="16">
        <f t="shared" si="8"/>
        <v>0.45723958820728616</v>
      </c>
      <c r="G60" s="16">
        <f t="shared" si="9"/>
        <v>1</v>
      </c>
      <c r="H60" s="13">
        <f t="shared" si="10"/>
        <v>161.04176573491839</v>
      </c>
      <c r="Y60" s="36">
        <v>9700</v>
      </c>
    </row>
    <row r="61" spans="1:25" ht="15" x14ac:dyDescent="0.3">
      <c r="A61" s="10">
        <f>[1]ArdiData!A60</f>
        <v>58</v>
      </c>
      <c r="B61" s="37">
        <f>'[2]0.ArdiData'!D60</f>
        <v>315</v>
      </c>
      <c r="C61" s="36">
        <v>268</v>
      </c>
      <c r="D61" s="14">
        <f t="shared" si="11"/>
        <v>333.85714285714283</v>
      </c>
      <c r="E61" s="12">
        <f t="shared" si="7"/>
        <v>339.35417645318989</v>
      </c>
      <c r="F61" s="16">
        <f t="shared" si="8"/>
        <v>0.78973538148562494</v>
      </c>
      <c r="G61" s="16">
        <f t="shared" si="9"/>
        <v>2</v>
      </c>
      <c r="H61" s="13">
        <f t="shared" si="10"/>
        <v>334.40109195495251</v>
      </c>
      <c r="Y61" s="36">
        <v>11510</v>
      </c>
    </row>
    <row r="62" spans="1:25" ht="15" x14ac:dyDescent="0.3">
      <c r="A62" s="10">
        <f>[1]ArdiData!A61</f>
        <v>59</v>
      </c>
      <c r="B62" s="37">
        <f>'[2]0.ArdiData'!D61</f>
        <v>311</v>
      </c>
      <c r="C62" s="36">
        <v>447</v>
      </c>
      <c r="D62" s="14">
        <f t="shared" si="11"/>
        <v>348.71428571428572</v>
      </c>
      <c r="E62" s="12">
        <f t="shared" si="7"/>
        <v>344.09165753257821</v>
      </c>
      <c r="F62" s="16">
        <f t="shared" si="8"/>
        <v>1.2990724715773689</v>
      </c>
      <c r="G62" s="16">
        <f t="shared" si="9"/>
        <v>3</v>
      </c>
      <c r="H62" s="13">
        <f t="shared" si="10"/>
        <v>413.21030888881404</v>
      </c>
      <c r="Y62" s="36">
        <v>14566</v>
      </c>
    </row>
    <row r="63" spans="1:25" ht="15" x14ac:dyDescent="0.3">
      <c r="A63" s="10">
        <f>[1]ArdiData!A62</f>
        <v>60</v>
      </c>
      <c r="B63" s="37">
        <f>'[2]0.ArdiData'!D62</f>
        <v>1053</v>
      </c>
      <c r="C63" s="36">
        <v>523</v>
      </c>
      <c r="D63" s="14">
        <f t="shared" si="11"/>
        <v>355</v>
      </c>
      <c r="E63" s="12">
        <f t="shared" si="7"/>
        <v>348.82913861196653</v>
      </c>
      <c r="F63" s="16">
        <f t="shared" si="8"/>
        <v>1.4993013544713623</v>
      </c>
      <c r="G63" s="16">
        <f t="shared" si="9"/>
        <v>4</v>
      </c>
      <c r="H63" s="13">
        <f t="shared" si="10"/>
        <v>640.05427700354176</v>
      </c>
      <c r="Y63" s="36">
        <v>15138</v>
      </c>
    </row>
    <row r="64" spans="1:25" ht="15" x14ac:dyDescent="0.3">
      <c r="A64" s="10">
        <f>[1]ArdiData!A63</f>
        <v>61</v>
      </c>
      <c r="B64" s="37">
        <f>'[2]0.ArdiData'!D63</f>
        <v>794</v>
      </c>
      <c r="C64" s="36">
        <v>559</v>
      </c>
      <c r="D64" s="14">
        <f t="shared" si="11"/>
        <v>362.42857142857144</v>
      </c>
      <c r="E64" s="12">
        <f t="shared" si="7"/>
        <v>353.56661969135473</v>
      </c>
      <c r="F64" s="16">
        <f t="shared" si="8"/>
        <v>1.5810316044200607</v>
      </c>
      <c r="G64" s="16">
        <f t="shared" si="9"/>
        <v>5</v>
      </c>
      <c r="H64" s="13">
        <f t="shared" si="10"/>
        <v>429.67283481197137</v>
      </c>
      <c r="Y64" s="36">
        <v>9987</v>
      </c>
    </row>
    <row r="65" spans="1:25" ht="15" x14ac:dyDescent="0.3">
      <c r="A65" s="10">
        <f>[1]ArdiData!A64</f>
        <v>62</v>
      </c>
      <c r="B65" s="37">
        <f>'[2]0.ArdiData'!D64</f>
        <v>298</v>
      </c>
      <c r="C65" s="36">
        <v>332</v>
      </c>
      <c r="D65" s="14">
        <f t="shared" si="11"/>
        <v>378.85714285714283</v>
      </c>
      <c r="E65" s="12">
        <f t="shared" si="7"/>
        <v>358.30410077074305</v>
      </c>
      <c r="F65" s="16">
        <f t="shared" si="8"/>
        <v>0.92658721819214274</v>
      </c>
      <c r="G65" s="16">
        <f t="shared" si="9"/>
        <v>6</v>
      </c>
      <c r="H65" s="13">
        <f t="shared" si="10"/>
        <v>302.41151800761554</v>
      </c>
      <c r="Y65" s="36">
        <v>12264</v>
      </c>
    </row>
    <row r="66" spans="1:25" ht="15" x14ac:dyDescent="0.3">
      <c r="A66" s="10">
        <f>[1]ArdiData!A65</f>
        <v>63</v>
      </c>
      <c r="B66" s="37">
        <f>'[2]0.ArdiData'!D65</f>
        <v>227</v>
      </c>
      <c r="C66" s="36">
        <v>203</v>
      </c>
      <c r="D66" s="14">
        <f t="shared" si="11"/>
        <v>360.71428571428572</v>
      </c>
      <c r="E66" s="12">
        <f t="shared" si="7"/>
        <v>363.04158185013137</v>
      </c>
      <c r="F66" s="16">
        <f t="shared" si="8"/>
        <v>0.55916459752481251</v>
      </c>
      <c r="G66" s="16">
        <f t="shared" si="9"/>
        <v>7</v>
      </c>
      <c r="H66" s="13">
        <f t="shared" si="10"/>
        <v>159.13018596061335</v>
      </c>
      <c r="Y66" s="36">
        <v>13412</v>
      </c>
    </row>
    <row r="67" spans="1:25" ht="15" x14ac:dyDescent="0.3">
      <c r="A67" s="10">
        <f>[1]ArdiData!A66</f>
        <v>64</v>
      </c>
      <c r="B67" s="37">
        <f>'[2]0.ArdiData'!D66</f>
        <v>177</v>
      </c>
      <c r="C67" s="36">
        <v>205</v>
      </c>
      <c r="D67" s="14">
        <f t="shared" si="11"/>
        <v>385.85714285714283</v>
      </c>
      <c r="E67" s="12">
        <f t="shared" si="7"/>
        <v>367.77906292951957</v>
      </c>
      <c r="F67" s="16">
        <f t="shared" si="8"/>
        <v>0.55739986492729132</v>
      </c>
      <c r="G67" s="16">
        <f t="shared" si="9"/>
        <v>1</v>
      </c>
      <c r="H67" s="13">
        <f t="shared" si="10"/>
        <v>177.00189653818643</v>
      </c>
      <c r="Y67" s="36">
        <v>14713</v>
      </c>
    </row>
    <row r="68" spans="1:25" ht="15" x14ac:dyDescent="0.3">
      <c r="A68" s="10">
        <f>[1]ArdiData!A67</f>
        <v>65</v>
      </c>
      <c r="B68" s="37">
        <f>'[2]0.ArdiData'!D67</f>
        <v>401</v>
      </c>
      <c r="C68" s="36">
        <v>383</v>
      </c>
      <c r="D68" s="14">
        <f t="shared" si="11"/>
        <v>374.57142857142856</v>
      </c>
      <c r="E68" s="12">
        <f t="shared" ref="E68:E78" si="12">$E$2+$F$2*A68</f>
        <v>372.51654400890789</v>
      </c>
      <c r="F68" s="16">
        <f t="shared" ref="F68:F78" si="13">C68/E68</f>
        <v>1.0281422561217615</v>
      </c>
      <c r="G68" s="16">
        <f t="shared" ref="G68:G78" si="14">IF(MOD(A68,$J$1)&lt;&gt;0,MOD(A68,$J$1),$J$1)</f>
        <v>2</v>
      </c>
      <c r="H68" s="13">
        <f t="shared" ref="H68:H78" si="15">E68*VLOOKUP(G68,$J$3:$L$9,3)</f>
        <v>367.07943420595251</v>
      </c>
      <c r="Y68" s="36">
        <v>14806</v>
      </c>
    </row>
    <row r="69" spans="1:25" ht="15" x14ac:dyDescent="0.3">
      <c r="A69" s="10">
        <f>[1]ArdiData!A68</f>
        <v>66</v>
      </c>
      <c r="B69" s="37">
        <f>'[2]0.ArdiData'!D68</f>
        <v>497</v>
      </c>
      <c r="C69" s="36">
        <v>320</v>
      </c>
      <c r="D69" s="14">
        <f t="shared" si="11"/>
        <v>373.28571428571428</v>
      </c>
      <c r="E69" s="12">
        <f t="shared" si="12"/>
        <v>377.2540250882962</v>
      </c>
      <c r="F69" s="16">
        <f t="shared" si="13"/>
        <v>0.84823481982757931</v>
      </c>
      <c r="G69" s="16">
        <f t="shared" si="14"/>
        <v>3</v>
      </c>
      <c r="H69" s="13">
        <f t="shared" si="15"/>
        <v>453.03409374731564</v>
      </c>
      <c r="Y69" s="36">
        <v>11801</v>
      </c>
    </row>
    <row r="70" spans="1:25" ht="15" x14ac:dyDescent="0.3">
      <c r="A70" s="10">
        <f>[1]ArdiData!A69</f>
        <v>67</v>
      </c>
      <c r="B70" s="37">
        <f>'[2]0.ArdiData'!D69</f>
        <v>1034</v>
      </c>
      <c r="C70" s="36">
        <v>699</v>
      </c>
      <c r="D70" s="14">
        <f t="shared" si="11"/>
        <v>367.14285714285717</v>
      </c>
      <c r="E70" s="12">
        <f t="shared" si="12"/>
        <v>381.99150616768441</v>
      </c>
      <c r="F70" s="16">
        <f t="shared" si="13"/>
        <v>1.8298836196979653</v>
      </c>
      <c r="G70" s="16">
        <f t="shared" si="14"/>
        <v>4</v>
      </c>
      <c r="H70" s="13">
        <f t="shared" si="15"/>
        <v>700.90273500237868</v>
      </c>
      <c r="Y70" s="36">
        <v>13952</v>
      </c>
    </row>
    <row r="71" spans="1:25" ht="15" x14ac:dyDescent="0.3">
      <c r="A71" s="10">
        <f>[1]ArdiData!A70</f>
        <v>68</v>
      </c>
      <c r="B71" s="37">
        <f>'[2]0.ArdiData'!D70</f>
        <v>875</v>
      </c>
      <c r="C71" s="36">
        <v>480</v>
      </c>
      <c r="D71" s="14">
        <f t="shared" ref="D71:D75" si="16">AVERAGE(C68:C74)</f>
        <v>352.85714285714283</v>
      </c>
      <c r="E71" s="12">
        <f t="shared" si="12"/>
        <v>386.72898724707272</v>
      </c>
      <c r="F71" s="16">
        <f t="shared" si="13"/>
        <v>1.2411792646237259</v>
      </c>
      <c r="G71" s="16">
        <f t="shared" si="14"/>
        <v>5</v>
      </c>
      <c r="H71" s="13">
        <f t="shared" si="15"/>
        <v>469.97349579965311</v>
      </c>
      <c r="Y71" s="36">
        <v>14198</v>
      </c>
    </row>
    <row r="72" spans="1:25" ht="15" x14ac:dyDescent="0.3">
      <c r="A72" s="10">
        <f>[1]ArdiData!A71</f>
        <v>69</v>
      </c>
      <c r="B72" s="37">
        <f>'[2]0.ArdiData'!D71</f>
        <v>550</v>
      </c>
      <c r="C72" s="36">
        <v>323</v>
      </c>
      <c r="D72" s="14">
        <f t="shared" si="16"/>
        <v>360</v>
      </c>
      <c r="E72" s="12">
        <f t="shared" si="12"/>
        <v>391.46646832646104</v>
      </c>
      <c r="F72" s="16">
        <f t="shared" si="13"/>
        <v>0.82510259788237128</v>
      </c>
      <c r="G72" s="16">
        <f t="shared" si="14"/>
        <v>6</v>
      </c>
      <c r="H72" s="13">
        <f t="shared" si="15"/>
        <v>330.40082064657116</v>
      </c>
      <c r="Y72" s="36">
        <v>15894</v>
      </c>
    </row>
    <row r="73" spans="1:25" ht="15" x14ac:dyDescent="0.3">
      <c r="A73" s="10">
        <f>[1]ArdiData!A72</f>
        <v>70</v>
      </c>
      <c r="B73" s="37">
        <f>'[2]0.ArdiData'!D72</f>
        <v>181</v>
      </c>
      <c r="C73" s="36">
        <v>160</v>
      </c>
      <c r="D73" s="14">
        <f t="shared" si="16"/>
        <v>404</v>
      </c>
      <c r="E73" s="12">
        <f t="shared" si="12"/>
        <v>396.20394940584924</v>
      </c>
      <c r="F73" s="16">
        <f t="shared" si="13"/>
        <v>0.40383242075183079</v>
      </c>
      <c r="G73" s="16">
        <f t="shared" si="14"/>
        <v>7</v>
      </c>
      <c r="H73" s="13">
        <f t="shared" si="15"/>
        <v>173.66607931239494</v>
      </c>
      <c r="Y73" s="36">
        <v>17675</v>
      </c>
    </row>
    <row r="74" spans="1:25" ht="15" x14ac:dyDescent="0.3">
      <c r="A74" s="10">
        <f>[1]ArdiData!A73</f>
        <v>71</v>
      </c>
      <c r="B74" s="37">
        <f>'[2]0.ArdiData'!D73</f>
        <v>228</v>
      </c>
      <c r="C74" s="36">
        <v>105</v>
      </c>
      <c r="D74" s="14">
        <f t="shared" si="16"/>
        <v>400.42857142857144</v>
      </c>
      <c r="E74" s="12">
        <f t="shared" si="12"/>
        <v>400.94143048523756</v>
      </c>
      <c r="F74" s="16">
        <f t="shared" si="13"/>
        <v>0.26188363690158989</v>
      </c>
      <c r="G74" s="16">
        <f t="shared" si="14"/>
        <v>1</v>
      </c>
      <c r="H74" s="13">
        <f t="shared" si="15"/>
        <v>192.96202734145456</v>
      </c>
      <c r="Y74" s="36">
        <v>12138</v>
      </c>
    </row>
    <row r="75" spans="1:25" ht="15" x14ac:dyDescent="0.3">
      <c r="A75" s="10">
        <f>[1]ArdiData!A74</f>
        <v>72</v>
      </c>
      <c r="B75" s="37">
        <f>'[2]0.ArdiData'!D74</f>
        <v>440</v>
      </c>
      <c r="C75" s="36">
        <v>433</v>
      </c>
      <c r="D75" s="14">
        <f t="shared" si="16"/>
        <v>401</v>
      </c>
      <c r="E75" s="12">
        <f t="shared" si="12"/>
        <v>405.67891156462576</v>
      </c>
      <c r="F75" s="16">
        <f t="shared" si="13"/>
        <v>1.0673465828677218</v>
      </c>
      <c r="G75" s="16">
        <f t="shared" si="14"/>
        <v>2</v>
      </c>
      <c r="H75" s="13">
        <f t="shared" si="15"/>
        <v>399.7577764569524</v>
      </c>
      <c r="Y75" s="36">
        <v>13679</v>
      </c>
    </row>
    <row r="76" spans="1:25" ht="15" x14ac:dyDescent="0.3">
      <c r="A76" s="10">
        <f>[1]ArdiData!A75</f>
        <v>73</v>
      </c>
      <c r="B76" s="37">
        <f>'[2]0.ArdiData'!D75</f>
        <v>810</v>
      </c>
      <c r="C76" s="36">
        <v>628</v>
      </c>
      <c r="D76" s="14"/>
      <c r="E76" s="12">
        <f t="shared" si="12"/>
        <v>410.41639264401408</v>
      </c>
      <c r="F76" s="16">
        <f t="shared" si="13"/>
        <v>1.5301533059005104</v>
      </c>
      <c r="G76" s="16">
        <f t="shared" si="14"/>
        <v>3</v>
      </c>
      <c r="H76" s="13">
        <f t="shared" si="15"/>
        <v>492.85787860581712</v>
      </c>
      <c r="Y76" s="36">
        <v>15190</v>
      </c>
    </row>
    <row r="77" spans="1:25" ht="15" x14ac:dyDescent="0.3">
      <c r="A77" s="10">
        <f>[1]ArdiData!A76</f>
        <v>74</v>
      </c>
      <c r="B77" s="37">
        <f>'[2]0.ArdiData'!D76</f>
        <v>851</v>
      </c>
      <c r="C77" s="36">
        <v>674</v>
      </c>
      <c r="D77" s="14"/>
      <c r="E77" s="12">
        <f t="shared" si="12"/>
        <v>415.1538737234024</v>
      </c>
      <c r="F77" s="16">
        <f t="shared" si="13"/>
        <v>1.6234944261872759</v>
      </c>
      <c r="G77" s="16">
        <f t="shared" si="14"/>
        <v>4</v>
      </c>
      <c r="H77" s="13">
        <f t="shared" si="15"/>
        <v>761.75119300121582</v>
      </c>
      <c r="Y77" s="36">
        <v>15999</v>
      </c>
    </row>
    <row r="78" spans="1:25" ht="15" x14ac:dyDescent="0.3">
      <c r="A78" s="10">
        <f>[1]ArdiData!A77</f>
        <v>75</v>
      </c>
      <c r="B78" s="37">
        <f>'[2]0.ArdiData'!D77</f>
        <v>744</v>
      </c>
      <c r="C78" s="36">
        <v>484</v>
      </c>
      <c r="D78" s="14"/>
      <c r="E78" s="12">
        <f t="shared" si="12"/>
        <v>419.8913548027906</v>
      </c>
      <c r="F78" s="16">
        <f t="shared" si="13"/>
        <v>1.1526791263118983</v>
      </c>
      <c r="G78" s="16">
        <f t="shared" si="14"/>
        <v>5</v>
      </c>
      <c r="H78" s="13">
        <f t="shared" si="15"/>
        <v>510.27415678733473</v>
      </c>
      <c r="Y78" s="36">
        <v>18091</v>
      </c>
    </row>
    <row r="79" spans="1:25" ht="15" x14ac:dyDescent="0.3">
      <c r="A79" s="10">
        <v>76</v>
      </c>
      <c r="B79" s="37"/>
      <c r="C79" s="36"/>
      <c r="D79" s="14"/>
      <c r="E79" s="12"/>
      <c r="F79" s="16"/>
      <c r="G79" s="16"/>
      <c r="H79" s="13"/>
    </row>
    <row r="80" spans="1:25" ht="15" x14ac:dyDescent="0.3">
      <c r="A80" s="10">
        <v>77</v>
      </c>
      <c r="B80" s="37"/>
      <c r="C80" s="36"/>
      <c r="D80" s="14"/>
      <c r="E80" s="12"/>
      <c r="F80" s="16"/>
      <c r="G80" s="16"/>
      <c r="H80" s="13"/>
    </row>
    <row r="81" spans="1:8" ht="15" x14ac:dyDescent="0.3">
      <c r="A81" s="10">
        <v>78</v>
      </c>
      <c r="B81" s="37"/>
      <c r="C81" s="36"/>
      <c r="D81" s="14"/>
      <c r="E81" s="12"/>
      <c r="F81" s="16"/>
      <c r="G81" s="16"/>
      <c r="H81" s="13"/>
    </row>
    <row r="82" spans="1:8" ht="15" x14ac:dyDescent="0.3">
      <c r="A82" s="10">
        <v>79</v>
      </c>
      <c r="B82" s="37"/>
      <c r="C82" s="36"/>
      <c r="D82" s="14"/>
      <c r="E82" s="12"/>
      <c r="F82" s="16"/>
      <c r="G82" s="16"/>
      <c r="H82" s="13"/>
    </row>
    <row r="83" spans="1:8" ht="15" x14ac:dyDescent="0.3">
      <c r="A83" s="10">
        <v>80</v>
      </c>
      <c r="B83" s="37"/>
      <c r="C83" s="36"/>
      <c r="D83" s="14"/>
      <c r="E83" s="12"/>
      <c r="F83" s="16"/>
      <c r="G83" s="16"/>
      <c r="H83" s="13"/>
    </row>
  </sheetData>
  <conditionalFormatting sqref="G4:G83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4:G8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9:F8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:F7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CF70C-B523-48FD-97C2-4A9764C075BD}">
  <dimension ref="A1:AL89"/>
  <sheetViews>
    <sheetView topLeftCell="D24" zoomScale="87" zoomScaleNormal="87" workbookViewId="0">
      <selection activeCell="D8" sqref="D8"/>
    </sheetView>
  </sheetViews>
  <sheetFormatPr defaultColWidth="9.140625" defaultRowHeight="13.5" x14ac:dyDescent="0.25"/>
  <cols>
    <col min="1" max="1" width="4.5703125" style="3" bestFit="1" customWidth="1"/>
    <col min="2" max="2" width="9.7109375" style="3" bestFit="1" customWidth="1"/>
    <col min="3" max="3" width="6.7109375" style="3" bestFit="1" customWidth="1"/>
    <col min="4" max="4" width="11.7109375" style="3" bestFit="1" customWidth="1"/>
    <col min="5" max="5" width="9.140625" style="3" customWidth="1"/>
    <col min="6" max="6" width="13" style="3" customWidth="1"/>
    <col min="7" max="8" width="5.85546875" style="3" customWidth="1"/>
    <col min="9" max="9" width="9.7109375" style="3" customWidth="1"/>
    <col min="10" max="10" width="6" style="3" bestFit="1" customWidth="1"/>
    <col min="11" max="11" width="4.85546875" style="3" bestFit="1" customWidth="1"/>
    <col min="12" max="12" width="8.7109375" style="3" bestFit="1" customWidth="1"/>
    <col min="13" max="13" width="9.140625" style="3"/>
    <col min="14" max="14" width="12.140625" style="3" bestFit="1" customWidth="1"/>
    <col min="15" max="15" width="11.7109375" style="3" bestFit="1" customWidth="1"/>
    <col min="16" max="16" width="12.42578125" style="3" bestFit="1" customWidth="1"/>
    <col min="17" max="17" width="12.140625" style="3" bestFit="1" customWidth="1"/>
    <col min="18" max="21" width="9.28515625" style="3" bestFit="1" customWidth="1"/>
    <col min="22" max="23" width="9.140625" style="3"/>
    <col min="24" max="24" width="9.28515625" style="3" bestFit="1" customWidth="1"/>
    <col min="25" max="27" width="9.140625" style="3"/>
    <col min="28" max="30" width="9.28515625" style="3" bestFit="1" customWidth="1"/>
    <col min="31" max="31" width="12.28515625" style="3" customWidth="1"/>
    <col min="32" max="32" width="10.140625" style="3" bestFit="1" customWidth="1"/>
    <col min="33" max="36" width="9.28515625" style="3" bestFit="1" customWidth="1"/>
    <col min="37" max="16384" width="9.140625" style="3"/>
  </cols>
  <sheetData>
    <row r="1" spans="1:37" ht="17.25" thickBot="1" x14ac:dyDescent="0.35">
      <c r="A1" s="100" t="s">
        <v>75</v>
      </c>
      <c r="B1" s="98"/>
      <c r="C1" s="99"/>
      <c r="D1" s="98"/>
      <c r="E1" s="97"/>
      <c r="F1" s="96" t="s">
        <v>50</v>
      </c>
      <c r="G1" s="96" t="s">
        <v>74</v>
      </c>
      <c r="H1" s="95" t="s">
        <v>73</v>
      </c>
      <c r="I1" s="94" t="s">
        <v>72</v>
      </c>
      <c r="J1" s="94" t="s">
        <v>71</v>
      </c>
      <c r="K1" s="94" t="s">
        <v>70</v>
      </c>
      <c r="L1" s="94" t="s">
        <v>69</v>
      </c>
      <c r="N1" s="93" t="s">
        <v>68</v>
      </c>
      <c r="O1" s="92" t="s">
        <v>67</v>
      </c>
      <c r="P1" s="91" t="s">
        <v>66</v>
      </c>
      <c r="Q1" s="91" t="s">
        <v>65</v>
      </c>
      <c r="R1" s="90" t="s">
        <v>64</v>
      </c>
      <c r="AB1" s="50"/>
      <c r="AC1" s="89" t="s">
        <v>63</v>
      </c>
      <c r="AD1" s="89"/>
      <c r="AE1" s="89"/>
      <c r="AF1" s="50"/>
      <c r="AG1" s="50"/>
      <c r="AH1" s="52">
        <f ca="1">RANDBETWEEN(100,150)</f>
        <v>122</v>
      </c>
      <c r="AI1" s="52">
        <f ca="1">RANDBETWEEN(5,15)</f>
        <v>7</v>
      </c>
      <c r="AJ1" s="52">
        <v>0.1</v>
      </c>
      <c r="AK1" s="50"/>
    </row>
    <row r="2" spans="1:37" ht="17.25" thickBot="1" x14ac:dyDescent="0.35">
      <c r="A2" s="88" t="s">
        <v>0</v>
      </c>
      <c r="B2" s="87" t="s">
        <v>62</v>
      </c>
      <c r="C2" s="86" t="s">
        <v>1</v>
      </c>
      <c r="D2" s="85" t="s">
        <v>61</v>
      </c>
      <c r="F2" s="84" t="str">
        <f t="shared" ref="F2:F14" ca="1" si="0">G2&amp;" - "&amp;H2</f>
        <v>700 - 1400</v>
      </c>
      <c r="G2" s="83">
        <f ca="1">Y4</f>
        <v>700</v>
      </c>
      <c r="H2" s="82">
        <f t="shared" ref="H2:H14" ca="1" si="1">G2+$Y$3</f>
        <v>1400</v>
      </c>
      <c r="I2" s="81">
        <f t="shared" ref="I2:I14" ca="1" si="2">COUNTIF($C$3:$C$77, "&lt;"&amp;H2)</f>
        <v>1</v>
      </c>
      <c r="J2" s="81">
        <f ca="1">I2</f>
        <v>1</v>
      </c>
      <c r="K2" s="80">
        <f t="shared" ref="K2:K14" ca="1" si="3">J2/$J$15</f>
        <v>1.3333333333333334E-2</v>
      </c>
      <c r="L2" s="79">
        <f t="shared" ref="L2:L14" ca="1" si="4">I2/$J$15</f>
        <v>1.3333333333333334E-2</v>
      </c>
      <c r="N2" s="78" t="s">
        <v>60</v>
      </c>
      <c r="O2" s="77">
        <f ca="1">AVERAGE(B$3:B$77)</f>
        <v>3758.4266666666667</v>
      </c>
      <c r="P2" s="77">
        <f ca="1">AVERAGE(C$3:C$77)</f>
        <v>3758.4266666666667</v>
      </c>
      <c r="Q2" s="77">
        <f ca="1">AVERAGE(D$3:D$77)</f>
        <v>3758.4266666666667</v>
      </c>
      <c r="V2" s="3" t="s">
        <v>59</v>
      </c>
      <c r="Y2" s="3">
        <f ca="1">ROUND(O6/10,0)</f>
        <v>708</v>
      </c>
      <c r="AB2" s="50"/>
      <c r="AC2" s="52"/>
      <c r="AD2" s="52"/>
      <c r="AE2" s="52" t="s">
        <v>58</v>
      </c>
      <c r="AF2" s="50" t="s">
        <v>2</v>
      </c>
      <c r="AG2" s="50" t="s">
        <v>57</v>
      </c>
      <c r="AH2" s="50"/>
      <c r="AI2" s="60"/>
      <c r="AJ2" s="50"/>
      <c r="AK2" s="50"/>
    </row>
    <row r="3" spans="1:37" ht="16.5" x14ac:dyDescent="0.3">
      <c r="A3" s="57">
        <v>1</v>
      </c>
      <c r="B3" s="56">
        <f t="shared" ref="B3:B34" ca="1" si="5">INDEX($AG$3:$AG$77,RANK(AB3,$AB$3:$AB$77))</f>
        <v>4684</v>
      </c>
      <c r="C3" s="55">
        <f t="shared" ref="C3:C34" ca="1" si="6">SMALL($AG$3:$AG$77,AC3)</f>
        <v>1134</v>
      </c>
      <c r="D3" s="54">
        <f t="shared" ref="D3:D34" ca="1" si="7">AG3</f>
        <v>1134</v>
      </c>
      <c r="E3" s="53"/>
      <c r="F3" s="70" t="str">
        <f t="shared" ca="1" si="0"/>
        <v>1400 - 2100</v>
      </c>
      <c r="G3" s="69">
        <f t="shared" ref="G3:G14" ca="1" si="8">H2</f>
        <v>1400</v>
      </c>
      <c r="H3" s="68">
        <f t="shared" ca="1" si="1"/>
        <v>2100</v>
      </c>
      <c r="I3" s="39">
        <f t="shared" ca="1" si="2"/>
        <v>14</v>
      </c>
      <c r="J3" s="39">
        <f t="shared" ref="J3:J14" ca="1" si="9">I3-I2</f>
        <v>13</v>
      </c>
      <c r="K3" s="13">
        <f t="shared" ca="1" si="3"/>
        <v>0.17333333333333334</v>
      </c>
      <c r="L3" s="67">
        <f t="shared" ca="1" si="4"/>
        <v>0.18666666666666668</v>
      </c>
      <c r="N3" s="74" t="s">
        <v>56</v>
      </c>
      <c r="O3" s="74">
        <f ca="1">MEDIAN(B$3:B$77)</f>
        <v>3687</v>
      </c>
      <c r="P3" s="74">
        <f ca="1">MEDIAN(C$3:C$77)</f>
        <v>3687</v>
      </c>
      <c r="Q3" s="74">
        <f ca="1">MEDIAN(D$3:D$77)</f>
        <v>3687</v>
      </c>
      <c r="V3" s="3" t="s">
        <v>55</v>
      </c>
      <c r="Y3" s="3">
        <f ca="1">ROUND(Y2,-LEN(Y2)+1)</f>
        <v>700</v>
      </c>
      <c r="AB3" s="50">
        <f t="shared" ref="AB3:AB34" ca="1" si="10">RAND()</f>
        <v>0.12538429892761338</v>
      </c>
      <c r="AC3" s="52">
        <v>1</v>
      </c>
      <c r="AD3" s="52">
        <v>1</v>
      </c>
      <c r="AE3" s="52">
        <f t="shared" ref="AE3:AE34" ca="1" si="11">INT($AH$1+$AI$1*AD3)</f>
        <v>129</v>
      </c>
      <c r="AF3" s="51">
        <f t="shared" ref="AF3:AF34" ca="1" si="12">(VLOOKUP(MOD(AD3,ROUNDUP($Y$7,0)),$V$8:$W$12,2)+7)+RAND()*VLOOKUP(MOD(AD3,ROUNDUP($Y$7,0)),$V$8:$W$12,2)</f>
        <v>8.793831326080884</v>
      </c>
      <c r="AG3" s="50">
        <f t="shared" ref="AG3:AG34" ca="1" si="13">ROUND(AE3*AF3,0)</f>
        <v>1134</v>
      </c>
      <c r="AH3" s="50"/>
      <c r="AI3" s="60"/>
      <c r="AJ3" s="50"/>
      <c r="AK3" s="50"/>
    </row>
    <row r="4" spans="1:37" ht="16.5" x14ac:dyDescent="0.3">
      <c r="A4" s="57">
        <v>2</v>
      </c>
      <c r="B4" s="56">
        <f t="shared" ca="1" si="5"/>
        <v>3687</v>
      </c>
      <c r="C4" s="55">
        <f t="shared" ca="1" si="6"/>
        <v>1410</v>
      </c>
      <c r="D4" s="54">
        <f t="shared" ca="1" si="7"/>
        <v>1458</v>
      </c>
      <c r="E4" s="53"/>
      <c r="F4" s="70" t="str">
        <f t="shared" ca="1" si="0"/>
        <v>2100 - 2800</v>
      </c>
      <c r="G4" s="69">
        <f t="shared" ca="1" si="8"/>
        <v>2100</v>
      </c>
      <c r="H4" s="68">
        <f t="shared" ca="1" si="1"/>
        <v>2800</v>
      </c>
      <c r="I4" s="39">
        <f t="shared" ca="1" si="2"/>
        <v>25</v>
      </c>
      <c r="J4" s="39">
        <f t="shared" ca="1" si="9"/>
        <v>11</v>
      </c>
      <c r="K4" s="13">
        <f t="shared" ca="1" si="3"/>
        <v>0.14666666666666667</v>
      </c>
      <c r="L4" s="67">
        <f t="shared" ca="1" si="4"/>
        <v>0.33333333333333331</v>
      </c>
      <c r="N4" s="76" t="s">
        <v>54</v>
      </c>
      <c r="O4" s="75">
        <f ca="1">MAX(B$3:B$77)</f>
        <v>8211</v>
      </c>
      <c r="P4" s="75">
        <f ca="1">MAX(C$3:C$77)</f>
        <v>8211</v>
      </c>
      <c r="Q4" s="75">
        <f ca="1">MAX(D$3:D$77)</f>
        <v>8211</v>
      </c>
      <c r="V4" s="3" t="s">
        <v>53</v>
      </c>
      <c r="Y4" s="3">
        <f ca="1">Y3*INT(O5/Y3)</f>
        <v>700</v>
      </c>
      <c r="AB4" s="50">
        <f t="shared" ca="1" si="10"/>
        <v>0.39187715303324289</v>
      </c>
      <c r="AC4" s="52">
        <v>2</v>
      </c>
      <c r="AD4" s="52">
        <v>2</v>
      </c>
      <c r="AE4" s="52">
        <f t="shared" ca="1" si="11"/>
        <v>136</v>
      </c>
      <c r="AF4" s="51">
        <f t="shared" ca="1" si="12"/>
        <v>10.723691387135528</v>
      </c>
      <c r="AG4" s="50">
        <f t="shared" ca="1" si="13"/>
        <v>1458</v>
      </c>
      <c r="AH4" s="50"/>
      <c r="AI4" s="60"/>
      <c r="AJ4" s="50"/>
      <c r="AK4" s="50"/>
    </row>
    <row r="5" spans="1:37" ht="16.5" x14ac:dyDescent="0.3">
      <c r="A5" s="57">
        <v>3</v>
      </c>
      <c r="B5" s="56">
        <f t="shared" ca="1" si="5"/>
        <v>8211</v>
      </c>
      <c r="C5" s="55">
        <f t="shared" ca="1" si="6"/>
        <v>1438</v>
      </c>
      <c r="D5" s="54">
        <f t="shared" ca="1" si="7"/>
        <v>1665</v>
      </c>
      <c r="E5" s="53"/>
      <c r="F5" s="70" t="str">
        <f t="shared" ca="1" si="0"/>
        <v>2800 - 3500</v>
      </c>
      <c r="G5" s="69">
        <f t="shared" ca="1" si="8"/>
        <v>2800</v>
      </c>
      <c r="H5" s="68">
        <f t="shared" ca="1" si="1"/>
        <v>3500</v>
      </c>
      <c r="I5" s="39">
        <f t="shared" ca="1" si="2"/>
        <v>36</v>
      </c>
      <c r="J5" s="39">
        <f t="shared" ca="1" si="9"/>
        <v>11</v>
      </c>
      <c r="K5" s="13">
        <f t="shared" ca="1" si="3"/>
        <v>0.14666666666666667</v>
      </c>
      <c r="L5" s="67">
        <f t="shared" ca="1" si="4"/>
        <v>0.48</v>
      </c>
      <c r="N5" s="76" t="s">
        <v>52</v>
      </c>
      <c r="O5" s="75">
        <f ca="1">MIN(B$3:B$77)</f>
        <v>1134</v>
      </c>
      <c r="P5" s="75">
        <f ca="1">MIN(C$3:C$77)</f>
        <v>1134</v>
      </c>
      <c r="Q5" s="75">
        <f ca="1">MIN(D$3:D$77)</f>
        <v>1134</v>
      </c>
      <c r="V5" s="3" t="s">
        <v>51</v>
      </c>
      <c r="Y5" s="3">
        <f ca="1">ROUNDUP(O4/Y3,0)</f>
        <v>12</v>
      </c>
      <c r="AB5" s="50">
        <f t="shared" ca="1" si="10"/>
        <v>6.0000568317261083E-3</v>
      </c>
      <c r="AC5" s="52">
        <v>3</v>
      </c>
      <c r="AD5" s="52">
        <v>3</v>
      </c>
      <c r="AE5" s="52">
        <f t="shared" ca="1" si="11"/>
        <v>143</v>
      </c>
      <c r="AF5" s="51">
        <f t="shared" ca="1" si="12"/>
        <v>11.6408290344477</v>
      </c>
      <c r="AG5" s="50">
        <f t="shared" ca="1" si="13"/>
        <v>1665</v>
      </c>
      <c r="AH5" s="50"/>
      <c r="AI5" s="60"/>
      <c r="AJ5" s="50"/>
      <c r="AK5" s="50"/>
    </row>
    <row r="6" spans="1:37" ht="16.5" x14ac:dyDescent="0.3">
      <c r="A6" s="57">
        <v>4</v>
      </c>
      <c r="B6" s="56">
        <f t="shared" ca="1" si="5"/>
        <v>6446</v>
      </c>
      <c r="C6" s="55">
        <f t="shared" ca="1" si="6"/>
        <v>1458</v>
      </c>
      <c r="D6" s="54">
        <f t="shared" ca="1" si="7"/>
        <v>1524</v>
      </c>
      <c r="E6" s="53"/>
      <c r="F6" s="70" t="str">
        <f t="shared" ca="1" si="0"/>
        <v>3500 - 4200</v>
      </c>
      <c r="G6" s="69">
        <f t="shared" ca="1" si="8"/>
        <v>3500</v>
      </c>
      <c r="H6" s="68">
        <f t="shared" ca="1" si="1"/>
        <v>4200</v>
      </c>
      <c r="I6" s="39">
        <f t="shared" ca="1" si="2"/>
        <v>46</v>
      </c>
      <c r="J6" s="39">
        <f t="shared" ca="1" si="9"/>
        <v>10</v>
      </c>
      <c r="K6" s="13">
        <f t="shared" ca="1" si="3"/>
        <v>0.13333333333333333</v>
      </c>
      <c r="L6" s="67">
        <f t="shared" ca="1" si="4"/>
        <v>0.61333333333333329</v>
      </c>
      <c r="N6" s="76" t="s">
        <v>50</v>
      </c>
      <c r="O6" s="75">
        <f ca="1">O4-O5</f>
        <v>7077</v>
      </c>
      <c r="P6" s="75">
        <f ca="1">P4-P5</f>
        <v>7077</v>
      </c>
      <c r="Q6" s="75">
        <f ca="1">Q4-Q5</f>
        <v>7077</v>
      </c>
      <c r="V6" s="3" t="s">
        <v>49</v>
      </c>
      <c r="Y6" s="3">
        <f ca="1">Y5*Y3</f>
        <v>8400</v>
      </c>
      <c r="AB6" s="50">
        <f t="shared" ca="1" si="10"/>
        <v>0.17340134143784225</v>
      </c>
      <c r="AC6" s="52">
        <v>4</v>
      </c>
      <c r="AD6" s="52">
        <v>4</v>
      </c>
      <c r="AE6" s="52">
        <f t="shared" ca="1" si="11"/>
        <v>150</v>
      </c>
      <c r="AF6" s="51">
        <f t="shared" ca="1" si="12"/>
        <v>10.156792014484754</v>
      </c>
      <c r="AG6" s="50">
        <f t="shared" ca="1" si="13"/>
        <v>1524</v>
      </c>
      <c r="AH6" s="50"/>
      <c r="AI6" s="60"/>
      <c r="AJ6" s="50"/>
      <c r="AK6" s="50"/>
    </row>
    <row r="7" spans="1:37" ht="16.5" x14ac:dyDescent="0.3">
      <c r="A7" s="57">
        <v>5</v>
      </c>
      <c r="B7" s="56">
        <f t="shared" ca="1" si="5"/>
        <v>3460</v>
      </c>
      <c r="C7" s="55">
        <f t="shared" ca="1" si="6"/>
        <v>1524</v>
      </c>
      <c r="D7" s="54">
        <f t="shared" ca="1" si="7"/>
        <v>1410</v>
      </c>
      <c r="E7" s="53"/>
      <c r="F7" s="70" t="str">
        <f t="shared" ca="1" si="0"/>
        <v>4200 - 4900</v>
      </c>
      <c r="G7" s="69">
        <f t="shared" ca="1" si="8"/>
        <v>4200</v>
      </c>
      <c r="H7" s="68">
        <f t="shared" ca="1" si="1"/>
        <v>4900</v>
      </c>
      <c r="I7" s="39">
        <f t="shared" ca="1" si="2"/>
        <v>55</v>
      </c>
      <c r="J7" s="39">
        <f t="shared" ca="1" si="9"/>
        <v>9</v>
      </c>
      <c r="K7" s="13">
        <f t="shared" ca="1" si="3"/>
        <v>0.12</v>
      </c>
      <c r="L7" s="67">
        <f t="shared" ca="1" si="4"/>
        <v>0.73333333333333328</v>
      </c>
      <c r="N7" s="76" t="s">
        <v>48</v>
      </c>
      <c r="O7" s="75">
        <f ca="1">_xlfn.STDEV.S(B$3:B$77)</f>
        <v>1576.5186258518033</v>
      </c>
      <c r="P7" s="75">
        <f ca="1">_xlfn.STDEV.S(C$3:C$77)</f>
        <v>1576.5186258518033</v>
      </c>
      <c r="Q7" s="75">
        <f ca="1">_xlfn.STDEV.S(D$3:D$77)</f>
        <v>1576.5186258518033</v>
      </c>
      <c r="V7" s="3" t="s">
        <v>13</v>
      </c>
      <c r="Y7" s="3">
        <v>5</v>
      </c>
      <c r="AB7" s="50">
        <f t="shared" ca="1" si="10"/>
        <v>0.45868195053544214</v>
      </c>
      <c r="AC7" s="52">
        <v>5</v>
      </c>
      <c r="AD7" s="52">
        <v>5</v>
      </c>
      <c r="AE7" s="52">
        <f t="shared" ca="1" si="11"/>
        <v>157</v>
      </c>
      <c r="AF7" s="51">
        <f t="shared" ca="1" si="12"/>
        <v>8.978838753366114</v>
      </c>
      <c r="AG7" s="50">
        <f t="shared" ca="1" si="13"/>
        <v>1410</v>
      </c>
      <c r="AH7" s="50"/>
      <c r="AI7" s="60"/>
      <c r="AJ7" s="50"/>
      <c r="AK7" s="50"/>
    </row>
    <row r="8" spans="1:37" ht="16.5" x14ac:dyDescent="0.3">
      <c r="A8" s="57">
        <v>6</v>
      </c>
      <c r="B8" s="56">
        <f t="shared" ca="1" si="5"/>
        <v>1628</v>
      </c>
      <c r="C8" s="55">
        <f t="shared" ca="1" si="6"/>
        <v>1611</v>
      </c>
      <c r="D8" s="54">
        <f t="shared" ca="1" si="7"/>
        <v>1438</v>
      </c>
      <c r="E8" s="53"/>
      <c r="F8" s="70" t="str">
        <f t="shared" ca="1" si="0"/>
        <v>4900 - 5600</v>
      </c>
      <c r="G8" s="69">
        <f t="shared" ca="1" si="8"/>
        <v>4900</v>
      </c>
      <c r="H8" s="68">
        <f t="shared" ca="1" si="1"/>
        <v>5600</v>
      </c>
      <c r="I8" s="39">
        <f t="shared" ca="1" si="2"/>
        <v>63</v>
      </c>
      <c r="J8" s="39">
        <f t="shared" ca="1" si="9"/>
        <v>8</v>
      </c>
      <c r="K8" s="13">
        <f t="shared" ca="1" si="3"/>
        <v>0.10666666666666667</v>
      </c>
      <c r="L8" s="67">
        <f t="shared" ca="1" si="4"/>
        <v>0.84</v>
      </c>
      <c r="N8" s="76" t="s">
        <v>47</v>
      </c>
      <c r="O8" s="75">
        <f ca="1">O7/O2</f>
        <v>0.41946238830037125</v>
      </c>
      <c r="P8" s="75">
        <f ca="1">P7/P2</f>
        <v>0.41946238830037125</v>
      </c>
      <c r="Q8" s="75">
        <f ca="1">Q7/Q2</f>
        <v>0.41946238830037125</v>
      </c>
      <c r="V8" s="3">
        <v>0</v>
      </c>
      <c r="W8" s="3">
        <v>1</v>
      </c>
      <c r="AB8" s="50">
        <f t="shared" ca="1" si="10"/>
        <v>0.84915415488522228</v>
      </c>
      <c r="AC8" s="52">
        <v>6</v>
      </c>
      <c r="AD8" s="52">
        <v>6</v>
      </c>
      <c r="AE8" s="52">
        <f t="shared" ca="1" si="11"/>
        <v>164</v>
      </c>
      <c r="AF8" s="51">
        <f t="shared" ca="1" si="12"/>
        <v>8.7662279960749618</v>
      </c>
      <c r="AG8" s="50">
        <f t="shared" ca="1" si="13"/>
        <v>1438</v>
      </c>
      <c r="AH8" s="50"/>
      <c r="AI8" s="60"/>
      <c r="AJ8" s="50"/>
      <c r="AK8" s="50"/>
    </row>
    <row r="9" spans="1:37" ht="16.5" x14ac:dyDescent="0.3">
      <c r="A9" s="57">
        <v>7</v>
      </c>
      <c r="B9" s="56">
        <f t="shared" ca="1" si="5"/>
        <v>1862</v>
      </c>
      <c r="C9" s="55">
        <f t="shared" ca="1" si="6"/>
        <v>1665</v>
      </c>
      <c r="D9" s="54">
        <f t="shared" ca="1" si="7"/>
        <v>1862</v>
      </c>
      <c r="E9" s="53"/>
      <c r="F9" s="70" t="str">
        <f t="shared" ca="1" si="0"/>
        <v>5600 - 6300</v>
      </c>
      <c r="G9" s="69">
        <f t="shared" ca="1" si="8"/>
        <v>5600</v>
      </c>
      <c r="H9" s="68">
        <f t="shared" ca="1" si="1"/>
        <v>6300</v>
      </c>
      <c r="I9" s="39">
        <f t="shared" ca="1" si="2"/>
        <v>72</v>
      </c>
      <c r="J9" s="39">
        <f t="shared" ca="1" si="9"/>
        <v>9</v>
      </c>
      <c r="K9" s="13">
        <f t="shared" ca="1" si="3"/>
        <v>0.12</v>
      </c>
      <c r="L9" s="67">
        <f t="shared" ca="1" si="4"/>
        <v>0.96</v>
      </c>
      <c r="N9" s="74" t="s">
        <v>46</v>
      </c>
      <c r="O9" s="73">
        <f ca="1">O2/O3</f>
        <v>1.0193725702920171</v>
      </c>
      <c r="P9" s="73">
        <f ca="1">P2/P3</f>
        <v>1.0193725702920171</v>
      </c>
      <c r="Q9" s="73">
        <f ca="1">Q2/Q3</f>
        <v>1.0193725702920171</v>
      </c>
      <c r="V9" s="3">
        <v>1</v>
      </c>
      <c r="W9" s="3">
        <v>1</v>
      </c>
      <c r="AB9" s="50">
        <f t="shared" ca="1" si="10"/>
        <v>0.87249724683060159</v>
      </c>
      <c r="AC9" s="52">
        <v>8</v>
      </c>
      <c r="AD9" s="52">
        <v>7</v>
      </c>
      <c r="AE9" s="52">
        <f t="shared" ca="1" si="11"/>
        <v>171</v>
      </c>
      <c r="AF9" s="51">
        <f t="shared" ca="1" si="12"/>
        <v>10.886269019524805</v>
      </c>
      <c r="AG9" s="50">
        <f t="shared" ca="1" si="13"/>
        <v>1862</v>
      </c>
      <c r="AH9" s="50"/>
      <c r="AI9" s="60"/>
      <c r="AJ9" s="50"/>
      <c r="AK9" s="50"/>
    </row>
    <row r="10" spans="1:37" ht="17.25" thickBot="1" x14ac:dyDescent="0.35">
      <c r="A10" s="57">
        <v>8</v>
      </c>
      <c r="B10" s="56">
        <f t="shared" ca="1" si="5"/>
        <v>5172</v>
      </c>
      <c r="C10" s="55">
        <f t="shared" ca="1" si="6"/>
        <v>1628</v>
      </c>
      <c r="D10" s="54">
        <f t="shared" ca="1" si="7"/>
        <v>2150</v>
      </c>
      <c r="E10" s="53"/>
      <c r="F10" s="70" t="str">
        <f t="shared" ca="1" si="0"/>
        <v>6300 - 7000</v>
      </c>
      <c r="G10" s="69">
        <f t="shared" ca="1" si="8"/>
        <v>6300</v>
      </c>
      <c r="H10" s="68">
        <f t="shared" ca="1" si="1"/>
        <v>7000</v>
      </c>
      <c r="I10" s="39">
        <f t="shared" ca="1" si="2"/>
        <v>74</v>
      </c>
      <c r="J10" s="39">
        <f t="shared" ca="1" si="9"/>
        <v>2</v>
      </c>
      <c r="K10" s="13">
        <f t="shared" ca="1" si="3"/>
        <v>2.6666666666666668E-2</v>
      </c>
      <c r="L10" s="67">
        <f t="shared" ca="1" si="4"/>
        <v>0.98666666666666669</v>
      </c>
      <c r="N10" s="72" t="s">
        <v>45</v>
      </c>
      <c r="O10" s="71">
        <f ca="1">O6/O2</f>
        <v>1.8829687599775793</v>
      </c>
      <c r="P10" s="71">
        <f ca="1">P6/P2</f>
        <v>1.8829687599775793</v>
      </c>
      <c r="Q10" s="71">
        <f ca="1">Q6/Q2</f>
        <v>1.8829687599775793</v>
      </c>
      <c r="V10" s="3">
        <v>2</v>
      </c>
      <c r="W10" s="3">
        <v>2</v>
      </c>
      <c r="AB10" s="50">
        <f t="shared" ca="1" si="10"/>
        <v>0.17616474033627627</v>
      </c>
      <c r="AC10" s="52">
        <v>7</v>
      </c>
      <c r="AD10" s="52">
        <v>8</v>
      </c>
      <c r="AE10" s="52">
        <f t="shared" ca="1" si="11"/>
        <v>178</v>
      </c>
      <c r="AF10" s="51">
        <f t="shared" ca="1" si="12"/>
        <v>12.079932085301316</v>
      </c>
      <c r="AG10" s="50">
        <f t="shared" ca="1" si="13"/>
        <v>2150</v>
      </c>
      <c r="AH10" s="50"/>
      <c r="AI10" s="60"/>
      <c r="AJ10" s="50"/>
      <c r="AK10" s="50"/>
    </row>
    <row r="11" spans="1:37" ht="16.5" x14ac:dyDescent="0.3">
      <c r="A11" s="57">
        <v>9</v>
      </c>
      <c r="B11" s="56">
        <f t="shared" ca="1" si="5"/>
        <v>1967</v>
      </c>
      <c r="C11" s="55">
        <f t="shared" ca="1" si="6"/>
        <v>1888</v>
      </c>
      <c r="D11" s="54">
        <f t="shared" ca="1" si="7"/>
        <v>1967</v>
      </c>
      <c r="E11" s="53"/>
      <c r="F11" s="70" t="str">
        <f t="shared" ca="1" si="0"/>
        <v>7000 - 7700</v>
      </c>
      <c r="G11" s="69">
        <f t="shared" ca="1" si="8"/>
        <v>7000</v>
      </c>
      <c r="H11" s="68">
        <f t="shared" ca="1" si="1"/>
        <v>7700</v>
      </c>
      <c r="I11" s="39">
        <f t="shared" ca="1" si="2"/>
        <v>74</v>
      </c>
      <c r="J11" s="39">
        <f t="shared" ca="1" si="9"/>
        <v>0</v>
      </c>
      <c r="K11" s="13">
        <f t="shared" ca="1" si="3"/>
        <v>0</v>
      </c>
      <c r="L11" s="67">
        <f t="shared" ca="1" si="4"/>
        <v>0.98666666666666669</v>
      </c>
      <c r="V11" s="3">
        <v>3</v>
      </c>
      <c r="W11" s="3">
        <v>3</v>
      </c>
      <c r="AB11" s="50">
        <f t="shared" ca="1" si="10"/>
        <v>0.86043970200512443</v>
      </c>
      <c r="AC11" s="52">
        <v>12</v>
      </c>
      <c r="AD11" s="52">
        <v>9</v>
      </c>
      <c r="AE11" s="52">
        <f t="shared" ca="1" si="11"/>
        <v>185</v>
      </c>
      <c r="AF11" s="51">
        <f t="shared" ca="1" si="12"/>
        <v>10.632085855888526</v>
      </c>
      <c r="AG11" s="50">
        <f t="shared" ca="1" si="13"/>
        <v>1967</v>
      </c>
      <c r="AH11" s="50"/>
      <c r="AI11" s="60"/>
      <c r="AJ11" s="50"/>
      <c r="AK11" s="50"/>
    </row>
    <row r="12" spans="1:37" ht="16.5" x14ac:dyDescent="0.3">
      <c r="A12" s="57">
        <v>10</v>
      </c>
      <c r="B12" s="56">
        <f t="shared" ca="1" si="5"/>
        <v>6204</v>
      </c>
      <c r="C12" s="55">
        <f t="shared" ca="1" si="6"/>
        <v>1844</v>
      </c>
      <c r="D12" s="54">
        <f t="shared" ca="1" si="7"/>
        <v>1611</v>
      </c>
      <c r="E12" s="53"/>
      <c r="F12" s="70" t="str">
        <f t="shared" ca="1" si="0"/>
        <v>7700 - 8400</v>
      </c>
      <c r="G12" s="69">
        <f t="shared" ca="1" si="8"/>
        <v>7700</v>
      </c>
      <c r="H12" s="68">
        <f t="shared" ca="1" si="1"/>
        <v>8400</v>
      </c>
      <c r="I12" s="39">
        <f t="shared" ca="1" si="2"/>
        <v>75</v>
      </c>
      <c r="J12" s="39">
        <f t="shared" ca="1" si="9"/>
        <v>1</v>
      </c>
      <c r="K12" s="13">
        <f t="shared" ca="1" si="3"/>
        <v>1.3333333333333334E-2</v>
      </c>
      <c r="L12" s="67">
        <f t="shared" ca="1" si="4"/>
        <v>1</v>
      </c>
      <c r="V12" s="3">
        <v>4</v>
      </c>
      <c r="W12" s="3">
        <v>2</v>
      </c>
      <c r="AB12" s="50">
        <f t="shared" ca="1" si="10"/>
        <v>0.22075616054896996</v>
      </c>
      <c r="AC12" s="52">
        <v>9</v>
      </c>
      <c r="AD12" s="52">
        <v>10</v>
      </c>
      <c r="AE12" s="52">
        <f t="shared" ca="1" si="11"/>
        <v>192</v>
      </c>
      <c r="AF12" s="51">
        <f t="shared" ca="1" si="12"/>
        <v>8.3924289610958418</v>
      </c>
      <c r="AG12" s="50">
        <f t="shared" ca="1" si="13"/>
        <v>1611</v>
      </c>
      <c r="AH12" s="50"/>
      <c r="AI12" s="60"/>
      <c r="AJ12" s="50"/>
      <c r="AK12" s="50"/>
    </row>
    <row r="13" spans="1:37" ht="16.5" x14ac:dyDescent="0.3">
      <c r="A13" s="57">
        <v>11</v>
      </c>
      <c r="B13" s="56">
        <f t="shared" ca="1" si="5"/>
        <v>3362</v>
      </c>
      <c r="C13" s="55">
        <f t="shared" ca="1" si="6"/>
        <v>1859</v>
      </c>
      <c r="D13" s="54">
        <f t="shared" ca="1" si="7"/>
        <v>1628</v>
      </c>
      <c r="E13" s="53"/>
      <c r="F13" s="70" t="str">
        <f t="shared" ca="1" si="0"/>
        <v>8400 - 9100</v>
      </c>
      <c r="G13" s="69">
        <f t="shared" ca="1" si="8"/>
        <v>8400</v>
      </c>
      <c r="H13" s="68">
        <f t="shared" ca="1" si="1"/>
        <v>9100</v>
      </c>
      <c r="I13" s="39">
        <f t="shared" ca="1" si="2"/>
        <v>75</v>
      </c>
      <c r="J13" s="39">
        <f t="shared" ca="1" si="9"/>
        <v>0</v>
      </c>
      <c r="K13" s="13">
        <f t="shared" ca="1" si="3"/>
        <v>0</v>
      </c>
      <c r="L13" s="67">
        <f t="shared" ca="1" si="4"/>
        <v>1</v>
      </c>
      <c r="AB13" s="50">
        <f t="shared" ca="1" si="10"/>
        <v>0.46128584874103951</v>
      </c>
      <c r="AC13" s="52">
        <v>10</v>
      </c>
      <c r="AD13" s="52">
        <v>11</v>
      </c>
      <c r="AE13" s="52">
        <f t="shared" ca="1" si="11"/>
        <v>199</v>
      </c>
      <c r="AF13" s="51">
        <f t="shared" ca="1" si="12"/>
        <v>8.182584655643339</v>
      </c>
      <c r="AG13" s="50">
        <f t="shared" ca="1" si="13"/>
        <v>1628</v>
      </c>
      <c r="AH13" s="50"/>
      <c r="AI13" s="60"/>
      <c r="AJ13" s="50"/>
      <c r="AK13" s="50"/>
    </row>
    <row r="14" spans="1:37" ht="17.25" thickBot="1" x14ac:dyDescent="0.35">
      <c r="A14" s="57">
        <v>12</v>
      </c>
      <c r="B14" s="56">
        <f t="shared" ca="1" si="5"/>
        <v>4644</v>
      </c>
      <c r="C14" s="55">
        <f t="shared" ca="1" si="6"/>
        <v>1862</v>
      </c>
      <c r="D14" s="54">
        <f t="shared" ca="1" si="7"/>
        <v>1859</v>
      </c>
      <c r="E14" s="53"/>
      <c r="F14" s="66" t="str">
        <f t="shared" ca="1" si="0"/>
        <v>9100 - 9800</v>
      </c>
      <c r="G14" s="65">
        <f t="shared" ca="1" si="8"/>
        <v>9100</v>
      </c>
      <c r="H14" s="64">
        <f t="shared" ca="1" si="1"/>
        <v>9800</v>
      </c>
      <c r="I14" s="63">
        <f t="shared" ca="1" si="2"/>
        <v>75</v>
      </c>
      <c r="J14" s="63">
        <f t="shared" ca="1" si="9"/>
        <v>0</v>
      </c>
      <c r="K14" s="62">
        <f t="shared" ca="1" si="3"/>
        <v>0</v>
      </c>
      <c r="L14" s="61">
        <f t="shared" ca="1" si="4"/>
        <v>1</v>
      </c>
      <c r="AB14" s="50">
        <f t="shared" ca="1" si="10"/>
        <v>0.13921136741616891</v>
      </c>
      <c r="AC14" s="52">
        <v>11</v>
      </c>
      <c r="AD14" s="52">
        <v>12</v>
      </c>
      <c r="AE14" s="52">
        <f t="shared" ca="1" si="11"/>
        <v>206</v>
      </c>
      <c r="AF14" s="51">
        <f t="shared" ca="1" si="12"/>
        <v>9.0229137357899543</v>
      </c>
      <c r="AG14" s="50">
        <f t="shared" ca="1" si="13"/>
        <v>1859</v>
      </c>
      <c r="AH14" s="50"/>
      <c r="AI14" s="60"/>
      <c r="AJ14" s="50"/>
      <c r="AK14" s="50"/>
    </row>
    <row r="15" spans="1:37" ht="16.5" x14ac:dyDescent="0.3">
      <c r="A15" s="57">
        <v>13</v>
      </c>
      <c r="B15" s="56">
        <f t="shared" ca="1" si="5"/>
        <v>6271</v>
      </c>
      <c r="C15" s="55">
        <f t="shared" ca="1" si="6"/>
        <v>2099</v>
      </c>
      <c r="D15" s="54">
        <f t="shared" ca="1" si="7"/>
        <v>2706</v>
      </c>
      <c r="E15" s="53"/>
      <c r="F15" s="6"/>
      <c r="G15" s="39"/>
      <c r="H15" s="39"/>
      <c r="I15" s="39"/>
      <c r="J15" s="39">
        <f ca="1">SUM(J2:J14)</f>
        <v>75</v>
      </c>
      <c r="K15" s="13">
        <f ca="1">SUM(K2:K14)</f>
        <v>1</v>
      </c>
      <c r="L15" s="13"/>
      <c r="AB15" s="50">
        <f t="shared" ca="1" si="10"/>
        <v>3.2882373660727993E-2</v>
      </c>
      <c r="AC15" s="52">
        <v>14</v>
      </c>
      <c r="AD15" s="52">
        <v>13</v>
      </c>
      <c r="AE15" s="52">
        <f t="shared" ca="1" si="11"/>
        <v>213</v>
      </c>
      <c r="AF15" s="51">
        <f t="shared" ca="1" si="12"/>
        <v>12.702522530530263</v>
      </c>
      <c r="AG15" s="50">
        <f t="shared" ca="1" si="13"/>
        <v>2706</v>
      </c>
      <c r="AH15" s="50"/>
      <c r="AI15" s="60"/>
      <c r="AJ15" s="50"/>
      <c r="AK15" s="50"/>
    </row>
    <row r="16" spans="1:37" ht="16.5" x14ac:dyDescent="0.3">
      <c r="A16" s="57">
        <v>14</v>
      </c>
      <c r="B16" s="56">
        <f t="shared" ca="1" si="5"/>
        <v>3854</v>
      </c>
      <c r="C16" s="55">
        <f t="shared" ca="1" si="6"/>
        <v>2256</v>
      </c>
      <c r="D16" s="54">
        <f t="shared" ca="1" si="7"/>
        <v>2099</v>
      </c>
      <c r="E16" s="53"/>
      <c r="AB16" s="50">
        <f t="shared" ca="1" si="10"/>
        <v>0.51152239670058697</v>
      </c>
      <c r="AC16" s="52">
        <v>16</v>
      </c>
      <c r="AD16" s="52">
        <v>14</v>
      </c>
      <c r="AE16" s="52">
        <f t="shared" ca="1" si="11"/>
        <v>220</v>
      </c>
      <c r="AF16" s="51">
        <f t="shared" ca="1" si="12"/>
        <v>9.5398897195840107</v>
      </c>
      <c r="AG16" s="50">
        <f t="shared" ca="1" si="13"/>
        <v>2099</v>
      </c>
      <c r="AH16" s="50"/>
      <c r="AI16" s="60"/>
      <c r="AJ16" s="50"/>
      <c r="AK16" s="50"/>
    </row>
    <row r="17" spans="1:37" ht="16.5" x14ac:dyDescent="0.3">
      <c r="A17" s="57">
        <v>15</v>
      </c>
      <c r="B17" s="56">
        <f t="shared" ca="1" si="5"/>
        <v>3890</v>
      </c>
      <c r="C17" s="55">
        <f t="shared" ca="1" si="6"/>
        <v>2314</v>
      </c>
      <c r="D17" s="54">
        <f t="shared" ca="1" si="7"/>
        <v>1844</v>
      </c>
      <c r="E17" s="53"/>
      <c r="J17" s="6"/>
      <c r="K17" s="6"/>
      <c r="AB17" s="50">
        <f t="shared" ca="1" si="10"/>
        <v>0.5258992421564268</v>
      </c>
      <c r="AC17" s="52">
        <v>18</v>
      </c>
      <c r="AD17" s="52">
        <v>15</v>
      </c>
      <c r="AE17" s="52">
        <f t="shared" ca="1" si="11"/>
        <v>227</v>
      </c>
      <c r="AF17" s="51">
        <f t="shared" ca="1" si="12"/>
        <v>8.1214872190136465</v>
      </c>
      <c r="AG17" s="50">
        <f t="shared" ca="1" si="13"/>
        <v>1844</v>
      </c>
      <c r="AH17" s="50"/>
      <c r="AI17" s="60"/>
      <c r="AJ17" s="50"/>
      <c r="AK17" s="50"/>
    </row>
    <row r="18" spans="1:37" ht="16.5" x14ac:dyDescent="0.3">
      <c r="A18" s="57">
        <v>16</v>
      </c>
      <c r="B18" s="56">
        <f t="shared" ca="1" si="5"/>
        <v>3144</v>
      </c>
      <c r="C18" s="55">
        <f t="shared" ca="1" si="6"/>
        <v>1967</v>
      </c>
      <c r="D18" s="54">
        <f t="shared" ca="1" si="7"/>
        <v>1888</v>
      </c>
      <c r="E18" s="53"/>
      <c r="AB18" s="50">
        <f t="shared" ca="1" si="10"/>
        <v>0.52788407664605985</v>
      </c>
      <c r="AC18" s="52">
        <v>13</v>
      </c>
      <c r="AD18" s="52">
        <v>16</v>
      </c>
      <c r="AE18" s="52">
        <f t="shared" ca="1" si="11"/>
        <v>234</v>
      </c>
      <c r="AF18" s="51">
        <f t="shared" ca="1" si="12"/>
        <v>8.0665615105741502</v>
      </c>
      <c r="AG18" s="50">
        <f t="shared" ca="1" si="13"/>
        <v>1888</v>
      </c>
      <c r="AH18" s="50"/>
      <c r="AI18" s="60"/>
      <c r="AJ18" s="50"/>
      <c r="AK18" s="50"/>
    </row>
    <row r="19" spans="1:37" ht="16.5" x14ac:dyDescent="0.3">
      <c r="A19" s="57">
        <v>17</v>
      </c>
      <c r="B19" s="56">
        <f t="shared" ca="1" si="5"/>
        <v>1410</v>
      </c>
      <c r="C19" s="55">
        <f t="shared" ca="1" si="6"/>
        <v>2305</v>
      </c>
      <c r="D19" s="54">
        <f t="shared" ca="1" si="7"/>
        <v>2305</v>
      </c>
      <c r="E19" s="53"/>
      <c r="AB19" s="50">
        <f t="shared" ca="1" si="10"/>
        <v>0.92896170135956935</v>
      </c>
      <c r="AC19" s="52">
        <v>17</v>
      </c>
      <c r="AD19" s="52">
        <v>17</v>
      </c>
      <c r="AE19" s="52">
        <f t="shared" ca="1" si="11"/>
        <v>241</v>
      </c>
      <c r="AF19" s="51">
        <f t="shared" ca="1" si="12"/>
        <v>9.563337713904227</v>
      </c>
      <c r="AG19" s="50">
        <f t="shared" ca="1" si="13"/>
        <v>2305</v>
      </c>
      <c r="AH19" s="50"/>
      <c r="AI19" s="60"/>
      <c r="AJ19" s="50"/>
      <c r="AK19" s="50"/>
    </row>
    <row r="20" spans="1:37" ht="16.5" x14ac:dyDescent="0.3">
      <c r="A20" s="57">
        <v>18</v>
      </c>
      <c r="B20" s="56">
        <f t="shared" ca="1" si="5"/>
        <v>1888</v>
      </c>
      <c r="C20" s="55">
        <f t="shared" ca="1" si="6"/>
        <v>2150</v>
      </c>
      <c r="D20" s="54">
        <f t="shared" ca="1" si="7"/>
        <v>2772</v>
      </c>
      <c r="E20" s="53"/>
      <c r="AB20" s="50">
        <f t="shared" ca="1" si="10"/>
        <v>0.78667544627265573</v>
      </c>
      <c r="AC20" s="52">
        <v>15</v>
      </c>
      <c r="AD20" s="52">
        <v>18</v>
      </c>
      <c r="AE20" s="52">
        <f t="shared" ca="1" si="11"/>
        <v>248</v>
      </c>
      <c r="AF20" s="51">
        <f t="shared" ca="1" si="12"/>
        <v>11.177473774481827</v>
      </c>
      <c r="AG20" s="50">
        <f t="shared" ca="1" si="13"/>
        <v>2772</v>
      </c>
      <c r="AH20" s="50"/>
      <c r="AI20" s="60"/>
      <c r="AJ20" s="50"/>
      <c r="AK20" s="50"/>
    </row>
    <row r="21" spans="1:37" ht="16.5" x14ac:dyDescent="0.3">
      <c r="A21" s="57">
        <v>19</v>
      </c>
      <c r="B21" s="56">
        <f t="shared" ca="1" si="5"/>
        <v>4234</v>
      </c>
      <c r="C21" s="55">
        <f t="shared" ca="1" si="6"/>
        <v>2571</v>
      </c>
      <c r="D21" s="54">
        <f t="shared" ca="1" si="7"/>
        <v>2704</v>
      </c>
      <c r="E21" s="53"/>
      <c r="AB21" s="50">
        <f t="shared" ca="1" si="10"/>
        <v>0.35713931166863955</v>
      </c>
      <c r="AC21" s="52">
        <v>19</v>
      </c>
      <c r="AD21" s="52">
        <v>19</v>
      </c>
      <c r="AE21" s="52">
        <f t="shared" ca="1" si="11"/>
        <v>255</v>
      </c>
      <c r="AF21" s="51">
        <f t="shared" ca="1" si="12"/>
        <v>10.602838704758547</v>
      </c>
      <c r="AG21" s="50">
        <f t="shared" ca="1" si="13"/>
        <v>2704</v>
      </c>
      <c r="AH21" s="50"/>
      <c r="AI21" s="60"/>
      <c r="AJ21" s="50"/>
      <c r="AK21" s="50"/>
    </row>
    <row r="22" spans="1:37" ht="16.5" x14ac:dyDescent="0.3">
      <c r="A22" s="57">
        <v>20</v>
      </c>
      <c r="B22" s="56">
        <f t="shared" ca="1" si="5"/>
        <v>4968</v>
      </c>
      <c r="C22" s="55">
        <f t="shared" ca="1" si="6"/>
        <v>2651</v>
      </c>
      <c r="D22" s="54">
        <f t="shared" ca="1" si="7"/>
        <v>2314</v>
      </c>
      <c r="E22" s="53"/>
      <c r="AB22" s="50">
        <f t="shared" ca="1" si="10"/>
        <v>0.2496545993481798</v>
      </c>
      <c r="AC22" s="52">
        <v>20</v>
      </c>
      <c r="AD22" s="52">
        <v>20</v>
      </c>
      <c r="AE22" s="52">
        <f t="shared" ca="1" si="11"/>
        <v>262</v>
      </c>
      <c r="AF22" s="51">
        <f t="shared" ca="1" si="12"/>
        <v>8.8317576776141618</v>
      </c>
      <c r="AG22" s="50">
        <f t="shared" ca="1" si="13"/>
        <v>2314</v>
      </c>
      <c r="AH22" s="50"/>
      <c r="AI22" s="60"/>
      <c r="AJ22" s="50"/>
      <c r="AK22" s="50"/>
    </row>
    <row r="23" spans="1:37" ht="16.5" x14ac:dyDescent="0.3">
      <c r="A23" s="57">
        <v>21</v>
      </c>
      <c r="B23" s="56">
        <f t="shared" ca="1" si="5"/>
        <v>4724</v>
      </c>
      <c r="C23" s="55">
        <f t="shared" ca="1" si="6"/>
        <v>2769</v>
      </c>
      <c r="D23" s="54">
        <f t="shared" ca="1" si="7"/>
        <v>2256</v>
      </c>
      <c r="E23" s="53"/>
      <c r="AB23" s="50">
        <f t="shared" ca="1" si="10"/>
        <v>0.33810946734464364</v>
      </c>
      <c r="AC23" s="52">
        <v>24</v>
      </c>
      <c r="AD23" s="52">
        <v>21</v>
      </c>
      <c r="AE23" s="52">
        <f t="shared" ca="1" si="11"/>
        <v>269</v>
      </c>
      <c r="AF23" s="51">
        <f t="shared" ca="1" si="12"/>
        <v>8.3872085065749005</v>
      </c>
      <c r="AG23" s="50">
        <f t="shared" ca="1" si="13"/>
        <v>2256</v>
      </c>
      <c r="AH23" s="50"/>
      <c r="AI23" s="60"/>
      <c r="AJ23" s="50"/>
      <c r="AK23" s="50"/>
    </row>
    <row r="24" spans="1:37" ht="16.5" x14ac:dyDescent="0.3">
      <c r="A24" s="57">
        <v>22</v>
      </c>
      <c r="B24" s="56">
        <f t="shared" ca="1" si="5"/>
        <v>2942</v>
      </c>
      <c r="C24" s="55">
        <f t="shared" ca="1" si="6"/>
        <v>2704</v>
      </c>
      <c r="D24" s="54">
        <f t="shared" ca="1" si="7"/>
        <v>2651</v>
      </c>
      <c r="E24" s="59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B24" s="50">
        <f t="shared" ca="1" si="10"/>
        <v>0.53956501412318281</v>
      </c>
      <c r="AC24" s="52">
        <v>22</v>
      </c>
      <c r="AD24" s="52">
        <v>22</v>
      </c>
      <c r="AE24" s="52">
        <f t="shared" ca="1" si="11"/>
        <v>276</v>
      </c>
      <c r="AF24" s="51">
        <f t="shared" ca="1" si="12"/>
        <v>9.6068135815744</v>
      </c>
      <c r="AG24" s="50">
        <f t="shared" ca="1" si="13"/>
        <v>2651</v>
      </c>
      <c r="AH24" s="50"/>
      <c r="AI24" s="60"/>
      <c r="AJ24" s="50"/>
      <c r="AK24" s="50"/>
    </row>
    <row r="25" spans="1:37" ht="16.5" x14ac:dyDescent="0.3">
      <c r="A25" s="57">
        <v>23</v>
      </c>
      <c r="B25" s="56">
        <f t="shared" ca="1" si="5"/>
        <v>5914</v>
      </c>
      <c r="C25" s="55">
        <f t="shared" ca="1" si="6"/>
        <v>2706</v>
      </c>
      <c r="D25" s="54">
        <f t="shared" ca="1" si="7"/>
        <v>2893</v>
      </c>
      <c r="E25" s="59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B25" s="50">
        <f t="shared" ca="1" si="10"/>
        <v>0.37465384324575879</v>
      </c>
      <c r="AC25" s="52">
        <v>23</v>
      </c>
      <c r="AD25" s="52">
        <v>23</v>
      </c>
      <c r="AE25" s="52">
        <f t="shared" ca="1" si="11"/>
        <v>283</v>
      </c>
      <c r="AF25" s="51">
        <f t="shared" ca="1" si="12"/>
        <v>10.22340027094037</v>
      </c>
      <c r="AG25" s="50">
        <f t="shared" ca="1" si="13"/>
        <v>2893</v>
      </c>
      <c r="AH25" s="50"/>
      <c r="AI25" s="60"/>
      <c r="AJ25" s="50"/>
      <c r="AK25" s="50"/>
    </row>
    <row r="26" spans="1:37" ht="16.5" x14ac:dyDescent="0.3">
      <c r="A26" s="57">
        <v>24</v>
      </c>
      <c r="B26" s="56">
        <f t="shared" ca="1" si="5"/>
        <v>5287</v>
      </c>
      <c r="C26" s="55">
        <f t="shared" ca="1" si="6"/>
        <v>2772</v>
      </c>
      <c r="D26" s="54">
        <f t="shared" ca="1" si="7"/>
        <v>2869</v>
      </c>
      <c r="E26" s="59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B26" s="50">
        <f t="shared" ca="1" si="10"/>
        <v>4.5679051516135938E-2</v>
      </c>
      <c r="AC26" s="52">
        <v>25</v>
      </c>
      <c r="AD26" s="52">
        <v>24</v>
      </c>
      <c r="AE26" s="52">
        <f t="shared" ca="1" si="11"/>
        <v>290</v>
      </c>
      <c r="AF26" s="51">
        <f t="shared" ca="1" si="12"/>
        <v>9.894597806715181</v>
      </c>
      <c r="AG26" s="50">
        <f t="shared" ca="1" si="13"/>
        <v>2869</v>
      </c>
      <c r="AH26" s="50"/>
      <c r="AI26" s="60"/>
      <c r="AJ26" s="50"/>
      <c r="AK26" s="50"/>
    </row>
    <row r="27" spans="1:37" ht="16.5" x14ac:dyDescent="0.3">
      <c r="A27" s="57">
        <v>25</v>
      </c>
      <c r="B27" s="56">
        <f t="shared" ca="1" si="5"/>
        <v>1665</v>
      </c>
      <c r="C27" s="55">
        <f t="shared" ca="1" si="6"/>
        <v>2669</v>
      </c>
      <c r="D27" s="54">
        <f t="shared" ca="1" si="7"/>
        <v>2669</v>
      </c>
      <c r="E27" s="59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Z27" s="58"/>
      <c r="AA27" s="58"/>
      <c r="AB27" s="50">
        <f t="shared" ca="1" si="10"/>
        <v>0.95913686456289282</v>
      </c>
      <c r="AC27" s="52">
        <v>21</v>
      </c>
      <c r="AD27" s="52">
        <v>25</v>
      </c>
      <c r="AE27" s="52">
        <f t="shared" ca="1" si="11"/>
        <v>297</v>
      </c>
      <c r="AF27" s="51">
        <f t="shared" ca="1" si="12"/>
        <v>8.9866676148567812</v>
      </c>
      <c r="AG27" s="50">
        <f t="shared" ca="1" si="13"/>
        <v>2669</v>
      </c>
      <c r="AH27" s="50"/>
      <c r="AI27" s="60"/>
      <c r="AJ27" s="50"/>
      <c r="AK27" s="50"/>
    </row>
    <row r="28" spans="1:37" ht="16.5" x14ac:dyDescent="0.3">
      <c r="A28" s="57">
        <v>26</v>
      </c>
      <c r="B28" s="56">
        <f t="shared" ca="1" si="5"/>
        <v>2099</v>
      </c>
      <c r="C28" s="55">
        <f t="shared" ca="1" si="6"/>
        <v>2893</v>
      </c>
      <c r="D28" s="54">
        <f t="shared" ca="1" si="7"/>
        <v>2571</v>
      </c>
      <c r="E28" s="59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Z28" s="58"/>
      <c r="AA28" s="58"/>
      <c r="AB28" s="50">
        <f t="shared" ca="1" si="10"/>
        <v>0.79726134531608139</v>
      </c>
      <c r="AC28" s="52">
        <v>27</v>
      </c>
      <c r="AD28" s="52">
        <v>26</v>
      </c>
      <c r="AE28" s="52">
        <f t="shared" ca="1" si="11"/>
        <v>304</v>
      </c>
      <c r="AF28" s="51">
        <f t="shared" ca="1" si="12"/>
        <v>8.4564669135117683</v>
      </c>
      <c r="AG28" s="50">
        <f t="shared" ca="1" si="13"/>
        <v>2571</v>
      </c>
      <c r="AH28" s="50"/>
      <c r="AI28" s="60"/>
      <c r="AJ28" s="50"/>
      <c r="AK28" s="50"/>
    </row>
    <row r="29" spans="1:37" ht="16.5" x14ac:dyDescent="0.3">
      <c r="A29" s="57">
        <v>27</v>
      </c>
      <c r="B29" s="56">
        <f t="shared" ca="1" si="5"/>
        <v>3026</v>
      </c>
      <c r="C29" s="55">
        <f t="shared" ca="1" si="6"/>
        <v>2869</v>
      </c>
      <c r="D29" s="54">
        <f t="shared" ca="1" si="7"/>
        <v>3026</v>
      </c>
      <c r="E29" s="59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Z29" s="58"/>
      <c r="AA29" s="58"/>
      <c r="AB29" s="50">
        <f t="shared" ca="1" si="10"/>
        <v>0.56162447975059981</v>
      </c>
      <c r="AC29" s="52">
        <v>26</v>
      </c>
      <c r="AD29" s="52">
        <v>27</v>
      </c>
      <c r="AE29" s="52">
        <f t="shared" ca="1" si="11"/>
        <v>311</v>
      </c>
      <c r="AF29" s="51">
        <f t="shared" ca="1" si="12"/>
        <v>9.7297009164538828</v>
      </c>
      <c r="AG29" s="50">
        <f t="shared" ca="1" si="13"/>
        <v>3026</v>
      </c>
      <c r="AH29" s="50"/>
      <c r="AI29" s="60"/>
      <c r="AJ29" s="50"/>
      <c r="AK29" s="50"/>
    </row>
    <row r="30" spans="1:37" ht="16.5" x14ac:dyDescent="0.3">
      <c r="A30" s="57">
        <v>28</v>
      </c>
      <c r="B30" s="56">
        <f t="shared" ca="1" si="5"/>
        <v>4826</v>
      </c>
      <c r="C30" s="55">
        <f t="shared" ca="1" si="6"/>
        <v>3284</v>
      </c>
      <c r="D30" s="54">
        <f t="shared" ca="1" si="7"/>
        <v>3542</v>
      </c>
      <c r="E30" s="59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Z30" s="58"/>
      <c r="AA30" s="58"/>
      <c r="AB30" s="50">
        <f t="shared" ca="1" si="10"/>
        <v>0.19850484914067834</v>
      </c>
      <c r="AC30" s="52">
        <v>33</v>
      </c>
      <c r="AD30" s="52">
        <v>28</v>
      </c>
      <c r="AE30" s="52">
        <f t="shared" ca="1" si="11"/>
        <v>318</v>
      </c>
      <c r="AF30" s="51">
        <f t="shared" ca="1" si="12"/>
        <v>11.136948697520317</v>
      </c>
      <c r="AG30" s="50">
        <f t="shared" ca="1" si="13"/>
        <v>3542</v>
      </c>
      <c r="AH30" s="50"/>
      <c r="AI30" s="60"/>
      <c r="AJ30" s="50"/>
      <c r="AK30" s="50"/>
    </row>
    <row r="31" spans="1:37" ht="16.5" x14ac:dyDescent="0.3">
      <c r="A31" s="57">
        <v>29</v>
      </c>
      <c r="B31" s="56">
        <f t="shared" ca="1" si="5"/>
        <v>1859</v>
      </c>
      <c r="C31" s="55">
        <f t="shared" ca="1" si="6"/>
        <v>3284</v>
      </c>
      <c r="D31" s="54">
        <f t="shared" ca="1" si="7"/>
        <v>3124</v>
      </c>
      <c r="E31" s="59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Z31" s="58"/>
      <c r="AA31" s="58"/>
      <c r="AB31" s="50">
        <f t="shared" ca="1" si="10"/>
        <v>0.799401892463249</v>
      </c>
      <c r="AC31" s="52">
        <v>34</v>
      </c>
      <c r="AD31" s="52">
        <v>29</v>
      </c>
      <c r="AE31" s="52">
        <f t="shared" ca="1" si="11"/>
        <v>325</v>
      </c>
      <c r="AF31" s="51">
        <f t="shared" ca="1" si="12"/>
        <v>9.6123993303245996</v>
      </c>
      <c r="AG31" s="50">
        <f t="shared" ca="1" si="13"/>
        <v>3124</v>
      </c>
      <c r="AH31" s="50"/>
      <c r="AI31" s="60"/>
      <c r="AJ31" s="50"/>
      <c r="AK31" s="50"/>
    </row>
    <row r="32" spans="1:37" ht="16.5" x14ac:dyDescent="0.3">
      <c r="A32" s="57">
        <v>30</v>
      </c>
      <c r="B32" s="56">
        <f t="shared" ca="1" si="5"/>
        <v>2706</v>
      </c>
      <c r="C32" s="55">
        <f t="shared" ca="1" si="6"/>
        <v>2942</v>
      </c>
      <c r="D32" s="54">
        <f t="shared" ca="1" si="7"/>
        <v>2769</v>
      </c>
      <c r="E32" s="59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0">
        <f t="shared" ca="1" si="10"/>
        <v>0.79775570043307065</v>
      </c>
      <c r="AC32" s="52">
        <v>28</v>
      </c>
      <c r="AD32" s="52">
        <v>30</v>
      </c>
      <c r="AE32" s="52">
        <f t="shared" ca="1" si="11"/>
        <v>332</v>
      </c>
      <c r="AF32" s="51">
        <f t="shared" ca="1" si="12"/>
        <v>8.3406118783411252</v>
      </c>
      <c r="AG32" s="50">
        <f t="shared" ca="1" si="13"/>
        <v>2769</v>
      </c>
      <c r="AH32" s="50"/>
      <c r="AI32" s="60"/>
      <c r="AJ32" s="50"/>
      <c r="AK32" s="50"/>
    </row>
    <row r="33" spans="1:37" ht="16.5" x14ac:dyDescent="0.3">
      <c r="A33" s="57">
        <v>31</v>
      </c>
      <c r="B33" s="56">
        <f t="shared" ca="1" si="5"/>
        <v>4002</v>
      </c>
      <c r="C33" s="55">
        <f t="shared" ca="1" si="6"/>
        <v>3124</v>
      </c>
      <c r="D33" s="54">
        <f t="shared" ca="1" si="7"/>
        <v>2942</v>
      </c>
      <c r="E33" s="59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0">
        <f t="shared" ca="1" si="10"/>
        <v>0.45791273732880444</v>
      </c>
      <c r="AC33" s="52">
        <v>30</v>
      </c>
      <c r="AD33" s="52">
        <v>31</v>
      </c>
      <c r="AE33" s="52">
        <f t="shared" ca="1" si="11"/>
        <v>339</v>
      </c>
      <c r="AF33" s="51">
        <f t="shared" ca="1" si="12"/>
        <v>8.6770911107452591</v>
      </c>
      <c r="AG33" s="50">
        <f t="shared" ca="1" si="13"/>
        <v>2942</v>
      </c>
      <c r="AH33" s="50"/>
      <c r="AI33" s="60"/>
      <c r="AJ33" s="50"/>
      <c r="AK33" s="50"/>
    </row>
    <row r="34" spans="1:37" ht="16.5" x14ac:dyDescent="0.3">
      <c r="A34" s="57">
        <v>32</v>
      </c>
      <c r="B34" s="56">
        <f t="shared" ca="1" si="5"/>
        <v>2314</v>
      </c>
      <c r="C34" s="55">
        <f t="shared" ca="1" si="6"/>
        <v>3026</v>
      </c>
      <c r="D34" s="54">
        <f t="shared" ca="1" si="7"/>
        <v>3144</v>
      </c>
      <c r="E34" s="59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0">
        <f t="shared" ca="1" si="10"/>
        <v>0.64176753163329103</v>
      </c>
      <c r="AC34" s="52">
        <v>29</v>
      </c>
      <c r="AD34" s="52">
        <v>32</v>
      </c>
      <c r="AE34" s="52">
        <f t="shared" ca="1" si="11"/>
        <v>346</v>
      </c>
      <c r="AF34" s="51">
        <f t="shared" ca="1" si="12"/>
        <v>9.0862322067519816</v>
      </c>
      <c r="AG34" s="50">
        <f t="shared" ca="1" si="13"/>
        <v>3144</v>
      </c>
      <c r="AH34" s="50"/>
      <c r="AI34" s="60"/>
      <c r="AJ34" s="50"/>
      <c r="AK34" s="50"/>
    </row>
    <row r="35" spans="1:37" ht="16.5" x14ac:dyDescent="0.3">
      <c r="A35" s="57">
        <v>33</v>
      </c>
      <c r="B35" s="56">
        <f t="shared" ref="B35:B66" ca="1" si="14">INDEX($AG$3:$AG$77,RANK(AB35,$AB$3:$AB$77))</f>
        <v>1134</v>
      </c>
      <c r="C35" s="55">
        <f t="shared" ref="C35:C66" ca="1" si="15">SMALL($AG$3:$AG$77,AC35)</f>
        <v>3144</v>
      </c>
      <c r="D35" s="54">
        <f t="shared" ref="D35:D66" ca="1" si="16">AG35</f>
        <v>3890</v>
      </c>
      <c r="E35" s="59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0">
        <f t="shared" ref="AB35:AB66" ca="1" si="17">RAND()</f>
        <v>0.97101823139298726</v>
      </c>
      <c r="AC35" s="52">
        <v>31</v>
      </c>
      <c r="AD35" s="52">
        <v>33</v>
      </c>
      <c r="AE35" s="52">
        <f t="shared" ref="AE35:AE66" ca="1" si="18">INT($AH$1+$AI$1*AD35)</f>
        <v>353</v>
      </c>
      <c r="AF35" s="51">
        <f t="shared" ref="AF35:AF66" ca="1" si="19">(VLOOKUP(MOD(AD35,ROUNDUP($Y$7,0)),$V$8:$W$12,2)+7)+RAND()*VLOOKUP(MOD(AD35,ROUNDUP($Y$7,0)),$V$8:$W$12,2)</f>
        <v>11.019622673059461</v>
      </c>
      <c r="AG35" s="50">
        <f t="shared" ref="AG35:AG66" ca="1" si="20">ROUND(AE35*AF35,0)</f>
        <v>3890</v>
      </c>
      <c r="AH35" s="50"/>
      <c r="AI35" s="60"/>
      <c r="AJ35" s="50"/>
      <c r="AK35" s="50"/>
    </row>
    <row r="36" spans="1:37" ht="16.5" x14ac:dyDescent="0.3">
      <c r="A36" s="57">
        <v>34</v>
      </c>
      <c r="B36" s="56">
        <f t="shared" ca="1" si="14"/>
        <v>3284</v>
      </c>
      <c r="C36" s="55">
        <f t="shared" ca="1" si="15"/>
        <v>3283</v>
      </c>
      <c r="D36" s="54">
        <f t="shared" ca="1" si="16"/>
        <v>3854</v>
      </c>
      <c r="E36" s="59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0">
        <f t="shared" ca="1" si="17"/>
        <v>0.46174815436549355</v>
      </c>
      <c r="AC36" s="52">
        <v>32</v>
      </c>
      <c r="AD36" s="52">
        <v>34</v>
      </c>
      <c r="AE36" s="52">
        <f t="shared" ca="1" si="18"/>
        <v>360</v>
      </c>
      <c r="AF36" s="51">
        <f t="shared" ca="1" si="19"/>
        <v>10.705645366687527</v>
      </c>
      <c r="AG36" s="50">
        <f t="shared" ca="1" si="20"/>
        <v>3854</v>
      </c>
      <c r="AH36" s="50"/>
      <c r="AI36" s="60"/>
      <c r="AJ36" s="50"/>
      <c r="AK36" s="50"/>
    </row>
    <row r="37" spans="1:37" ht="16.5" x14ac:dyDescent="0.3">
      <c r="A37" s="57">
        <v>35</v>
      </c>
      <c r="B37" s="56">
        <f t="shared" ca="1" si="14"/>
        <v>4174</v>
      </c>
      <c r="C37" s="55">
        <f t="shared" ca="1" si="15"/>
        <v>3362</v>
      </c>
      <c r="D37" s="54">
        <f t="shared" ca="1" si="16"/>
        <v>3284</v>
      </c>
      <c r="E37" s="59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0">
        <f t="shared" ca="1" si="17"/>
        <v>0.44874633974214073</v>
      </c>
      <c r="AC37" s="52">
        <v>35</v>
      </c>
      <c r="AD37" s="52">
        <v>35</v>
      </c>
      <c r="AE37" s="52">
        <f t="shared" ca="1" si="18"/>
        <v>367</v>
      </c>
      <c r="AF37" s="51">
        <f t="shared" ca="1" si="19"/>
        <v>8.9475206659422497</v>
      </c>
      <c r="AG37" s="50">
        <f t="shared" ca="1" si="20"/>
        <v>3284</v>
      </c>
      <c r="AH37" s="50"/>
      <c r="AI37" s="60"/>
      <c r="AJ37" s="50"/>
      <c r="AK37" s="50"/>
    </row>
    <row r="38" spans="1:37" ht="16.5" x14ac:dyDescent="0.3">
      <c r="A38" s="57">
        <v>36</v>
      </c>
      <c r="B38" s="56">
        <f t="shared" ca="1" si="14"/>
        <v>5621</v>
      </c>
      <c r="C38" s="55">
        <f t="shared" ca="1" si="15"/>
        <v>3854</v>
      </c>
      <c r="D38" s="54">
        <f t="shared" ca="1" si="16"/>
        <v>3362</v>
      </c>
      <c r="E38" s="59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0">
        <f t="shared" ca="1" si="17"/>
        <v>0.34034988381968767</v>
      </c>
      <c r="AC38" s="52">
        <v>39</v>
      </c>
      <c r="AD38" s="52">
        <v>36</v>
      </c>
      <c r="AE38" s="52">
        <f t="shared" ca="1" si="18"/>
        <v>374</v>
      </c>
      <c r="AF38" s="51">
        <f t="shared" ca="1" si="19"/>
        <v>8.9898411865369194</v>
      </c>
      <c r="AG38" s="50">
        <f t="shared" ca="1" si="20"/>
        <v>3362</v>
      </c>
      <c r="AH38" s="50"/>
      <c r="AI38" s="60"/>
      <c r="AJ38" s="50"/>
      <c r="AK38" s="50"/>
    </row>
    <row r="39" spans="1:37" ht="16.5" x14ac:dyDescent="0.3">
      <c r="A39" s="57">
        <v>37</v>
      </c>
      <c r="B39" s="56">
        <f t="shared" ca="1" si="14"/>
        <v>4488</v>
      </c>
      <c r="C39" s="55">
        <f t="shared" ca="1" si="15"/>
        <v>3460</v>
      </c>
      <c r="D39" s="54">
        <f t="shared" ca="1" si="16"/>
        <v>3460</v>
      </c>
      <c r="E39" s="59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0">
        <f t="shared" ca="1" si="17"/>
        <v>0.4141176628851615</v>
      </c>
      <c r="AC39" s="52">
        <v>36</v>
      </c>
      <c r="AD39" s="52">
        <v>37</v>
      </c>
      <c r="AE39" s="52">
        <f t="shared" ca="1" si="18"/>
        <v>381</v>
      </c>
      <c r="AF39" s="51">
        <f t="shared" ca="1" si="19"/>
        <v>9.0824382724930768</v>
      </c>
      <c r="AG39" s="50">
        <f t="shared" ca="1" si="20"/>
        <v>3460</v>
      </c>
      <c r="AH39" s="50"/>
      <c r="AI39" s="60"/>
      <c r="AJ39" s="50"/>
      <c r="AK39" s="50"/>
    </row>
    <row r="40" spans="1:37" ht="16.5" x14ac:dyDescent="0.3">
      <c r="A40" s="57">
        <v>38</v>
      </c>
      <c r="B40" s="56">
        <f t="shared" ca="1" si="14"/>
        <v>5611</v>
      </c>
      <c r="C40" s="55">
        <f t="shared" ca="1" si="15"/>
        <v>3542</v>
      </c>
      <c r="D40" s="54">
        <f t="shared" ca="1" si="16"/>
        <v>4002</v>
      </c>
      <c r="E40" s="59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0">
        <f t="shared" ca="1" si="17"/>
        <v>6.3944058471744336E-2</v>
      </c>
      <c r="AC40" s="52">
        <v>37</v>
      </c>
      <c r="AD40" s="52">
        <v>38</v>
      </c>
      <c r="AE40" s="52">
        <f t="shared" ca="1" si="18"/>
        <v>388</v>
      </c>
      <c r="AF40" s="51">
        <f t="shared" ca="1" si="19"/>
        <v>10.314307501952722</v>
      </c>
      <c r="AG40" s="50">
        <f t="shared" ca="1" si="20"/>
        <v>4002</v>
      </c>
      <c r="AH40" s="50"/>
      <c r="AI40" s="60"/>
      <c r="AJ40" s="50"/>
      <c r="AK40" s="50"/>
    </row>
    <row r="41" spans="1:37" ht="16.5" x14ac:dyDescent="0.3">
      <c r="A41" s="57">
        <v>39</v>
      </c>
      <c r="B41" s="56">
        <f t="shared" ca="1" si="14"/>
        <v>4125</v>
      </c>
      <c r="C41" s="55">
        <f t="shared" ca="1" si="15"/>
        <v>3687</v>
      </c>
      <c r="D41" s="54">
        <f t="shared" ca="1" si="16"/>
        <v>4174</v>
      </c>
      <c r="E41" s="59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0">
        <f t="shared" ca="1" si="17"/>
        <v>0.40050266343824747</v>
      </c>
      <c r="AC41" s="52">
        <v>38</v>
      </c>
      <c r="AD41" s="52">
        <v>39</v>
      </c>
      <c r="AE41" s="52">
        <f t="shared" ca="1" si="18"/>
        <v>395</v>
      </c>
      <c r="AF41" s="51">
        <f t="shared" ca="1" si="19"/>
        <v>10.566113183733215</v>
      </c>
      <c r="AG41" s="50">
        <f t="shared" ca="1" si="20"/>
        <v>4174</v>
      </c>
      <c r="AH41" s="50"/>
      <c r="AI41" s="60"/>
      <c r="AJ41" s="50"/>
      <c r="AK41" s="50"/>
    </row>
    <row r="42" spans="1:37" ht="16.5" x14ac:dyDescent="0.3">
      <c r="A42" s="57">
        <v>40</v>
      </c>
      <c r="B42" s="56">
        <f t="shared" ca="1" si="14"/>
        <v>6088</v>
      </c>
      <c r="C42" s="55">
        <f t="shared" ca="1" si="15"/>
        <v>3890</v>
      </c>
      <c r="D42" s="54">
        <f t="shared" ca="1" si="16"/>
        <v>3283</v>
      </c>
      <c r="E42" s="59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0">
        <f t="shared" ca="1" si="17"/>
        <v>0.10150232403331239</v>
      </c>
      <c r="AC42" s="52">
        <v>41</v>
      </c>
      <c r="AD42" s="52">
        <v>40</v>
      </c>
      <c r="AE42" s="52">
        <f t="shared" ca="1" si="18"/>
        <v>402</v>
      </c>
      <c r="AF42" s="51">
        <f t="shared" ca="1" si="19"/>
        <v>8.1669871785293555</v>
      </c>
      <c r="AG42" s="50">
        <f t="shared" ca="1" si="20"/>
        <v>3283</v>
      </c>
      <c r="AH42" s="50"/>
      <c r="AI42" s="60"/>
      <c r="AJ42" s="50"/>
      <c r="AK42" s="50"/>
    </row>
    <row r="43" spans="1:37" ht="16.5" x14ac:dyDescent="0.3">
      <c r="A43" s="57">
        <v>41</v>
      </c>
      <c r="B43" s="56">
        <f t="shared" ca="1" si="14"/>
        <v>2651</v>
      </c>
      <c r="C43" s="55">
        <f t="shared" ca="1" si="15"/>
        <v>3876</v>
      </c>
      <c r="D43" s="54">
        <f t="shared" ca="1" si="16"/>
        <v>3284</v>
      </c>
      <c r="E43" s="59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0">
        <f t="shared" ca="1" si="17"/>
        <v>0.6068957871033126</v>
      </c>
      <c r="AC43" s="52">
        <v>40</v>
      </c>
      <c r="AD43" s="52">
        <v>41</v>
      </c>
      <c r="AE43" s="52">
        <f t="shared" ca="1" si="18"/>
        <v>409</v>
      </c>
      <c r="AF43" s="51">
        <f t="shared" ca="1" si="19"/>
        <v>8.0303441406648624</v>
      </c>
      <c r="AG43" s="50">
        <f t="shared" ca="1" si="20"/>
        <v>3284</v>
      </c>
      <c r="AH43" s="50"/>
      <c r="AI43" s="60"/>
      <c r="AJ43" s="50"/>
      <c r="AK43" s="50"/>
    </row>
    <row r="44" spans="1:37" ht="16.5" x14ac:dyDescent="0.3">
      <c r="A44" s="57">
        <v>42</v>
      </c>
      <c r="B44" s="56">
        <f t="shared" ca="1" si="14"/>
        <v>4530</v>
      </c>
      <c r="C44" s="55">
        <f t="shared" ca="1" si="15"/>
        <v>4174</v>
      </c>
      <c r="D44" s="54">
        <f t="shared" ca="1" si="16"/>
        <v>4488</v>
      </c>
      <c r="E44" s="59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0">
        <f t="shared" ca="1" si="17"/>
        <v>0.1982473692410861</v>
      </c>
      <c r="AC44" s="52">
        <v>46</v>
      </c>
      <c r="AD44" s="52">
        <v>42</v>
      </c>
      <c r="AE44" s="52">
        <f t="shared" ca="1" si="18"/>
        <v>416</v>
      </c>
      <c r="AF44" s="51">
        <f t="shared" ca="1" si="19"/>
        <v>10.788860049035868</v>
      </c>
      <c r="AG44" s="50">
        <f t="shared" ca="1" si="20"/>
        <v>4488</v>
      </c>
      <c r="AH44" s="50"/>
      <c r="AI44" s="60"/>
      <c r="AJ44" s="50"/>
      <c r="AK44" s="50"/>
    </row>
    <row r="45" spans="1:37" ht="16.5" x14ac:dyDescent="0.3">
      <c r="A45" s="57">
        <v>43</v>
      </c>
      <c r="B45" s="56">
        <f t="shared" ca="1" si="14"/>
        <v>1611</v>
      </c>
      <c r="C45" s="55">
        <f t="shared" ca="1" si="15"/>
        <v>4075</v>
      </c>
      <c r="D45" s="54">
        <f t="shared" ca="1" si="16"/>
        <v>5225</v>
      </c>
      <c r="E45" s="59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0">
        <f t="shared" ca="1" si="17"/>
        <v>0.85989878976411549</v>
      </c>
      <c r="AC45" s="52">
        <v>44</v>
      </c>
      <c r="AD45" s="52">
        <v>43</v>
      </c>
      <c r="AE45" s="52">
        <f t="shared" ca="1" si="18"/>
        <v>423</v>
      </c>
      <c r="AF45" s="51">
        <f t="shared" ca="1" si="19"/>
        <v>12.353103758267853</v>
      </c>
      <c r="AG45" s="50">
        <f t="shared" ca="1" si="20"/>
        <v>5225</v>
      </c>
      <c r="AH45" s="50"/>
      <c r="AI45" s="60"/>
      <c r="AJ45" s="50"/>
      <c r="AK45" s="50"/>
    </row>
    <row r="46" spans="1:37" ht="16.5" x14ac:dyDescent="0.3">
      <c r="A46" s="57">
        <v>44</v>
      </c>
      <c r="B46" s="56">
        <f t="shared" ca="1" si="14"/>
        <v>5174</v>
      </c>
      <c r="C46" s="55">
        <f t="shared" ca="1" si="15"/>
        <v>4125</v>
      </c>
      <c r="D46" s="54">
        <f t="shared" ca="1" si="16"/>
        <v>4125</v>
      </c>
      <c r="E46" s="59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0">
        <f t="shared" ca="1" si="17"/>
        <v>0.34286800493582492</v>
      </c>
      <c r="AC46" s="3">
        <v>45</v>
      </c>
      <c r="AD46" s="52">
        <v>44</v>
      </c>
      <c r="AE46" s="52">
        <f t="shared" ca="1" si="18"/>
        <v>430</v>
      </c>
      <c r="AF46" s="51">
        <f t="shared" ca="1" si="19"/>
        <v>9.5933744033091024</v>
      </c>
      <c r="AG46" s="50">
        <f t="shared" ca="1" si="20"/>
        <v>4125</v>
      </c>
      <c r="AH46" s="50"/>
      <c r="AI46" s="60"/>
      <c r="AJ46" s="50"/>
      <c r="AK46" s="50"/>
    </row>
    <row r="47" spans="1:37" ht="16.5" x14ac:dyDescent="0.3">
      <c r="A47" s="57">
        <v>45</v>
      </c>
      <c r="B47" s="56">
        <f t="shared" ca="1" si="14"/>
        <v>5660</v>
      </c>
      <c r="C47" s="55">
        <f t="shared" ca="1" si="15"/>
        <v>4234</v>
      </c>
      <c r="D47" s="54">
        <f t="shared" ca="1" si="16"/>
        <v>3687</v>
      </c>
      <c r="E47" s="59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0">
        <f t="shared" ca="1" si="17"/>
        <v>0.15099783844744696</v>
      </c>
      <c r="AC47" s="52">
        <v>47</v>
      </c>
      <c r="AD47" s="52">
        <v>45</v>
      </c>
      <c r="AE47" s="52">
        <f t="shared" ca="1" si="18"/>
        <v>437</v>
      </c>
      <c r="AF47" s="51">
        <f t="shared" ca="1" si="19"/>
        <v>8.4363495844543248</v>
      </c>
      <c r="AG47" s="50">
        <f t="shared" ca="1" si="20"/>
        <v>3687</v>
      </c>
      <c r="AH47" s="50"/>
      <c r="AI47" s="60"/>
      <c r="AJ47" s="50"/>
      <c r="AK47" s="50"/>
    </row>
    <row r="48" spans="1:37" ht="16.5" x14ac:dyDescent="0.3">
      <c r="A48" s="57">
        <v>46</v>
      </c>
      <c r="B48" s="56">
        <f t="shared" ca="1" si="14"/>
        <v>2669</v>
      </c>
      <c r="C48" s="55">
        <f t="shared" ca="1" si="15"/>
        <v>4488</v>
      </c>
      <c r="D48" s="54">
        <f t="shared" ca="1" si="16"/>
        <v>3941</v>
      </c>
      <c r="E48" s="59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0">
        <f t="shared" ca="1" si="17"/>
        <v>0.59223533563273401</v>
      </c>
      <c r="AC48" s="52">
        <v>48</v>
      </c>
      <c r="AD48" s="52">
        <v>46</v>
      </c>
      <c r="AE48" s="52">
        <f t="shared" ca="1" si="18"/>
        <v>444</v>
      </c>
      <c r="AF48" s="51">
        <f t="shared" ca="1" si="19"/>
        <v>8.8769929700358983</v>
      </c>
      <c r="AG48" s="50">
        <f t="shared" ca="1" si="20"/>
        <v>3941</v>
      </c>
      <c r="AH48" s="50"/>
      <c r="AI48" s="60"/>
      <c r="AJ48" s="50"/>
      <c r="AK48" s="50"/>
    </row>
    <row r="49" spans="1:37" ht="16.5" x14ac:dyDescent="0.3">
      <c r="A49" s="57">
        <v>47</v>
      </c>
      <c r="B49" s="56">
        <f t="shared" ca="1" si="14"/>
        <v>2704</v>
      </c>
      <c r="C49" s="55">
        <f t="shared" ca="1" si="15"/>
        <v>3941</v>
      </c>
      <c r="D49" s="54">
        <f t="shared" ca="1" si="16"/>
        <v>4075</v>
      </c>
      <c r="E49" s="59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0">
        <f t="shared" ca="1" si="17"/>
        <v>0.71226510185110881</v>
      </c>
      <c r="AC49" s="52">
        <v>42</v>
      </c>
      <c r="AD49" s="52">
        <v>47</v>
      </c>
      <c r="AE49" s="52">
        <f t="shared" ca="1" si="18"/>
        <v>451</v>
      </c>
      <c r="AF49" s="51">
        <f t="shared" ca="1" si="19"/>
        <v>9.0355607908400888</v>
      </c>
      <c r="AG49" s="50">
        <f t="shared" ca="1" si="20"/>
        <v>4075</v>
      </c>
      <c r="AH49" s="50"/>
      <c r="AI49" s="60"/>
      <c r="AJ49" s="50"/>
      <c r="AK49" s="50"/>
    </row>
    <row r="50" spans="1:37" ht="16.5" x14ac:dyDescent="0.3">
      <c r="A50" s="57">
        <v>48</v>
      </c>
      <c r="B50" s="56">
        <f t="shared" ca="1" si="14"/>
        <v>6903</v>
      </c>
      <c r="C50" s="55">
        <f t="shared" ca="1" si="15"/>
        <v>4002</v>
      </c>
      <c r="D50" s="54">
        <f t="shared" ca="1" si="16"/>
        <v>5914</v>
      </c>
      <c r="E50" s="59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0">
        <f t="shared" ca="1" si="17"/>
        <v>7.1224623517887498E-2</v>
      </c>
      <c r="AC50" s="52">
        <v>43</v>
      </c>
      <c r="AD50" s="52">
        <v>48</v>
      </c>
      <c r="AE50" s="52">
        <f t="shared" ca="1" si="18"/>
        <v>458</v>
      </c>
      <c r="AF50" s="51">
        <f t="shared" ca="1" si="19"/>
        <v>12.912909163482439</v>
      </c>
      <c r="AG50" s="50">
        <f t="shared" ca="1" si="20"/>
        <v>5914</v>
      </c>
      <c r="AH50" s="50"/>
      <c r="AI50" s="60"/>
      <c r="AJ50" s="50"/>
      <c r="AK50" s="50"/>
    </row>
    <row r="51" spans="1:37" ht="16.5" x14ac:dyDescent="0.3">
      <c r="A51" s="57">
        <v>49</v>
      </c>
      <c r="B51" s="56">
        <f t="shared" ca="1" si="14"/>
        <v>4620</v>
      </c>
      <c r="C51" s="55">
        <f t="shared" ca="1" si="15"/>
        <v>4530</v>
      </c>
      <c r="D51" s="54">
        <f t="shared" ca="1" si="16"/>
        <v>5092</v>
      </c>
      <c r="E51" s="59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0">
        <f t="shared" ca="1" si="17"/>
        <v>0.26539313693572741</v>
      </c>
      <c r="AC51" s="52">
        <v>50</v>
      </c>
      <c r="AD51" s="52">
        <v>49</v>
      </c>
      <c r="AE51" s="52">
        <f t="shared" ca="1" si="18"/>
        <v>465</v>
      </c>
      <c r="AF51" s="51">
        <f t="shared" ca="1" si="19"/>
        <v>10.950777575548878</v>
      </c>
      <c r="AG51" s="50">
        <f t="shared" ca="1" si="20"/>
        <v>5092</v>
      </c>
      <c r="AH51" s="50"/>
      <c r="AI51" s="60"/>
      <c r="AJ51" s="50"/>
      <c r="AK51" s="50"/>
    </row>
    <row r="52" spans="1:37" ht="16.5" x14ac:dyDescent="0.3">
      <c r="A52" s="57">
        <v>50</v>
      </c>
      <c r="B52" s="56">
        <f t="shared" ca="1" si="14"/>
        <v>6033</v>
      </c>
      <c r="C52" s="55">
        <f t="shared" ca="1" si="15"/>
        <v>4508</v>
      </c>
      <c r="D52" s="54">
        <f t="shared" ca="1" si="16"/>
        <v>3876</v>
      </c>
      <c r="E52" s="59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0">
        <f t="shared" ca="1" si="17"/>
        <v>3.1233307908090646E-3</v>
      </c>
      <c r="AC52" s="52">
        <v>49</v>
      </c>
      <c r="AD52" s="52">
        <v>50</v>
      </c>
      <c r="AE52" s="52">
        <f t="shared" ca="1" si="18"/>
        <v>472</v>
      </c>
      <c r="AF52" s="51">
        <f t="shared" ca="1" si="19"/>
        <v>8.2110471087139096</v>
      </c>
      <c r="AG52" s="50">
        <f t="shared" ca="1" si="20"/>
        <v>3876</v>
      </c>
      <c r="AH52" s="50"/>
      <c r="AI52" s="60"/>
      <c r="AJ52" s="50"/>
      <c r="AK52" s="50"/>
    </row>
    <row r="53" spans="1:37" ht="16.5" x14ac:dyDescent="0.3">
      <c r="A53" s="57">
        <v>51</v>
      </c>
      <c r="B53" s="56">
        <f t="shared" ca="1" si="14"/>
        <v>3124</v>
      </c>
      <c r="C53" s="55">
        <f t="shared" ca="1" si="15"/>
        <v>4620</v>
      </c>
      <c r="D53" s="54">
        <f t="shared" ca="1" si="16"/>
        <v>4234</v>
      </c>
      <c r="E53" s="59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0">
        <f t="shared" ca="1" si="17"/>
        <v>0.553097296602586</v>
      </c>
      <c r="AC53" s="52">
        <v>51</v>
      </c>
      <c r="AD53" s="52">
        <v>51</v>
      </c>
      <c r="AE53" s="52">
        <f t="shared" ca="1" si="18"/>
        <v>479</v>
      </c>
      <c r="AF53" s="51">
        <f t="shared" ca="1" si="19"/>
        <v>8.8400746372315187</v>
      </c>
      <c r="AG53" s="50">
        <f t="shared" ca="1" si="20"/>
        <v>4234</v>
      </c>
      <c r="AH53" s="50"/>
      <c r="AI53" s="60"/>
      <c r="AJ53" s="50"/>
      <c r="AK53" s="50"/>
    </row>
    <row r="54" spans="1:37" ht="16.5" x14ac:dyDescent="0.3">
      <c r="A54" s="57">
        <v>52</v>
      </c>
      <c r="B54" s="56">
        <f t="shared" ca="1" si="14"/>
        <v>2772</v>
      </c>
      <c r="C54" s="55">
        <f t="shared" ca="1" si="15"/>
        <v>4724</v>
      </c>
      <c r="D54" s="54">
        <f t="shared" ca="1" si="16"/>
        <v>5174</v>
      </c>
      <c r="E54" s="59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0">
        <f t="shared" ca="1" si="17"/>
        <v>0.76099400429453512</v>
      </c>
      <c r="AC54" s="52">
        <v>54</v>
      </c>
      <c r="AD54" s="52">
        <v>52</v>
      </c>
      <c r="AE54" s="52">
        <f t="shared" ca="1" si="18"/>
        <v>486</v>
      </c>
      <c r="AF54" s="51">
        <f t="shared" ca="1" si="19"/>
        <v>10.646388545873153</v>
      </c>
      <c r="AG54" s="50">
        <f t="shared" ca="1" si="20"/>
        <v>5174</v>
      </c>
      <c r="AH54" s="50"/>
      <c r="AI54" s="60"/>
      <c r="AJ54" s="50"/>
      <c r="AK54" s="50"/>
    </row>
    <row r="55" spans="1:37" ht="16.5" x14ac:dyDescent="0.3">
      <c r="A55" s="57">
        <v>53</v>
      </c>
      <c r="B55" s="56">
        <f t="shared" ca="1" si="14"/>
        <v>3876</v>
      </c>
      <c r="C55" s="55">
        <f t="shared" ca="1" si="15"/>
        <v>4684</v>
      </c>
      <c r="D55" s="54">
        <f t="shared" ca="1" si="16"/>
        <v>5621</v>
      </c>
      <c r="E55" s="59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0">
        <f t="shared" ca="1" si="17"/>
        <v>0.35857839944854808</v>
      </c>
      <c r="AC55" s="52">
        <v>53</v>
      </c>
      <c r="AD55" s="52">
        <v>53</v>
      </c>
      <c r="AE55" s="52">
        <f t="shared" ca="1" si="18"/>
        <v>493</v>
      </c>
      <c r="AF55" s="51">
        <f t="shared" ca="1" si="19"/>
        <v>11.401463564320361</v>
      </c>
      <c r="AG55" s="50">
        <f t="shared" ca="1" si="20"/>
        <v>5621</v>
      </c>
      <c r="AH55" s="50"/>
      <c r="AI55" s="50"/>
      <c r="AJ55" s="50"/>
      <c r="AK55" s="50"/>
    </row>
    <row r="56" spans="1:37" ht="16.5" x14ac:dyDescent="0.3">
      <c r="A56" s="57">
        <v>54</v>
      </c>
      <c r="B56" s="56">
        <f t="shared" ca="1" si="14"/>
        <v>3542</v>
      </c>
      <c r="C56" s="55">
        <f t="shared" ca="1" si="15"/>
        <v>4644</v>
      </c>
      <c r="D56" s="54">
        <f t="shared" ca="1" si="16"/>
        <v>4724</v>
      </c>
      <c r="E56" s="59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0">
        <f t="shared" ca="1" si="17"/>
        <v>0.55649489671213048</v>
      </c>
      <c r="AC56" s="52">
        <v>52</v>
      </c>
      <c r="AD56" s="52">
        <v>54</v>
      </c>
      <c r="AE56" s="52">
        <f t="shared" ca="1" si="18"/>
        <v>500</v>
      </c>
      <c r="AF56" s="51">
        <f t="shared" ca="1" si="19"/>
        <v>9.4473047518578674</v>
      </c>
      <c r="AG56" s="50">
        <f t="shared" ca="1" si="20"/>
        <v>4724</v>
      </c>
      <c r="AH56" s="50"/>
      <c r="AI56" s="50"/>
      <c r="AJ56" s="50"/>
      <c r="AK56" s="50"/>
    </row>
    <row r="57" spans="1:37" ht="16.5" x14ac:dyDescent="0.3">
      <c r="A57" s="57">
        <v>55</v>
      </c>
      <c r="B57" s="56">
        <f t="shared" ca="1" si="14"/>
        <v>2256</v>
      </c>
      <c r="C57" s="55">
        <f t="shared" ca="1" si="15"/>
        <v>4826</v>
      </c>
      <c r="D57" s="54">
        <f t="shared" ca="1" si="16"/>
        <v>4508</v>
      </c>
      <c r="E57" s="59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0">
        <f t="shared" ca="1" si="17"/>
        <v>0.63859723078776809</v>
      </c>
      <c r="AC57" s="52">
        <v>55</v>
      </c>
      <c r="AD57" s="52">
        <v>55</v>
      </c>
      <c r="AE57" s="52">
        <f t="shared" ca="1" si="18"/>
        <v>507</v>
      </c>
      <c r="AF57" s="51">
        <f t="shared" ca="1" si="19"/>
        <v>8.8905453244588113</v>
      </c>
      <c r="AG57" s="50">
        <f t="shared" ca="1" si="20"/>
        <v>4508</v>
      </c>
      <c r="AH57" s="50"/>
      <c r="AI57" s="50"/>
      <c r="AJ57" s="50"/>
      <c r="AK57" s="50"/>
    </row>
    <row r="58" spans="1:37" ht="16.5" x14ac:dyDescent="0.3">
      <c r="A58" s="57">
        <v>56</v>
      </c>
      <c r="B58" s="56">
        <f t="shared" ca="1" si="14"/>
        <v>4955</v>
      </c>
      <c r="C58" s="55">
        <f t="shared" ca="1" si="15"/>
        <v>4948</v>
      </c>
      <c r="D58" s="54">
        <f t="shared" ca="1" si="16"/>
        <v>4620</v>
      </c>
      <c r="E58" s="53"/>
      <c r="AB58" s="50">
        <f t="shared" ca="1" si="17"/>
        <v>4.6845487925044171E-2</v>
      </c>
      <c r="AC58" s="52">
        <v>56</v>
      </c>
      <c r="AD58" s="52">
        <v>56</v>
      </c>
      <c r="AE58" s="52">
        <f t="shared" ca="1" si="18"/>
        <v>514</v>
      </c>
      <c r="AF58" s="51">
        <f t="shared" ca="1" si="19"/>
        <v>8.9879526251344011</v>
      </c>
      <c r="AG58" s="50">
        <f t="shared" ca="1" si="20"/>
        <v>4620</v>
      </c>
      <c r="AH58" s="50"/>
      <c r="AI58" s="50"/>
      <c r="AJ58" s="50"/>
      <c r="AK58" s="50"/>
    </row>
    <row r="59" spans="1:37" ht="16.5" x14ac:dyDescent="0.3">
      <c r="A59" s="57">
        <v>57</v>
      </c>
      <c r="B59" s="56">
        <f t="shared" ca="1" si="14"/>
        <v>3283</v>
      </c>
      <c r="C59" s="55">
        <f t="shared" ca="1" si="15"/>
        <v>4968</v>
      </c>
      <c r="D59" s="54">
        <f t="shared" ca="1" si="16"/>
        <v>4968</v>
      </c>
      <c r="E59" s="53"/>
      <c r="AB59" s="50">
        <f t="shared" ca="1" si="17"/>
        <v>0.43278623336688027</v>
      </c>
      <c r="AC59" s="52">
        <v>58</v>
      </c>
      <c r="AD59" s="52">
        <v>57</v>
      </c>
      <c r="AE59" s="52">
        <f t="shared" ca="1" si="18"/>
        <v>521</v>
      </c>
      <c r="AF59" s="51">
        <f t="shared" ca="1" si="19"/>
        <v>9.5359432758192497</v>
      </c>
      <c r="AG59" s="50">
        <f t="shared" ca="1" si="20"/>
        <v>4968</v>
      </c>
      <c r="AH59" s="50"/>
      <c r="AI59" s="50"/>
      <c r="AJ59" s="50"/>
      <c r="AK59" s="50"/>
    </row>
    <row r="60" spans="1:37" ht="16.5" x14ac:dyDescent="0.3">
      <c r="A60" s="57">
        <v>58</v>
      </c>
      <c r="B60" s="56">
        <f t="shared" ca="1" si="14"/>
        <v>2769</v>
      </c>
      <c r="C60" s="55">
        <f t="shared" ca="1" si="15"/>
        <v>5225</v>
      </c>
      <c r="D60" s="54">
        <f t="shared" ca="1" si="16"/>
        <v>6204</v>
      </c>
      <c r="E60" s="53"/>
      <c r="AB60" s="50">
        <f t="shared" ca="1" si="17"/>
        <v>0.54493093350985211</v>
      </c>
      <c r="AC60" s="52">
        <v>62</v>
      </c>
      <c r="AD60" s="52">
        <v>58</v>
      </c>
      <c r="AE60" s="52">
        <f t="shared" ca="1" si="18"/>
        <v>528</v>
      </c>
      <c r="AF60" s="51">
        <f t="shared" ca="1" si="19"/>
        <v>11.750580158182061</v>
      </c>
      <c r="AG60" s="50">
        <f t="shared" ca="1" si="20"/>
        <v>6204</v>
      </c>
      <c r="AH60" s="50"/>
      <c r="AI60" s="50"/>
      <c r="AJ60" s="50"/>
      <c r="AK60" s="50"/>
    </row>
    <row r="61" spans="1:37" ht="16.5" x14ac:dyDescent="0.3">
      <c r="A61" s="57">
        <v>59</v>
      </c>
      <c r="B61" s="56">
        <f t="shared" ca="1" si="14"/>
        <v>2869</v>
      </c>
      <c r="C61" s="55">
        <f t="shared" ca="1" si="15"/>
        <v>4955</v>
      </c>
      <c r="D61" s="54">
        <f t="shared" ca="1" si="16"/>
        <v>4948</v>
      </c>
      <c r="E61" s="53"/>
      <c r="AB61" s="50">
        <f t="shared" ca="1" si="17"/>
        <v>0.59542356765278304</v>
      </c>
      <c r="AC61" s="52">
        <v>57</v>
      </c>
      <c r="AD61" s="52">
        <v>59</v>
      </c>
      <c r="AE61" s="52">
        <f t="shared" ca="1" si="18"/>
        <v>535</v>
      </c>
      <c r="AF61" s="51">
        <f t="shared" ca="1" si="19"/>
        <v>9.2493052332574806</v>
      </c>
      <c r="AG61" s="50">
        <f t="shared" ca="1" si="20"/>
        <v>4948</v>
      </c>
      <c r="AH61" s="50"/>
      <c r="AI61" s="50"/>
      <c r="AJ61" s="50"/>
      <c r="AK61" s="50"/>
    </row>
    <row r="62" spans="1:37" ht="16.5" x14ac:dyDescent="0.3">
      <c r="A62" s="57">
        <v>60</v>
      </c>
      <c r="B62" s="56">
        <f t="shared" ca="1" si="14"/>
        <v>1844</v>
      </c>
      <c r="C62" s="55">
        <f t="shared" ca="1" si="15"/>
        <v>5092</v>
      </c>
      <c r="D62" s="54">
        <f t="shared" ca="1" si="16"/>
        <v>4826</v>
      </c>
      <c r="E62" s="53"/>
      <c r="AB62" s="50">
        <f t="shared" ca="1" si="17"/>
        <v>0.79053602778460486</v>
      </c>
      <c r="AC62" s="52">
        <v>59</v>
      </c>
      <c r="AD62" s="52">
        <v>60</v>
      </c>
      <c r="AE62" s="52">
        <f t="shared" ca="1" si="18"/>
        <v>542</v>
      </c>
      <c r="AF62" s="51">
        <f t="shared" ca="1" si="19"/>
        <v>8.9036466842959587</v>
      </c>
      <c r="AG62" s="50">
        <f t="shared" ca="1" si="20"/>
        <v>4826</v>
      </c>
      <c r="AH62" s="50"/>
      <c r="AI62" s="50"/>
      <c r="AJ62" s="50"/>
      <c r="AK62" s="50"/>
    </row>
    <row r="63" spans="1:37" ht="16.5" x14ac:dyDescent="0.3">
      <c r="A63" s="57">
        <v>61</v>
      </c>
      <c r="B63" s="56">
        <f t="shared" ca="1" si="14"/>
        <v>5750</v>
      </c>
      <c r="C63" s="55">
        <f t="shared" ca="1" si="15"/>
        <v>5172</v>
      </c>
      <c r="D63" s="54">
        <f t="shared" ca="1" si="16"/>
        <v>4530</v>
      </c>
      <c r="E63" s="53"/>
      <c r="AB63" s="50">
        <f t="shared" ca="1" si="17"/>
        <v>2.7928486459416479E-3</v>
      </c>
      <c r="AC63" s="52">
        <v>60</v>
      </c>
      <c r="AD63" s="52">
        <v>61</v>
      </c>
      <c r="AE63" s="52">
        <f t="shared" ca="1" si="18"/>
        <v>549</v>
      </c>
      <c r="AF63" s="51">
        <f t="shared" ca="1" si="19"/>
        <v>8.2505006560760457</v>
      </c>
      <c r="AG63" s="50">
        <f t="shared" ca="1" si="20"/>
        <v>4530</v>
      </c>
      <c r="AH63" s="50"/>
      <c r="AI63" s="50"/>
      <c r="AJ63" s="50"/>
      <c r="AK63" s="50"/>
    </row>
    <row r="64" spans="1:37" ht="16.5" x14ac:dyDescent="0.3">
      <c r="A64" s="57">
        <v>62</v>
      </c>
      <c r="B64" s="56">
        <f t="shared" ca="1" si="14"/>
        <v>1458</v>
      </c>
      <c r="C64" s="55">
        <f t="shared" ca="1" si="15"/>
        <v>5174</v>
      </c>
      <c r="D64" s="54">
        <f t="shared" ca="1" si="16"/>
        <v>5172</v>
      </c>
      <c r="E64" s="53"/>
      <c r="AB64" s="50">
        <f t="shared" ca="1" si="17"/>
        <v>0.96813239290930797</v>
      </c>
      <c r="AC64" s="52">
        <v>61</v>
      </c>
      <c r="AD64" s="52">
        <v>62</v>
      </c>
      <c r="AE64" s="52">
        <f t="shared" ca="1" si="18"/>
        <v>556</v>
      </c>
      <c r="AF64" s="51">
        <f t="shared" ca="1" si="19"/>
        <v>9.3019175422572022</v>
      </c>
      <c r="AG64" s="50">
        <f t="shared" ca="1" si="20"/>
        <v>5172</v>
      </c>
      <c r="AH64" s="50"/>
      <c r="AI64" s="50"/>
      <c r="AJ64" s="50"/>
      <c r="AK64" s="50"/>
    </row>
    <row r="65" spans="1:38" ht="16.5" x14ac:dyDescent="0.3">
      <c r="A65" s="57">
        <v>63</v>
      </c>
      <c r="B65" s="56">
        <f t="shared" ca="1" si="14"/>
        <v>5225</v>
      </c>
      <c r="C65" s="55">
        <f t="shared" ca="1" si="15"/>
        <v>5611</v>
      </c>
      <c r="D65" s="54">
        <f t="shared" ca="1" si="16"/>
        <v>6446</v>
      </c>
      <c r="E65" s="53"/>
      <c r="AB65" s="50">
        <f t="shared" ca="1" si="17"/>
        <v>0.40199287077295154</v>
      </c>
      <c r="AC65" s="52">
        <v>64</v>
      </c>
      <c r="AD65" s="52">
        <v>63</v>
      </c>
      <c r="AE65" s="52">
        <f t="shared" ca="1" si="18"/>
        <v>563</v>
      </c>
      <c r="AF65" s="51">
        <f t="shared" ca="1" si="19"/>
        <v>11.448775176854868</v>
      </c>
      <c r="AG65" s="50">
        <f t="shared" ca="1" si="20"/>
        <v>6446</v>
      </c>
      <c r="AH65" s="50"/>
      <c r="AI65" s="50"/>
      <c r="AJ65" s="50"/>
      <c r="AK65" s="50"/>
    </row>
    <row r="66" spans="1:38" ht="16.5" x14ac:dyDescent="0.3">
      <c r="A66" s="57">
        <v>64</v>
      </c>
      <c r="B66" s="56">
        <f t="shared" ca="1" si="14"/>
        <v>1438</v>
      </c>
      <c r="C66" s="55">
        <f t="shared" ca="1" si="15"/>
        <v>5287</v>
      </c>
      <c r="D66" s="54">
        <f t="shared" ca="1" si="16"/>
        <v>5660</v>
      </c>
      <c r="E66" s="53"/>
      <c r="AB66" s="50">
        <f t="shared" ca="1" si="17"/>
        <v>0.87895699568608876</v>
      </c>
      <c r="AC66" s="52">
        <v>63</v>
      </c>
      <c r="AD66" s="52">
        <v>64</v>
      </c>
      <c r="AE66" s="52">
        <f t="shared" ca="1" si="18"/>
        <v>570</v>
      </c>
      <c r="AF66" s="51">
        <f t="shared" ca="1" si="19"/>
        <v>9.9295025176535532</v>
      </c>
      <c r="AG66" s="50">
        <f t="shared" ca="1" si="20"/>
        <v>5660</v>
      </c>
      <c r="AH66" s="50"/>
      <c r="AI66" s="50"/>
      <c r="AJ66" s="50"/>
      <c r="AK66" s="50"/>
    </row>
    <row r="67" spans="1:38" ht="16.5" x14ac:dyDescent="0.3">
      <c r="A67" s="57">
        <v>65</v>
      </c>
      <c r="B67" s="56">
        <f t="shared" ref="B67:B77" ca="1" si="21">INDEX($AG$3:$AG$77,RANK(AB67,$AB$3:$AB$77))</f>
        <v>2150</v>
      </c>
      <c r="C67" s="55">
        <f t="shared" ref="C67:C77" ca="1" si="22">SMALL($AG$3:$AG$77,AC67)</f>
        <v>5914</v>
      </c>
      <c r="D67" s="54">
        <f t="shared" ref="D67:D77" ca="1" si="23">AG67</f>
        <v>4644</v>
      </c>
      <c r="E67" s="53"/>
      <c r="AB67" s="50">
        <f t="shared" ref="AB67:AB77" ca="1" si="24">RAND()</f>
        <v>0.86369652321558743</v>
      </c>
      <c r="AC67" s="52">
        <v>68</v>
      </c>
      <c r="AD67" s="52">
        <v>65</v>
      </c>
      <c r="AE67" s="52">
        <f t="shared" ref="AE67:AE77" ca="1" si="25">INT($AH$1+$AI$1*AD67)</f>
        <v>577</v>
      </c>
      <c r="AF67" s="51">
        <f t="shared" ref="AF67:AF77" ca="1" si="26">(VLOOKUP(MOD(AD67,ROUNDUP($Y$7,0)),$V$8:$W$12,2)+7)+RAND()*VLOOKUP(MOD(AD67,ROUNDUP($Y$7,0)),$V$8:$W$12,2)</f>
        <v>8.0487765669197398</v>
      </c>
      <c r="AG67" s="50">
        <f t="shared" ref="AG67:AG77" ca="1" si="27">ROUND(AE67*AF67,0)</f>
        <v>4644</v>
      </c>
      <c r="AH67" s="50"/>
      <c r="AI67" s="50"/>
      <c r="AJ67" s="50"/>
      <c r="AK67" s="50"/>
    </row>
    <row r="68" spans="1:38" ht="16.5" x14ac:dyDescent="0.3">
      <c r="A68" s="57">
        <v>66</v>
      </c>
      <c r="B68" s="56">
        <f t="shared" ca="1" si="21"/>
        <v>2305</v>
      </c>
      <c r="C68" s="55">
        <f t="shared" ca="1" si="22"/>
        <v>5660</v>
      </c>
      <c r="D68" s="54">
        <f t="shared" ca="1" si="23"/>
        <v>4684</v>
      </c>
      <c r="E68" s="53"/>
      <c r="AB68" s="50">
        <f t="shared" ca="1" si="24"/>
        <v>0.77084513561401857</v>
      </c>
      <c r="AC68" s="52">
        <v>66</v>
      </c>
      <c r="AD68" s="52">
        <v>66</v>
      </c>
      <c r="AE68" s="52">
        <f t="shared" ca="1" si="25"/>
        <v>584</v>
      </c>
      <c r="AF68" s="51">
        <f t="shared" ca="1" si="26"/>
        <v>8.0210422703895006</v>
      </c>
      <c r="AG68" s="50">
        <f t="shared" ca="1" si="27"/>
        <v>4684</v>
      </c>
      <c r="AH68" s="50"/>
      <c r="AI68" s="50"/>
      <c r="AJ68" s="50"/>
      <c r="AK68" s="50"/>
    </row>
    <row r="69" spans="1:38" ht="16.5" x14ac:dyDescent="0.3">
      <c r="A69" s="57">
        <v>67</v>
      </c>
      <c r="B69" s="56">
        <f t="shared" ca="1" si="21"/>
        <v>4948</v>
      </c>
      <c r="C69" s="55">
        <f t="shared" ca="1" si="22"/>
        <v>5750</v>
      </c>
      <c r="D69" s="54">
        <f t="shared" ca="1" si="23"/>
        <v>6088</v>
      </c>
      <c r="E69" s="53"/>
      <c r="AB69" s="50">
        <f t="shared" ca="1" si="24"/>
        <v>0.20672993278485863</v>
      </c>
      <c r="AC69" s="52">
        <v>67</v>
      </c>
      <c r="AD69" s="52">
        <v>67</v>
      </c>
      <c r="AE69" s="52">
        <f t="shared" ca="1" si="25"/>
        <v>591</v>
      </c>
      <c r="AF69" s="51">
        <f t="shared" ca="1" si="26"/>
        <v>10.300389284603639</v>
      </c>
      <c r="AG69" s="50">
        <f t="shared" ca="1" si="27"/>
        <v>6088</v>
      </c>
      <c r="AH69" s="50"/>
      <c r="AI69" s="50"/>
      <c r="AJ69" s="50"/>
      <c r="AK69" s="50"/>
    </row>
    <row r="70" spans="1:38" ht="16.5" x14ac:dyDescent="0.3">
      <c r="A70" s="57">
        <v>68</v>
      </c>
      <c r="B70" s="56">
        <f t="shared" ca="1" si="21"/>
        <v>5092</v>
      </c>
      <c r="C70" s="55">
        <f t="shared" ca="1" si="22"/>
        <v>5621</v>
      </c>
      <c r="D70" s="54">
        <f t="shared" ca="1" si="23"/>
        <v>6903</v>
      </c>
      <c r="E70" s="53"/>
      <c r="AB70" s="50">
        <f t="shared" ca="1" si="24"/>
        <v>0.36586906338404035</v>
      </c>
      <c r="AC70" s="52">
        <v>65</v>
      </c>
      <c r="AD70" s="52">
        <v>68</v>
      </c>
      <c r="AE70" s="52">
        <f t="shared" ca="1" si="25"/>
        <v>598</v>
      </c>
      <c r="AF70" s="51">
        <f t="shared" ca="1" si="26"/>
        <v>11.544000705331104</v>
      </c>
      <c r="AG70" s="50">
        <f t="shared" ca="1" si="27"/>
        <v>6903</v>
      </c>
      <c r="AH70" s="50"/>
      <c r="AI70" s="50"/>
      <c r="AJ70" s="50"/>
      <c r="AK70" s="50"/>
    </row>
    <row r="71" spans="1:38" ht="16.5" x14ac:dyDescent="0.3">
      <c r="A71" s="57">
        <v>69</v>
      </c>
      <c r="B71" s="56">
        <f t="shared" ca="1" si="21"/>
        <v>4075</v>
      </c>
      <c r="C71" s="55">
        <f t="shared" ca="1" si="22"/>
        <v>6033</v>
      </c>
      <c r="D71" s="54">
        <f t="shared" ca="1" si="23"/>
        <v>5611</v>
      </c>
      <c r="E71" s="53"/>
      <c r="AB71" s="50">
        <f t="shared" ca="1" si="24"/>
        <v>0.37688943833484234</v>
      </c>
      <c r="AC71" s="52">
        <v>69</v>
      </c>
      <c r="AD71" s="52">
        <v>69</v>
      </c>
      <c r="AE71" s="52">
        <f t="shared" ca="1" si="25"/>
        <v>605</v>
      </c>
      <c r="AF71" s="51">
        <f t="shared" ca="1" si="26"/>
        <v>9.2738517692329481</v>
      </c>
      <c r="AG71" s="50">
        <f t="shared" ca="1" si="27"/>
        <v>5611</v>
      </c>
      <c r="AH71" s="50"/>
      <c r="AI71" s="50"/>
      <c r="AJ71" s="50"/>
      <c r="AK71" s="50"/>
    </row>
    <row r="72" spans="1:38" ht="16.5" x14ac:dyDescent="0.3">
      <c r="A72" s="57">
        <v>70</v>
      </c>
      <c r="B72" s="56">
        <f t="shared" ca="1" si="21"/>
        <v>4508</v>
      </c>
      <c r="C72" s="55">
        <f t="shared" ca="1" si="22"/>
        <v>6088</v>
      </c>
      <c r="D72" s="54">
        <f t="shared" ca="1" si="23"/>
        <v>4955</v>
      </c>
      <c r="E72" s="53"/>
      <c r="AB72" s="50">
        <f t="shared" ca="1" si="24"/>
        <v>0.29872388532483307</v>
      </c>
      <c r="AC72" s="52">
        <v>70</v>
      </c>
      <c r="AD72" s="52">
        <v>70</v>
      </c>
      <c r="AE72" s="52">
        <f t="shared" ca="1" si="25"/>
        <v>612</v>
      </c>
      <c r="AF72" s="51">
        <f t="shared" ca="1" si="26"/>
        <v>8.0958686699827389</v>
      </c>
      <c r="AG72" s="50">
        <f t="shared" ca="1" si="27"/>
        <v>4955</v>
      </c>
      <c r="AH72" s="50"/>
      <c r="AI72" s="50"/>
      <c r="AJ72" s="50"/>
      <c r="AK72" s="50"/>
    </row>
    <row r="73" spans="1:38" ht="16.5" x14ac:dyDescent="0.3">
      <c r="A73" s="57">
        <v>71</v>
      </c>
      <c r="B73" s="56">
        <f t="shared" ca="1" si="21"/>
        <v>1524</v>
      </c>
      <c r="C73" s="55">
        <f t="shared" ca="1" si="22"/>
        <v>6271</v>
      </c>
      <c r="D73" s="54">
        <f t="shared" ca="1" si="23"/>
        <v>5287</v>
      </c>
      <c r="E73" s="53"/>
      <c r="AB73" s="50">
        <f t="shared" ca="1" si="24"/>
        <v>0.93953391234881756</v>
      </c>
      <c r="AC73" s="52">
        <v>72</v>
      </c>
      <c r="AD73" s="52">
        <v>71</v>
      </c>
      <c r="AE73" s="52">
        <f t="shared" ca="1" si="25"/>
        <v>619</v>
      </c>
      <c r="AF73" s="51">
        <f t="shared" ca="1" si="26"/>
        <v>8.5416475878339142</v>
      </c>
      <c r="AG73" s="50">
        <f t="shared" ca="1" si="27"/>
        <v>5287</v>
      </c>
      <c r="AH73" s="50"/>
      <c r="AI73" s="50"/>
      <c r="AJ73" s="50"/>
      <c r="AK73" s="50"/>
    </row>
    <row r="74" spans="1:38" ht="16.5" x14ac:dyDescent="0.3">
      <c r="A74" s="57">
        <v>72</v>
      </c>
      <c r="B74" s="56">
        <f t="shared" ca="1" si="21"/>
        <v>3284</v>
      </c>
      <c r="C74" s="55">
        <f t="shared" ca="1" si="22"/>
        <v>8211</v>
      </c>
      <c r="D74" s="54">
        <f t="shared" ca="1" si="23"/>
        <v>6271</v>
      </c>
      <c r="E74" s="53"/>
      <c r="AB74" s="50">
        <f t="shared" ca="1" si="24"/>
        <v>0.42893319494229187</v>
      </c>
      <c r="AC74" s="52">
        <v>75</v>
      </c>
      <c r="AD74" s="52">
        <v>72</v>
      </c>
      <c r="AE74" s="52">
        <f t="shared" ca="1" si="25"/>
        <v>626</v>
      </c>
      <c r="AF74" s="51">
        <f t="shared" ca="1" si="26"/>
        <v>10.016995790798944</v>
      </c>
      <c r="AG74" s="50">
        <f t="shared" ca="1" si="27"/>
        <v>6271</v>
      </c>
      <c r="AH74" s="50"/>
      <c r="AI74" s="50"/>
      <c r="AJ74" s="50"/>
      <c r="AK74" s="50"/>
    </row>
    <row r="75" spans="1:38" ht="16.5" x14ac:dyDescent="0.3">
      <c r="A75" s="57">
        <v>73</v>
      </c>
      <c r="B75" s="56">
        <f t="shared" ca="1" si="21"/>
        <v>2893</v>
      </c>
      <c r="C75" s="55">
        <f t="shared" ca="1" si="22"/>
        <v>6204</v>
      </c>
      <c r="D75" s="54">
        <f t="shared" ca="1" si="23"/>
        <v>8211</v>
      </c>
      <c r="E75" s="53"/>
      <c r="AB75" s="50">
        <f t="shared" ca="1" si="24"/>
        <v>0.60656273594521826</v>
      </c>
      <c r="AC75" s="52">
        <v>71</v>
      </c>
      <c r="AD75" s="52">
        <v>73</v>
      </c>
      <c r="AE75" s="52">
        <f t="shared" ca="1" si="25"/>
        <v>633</v>
      </c>
      <c r="AF75" s="51">
        <f t="shared" ca="1" si="26"/>
        <v>12.971985997997564</v>
      </c>
      <c r="AG75" s="50">
        <f t="shared" ca="1" si="27"/>
        <v>8211</v>
      </c>
      <c r="AH75" s="50"/>
      <c r="AI75" s="50"/>
      <c r="AJ75" s="50"/>
      <c r="AK75" s="50"/>
    </row>
    <row r="76" spans="1:38" ht="16.5" x14ac:dyDescent="0.3">
      <c r="A76" s="57">
        <v>74</v>
      </c>
      <c r="B76" s="56">
        <f t="shared" ca="1" si="21"/>
        <v>3941</v>
      </c>
      <c r="C76" s="55">
        <f t="shared" ca="1" si="22"/>
        <v>6446</v>
      </c>
      <c r="D76" s="54">
        <f t="shared" ca="1" si="23"/>
        <v>6033</v>
      </c>
      <c r="E76" s="53"/>
      <c r="AB76" s="50">
        <f t="shared" ca="1" si="24"/>
        <v>0.37905592174720482</v>
      </c>
      <c r="AC76" s="52">
        <v>73</v>
      </c>
      <c r="AD76" s="52">
        <v>74</v>
      </c>
      <c r="AE76" s="52">
        <f t="shared" ca="1" si="25"/>
        <v>640</v>
      </c>
      <c r="AF76" s="51">
        <f t="shared" ca="1" si="26"/>
        <v>9.4266909347747099</v>
      </c>
      <c r="AG76" s="50">
        <f t="shared" ca="1" si="27"/>
        <v>6033</v>
      </c>
      <c r="AH76" s="50"/>
      <c r="AI76" s="50"/>
      <c r="AJ76" s="50"/>
      <c r="AK76" s="50"/>
    </row>
    <row r="77" spans="1:38" ht="16.5" x14ac:dyDescent="0.3">
      <c r="A77" s="57">
        <v>75</v>
      </c>
      <c r="B77" s="56">
        <f t="shared" ca="1" si="21"/>
        <v>2571</v>
      </c>
      <c r="C77" s="55">
        <f t="shared" ca="1" si="22"/>
        <v>6903</v>
      </c>
      <c r="D77" s="54">
        <f t="shared" ca="1" si="23"/>
        <v>5750</v>
      </c>
      <c r="E77" s="53"/>
      <c r="AB77" s="50">
        <f t="shared" ca="1" si="24"/>
        <v>0.56242479178120208</v>
      </c>
      <c r="AC77" s="52">
        <v>74</v>
      </c>
      <c r="AD77" s="52">
        <v>75</v>
      </c>
      <c r="AE77" s="52">
        <f t="shared" ca="1" si="25"/>
        <v>647</v>
      </c>
      <c r="AF77" s="51">
        <f t="shared" ca="1" si="26"/>
        <v>8.887200052188879</v>
      </c>
      <c r="AG77" s="50">
        <f t="shared" ca="1" si="27"/>
        <v>5750</v>
      </c>
      <c r="AH77" s="50"/>
      <c r="AI77" s="50"/>
      <c r="AJ77" s="50"/>
      <c r="AK77" s="50"/>
    </row>
    <row r="78" spans="1:38" ht="16.5" x14ac:dyDescent="0.3">
      <c r="A78" s="2"/>
      <c r="B78" s="2"/>
      <c r="C78" s="2"/>
      <c r="D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</row>
    <row r="79" spans="1:38" ht="16.5" x14ac:dyDescent="0.3">
      <c r="A79" s="2"/>
      <c r="B79" s="2"/>
      <c r="C79" s="2"/>
      <c r="D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</row>
    <row r="80" spans="1:38" ht="16.5" x14ac:dyDescent="0.3">
      <c r="A80" s="2"/>
      <c r="B80" s="2"/>
      <c r="C80" s="2"/>
      <c r="D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</row>
    <row r="81" spans="1:38" ht="16.5" x14ac:dyDescent="0.3">
      <c r="A81" s="2"/>
      <c r="B81" s="2"/>
      <c r="C81" s="2"/>
      <c r="D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</row>
    <row r="82" spans="1:38" ht="16.5" x14ac:dyDescent="0.3"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</row>
    <row r="83" spans="1:38" ht="16.5" x14ac:dyDescent="0.3"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</row>
    <row r="84" spans="1:38" ht="16.5" x14ac:dyDescent="0.3"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</row>
    <row r="85" spans="1:38" ht="16.5" x14ac:dyDescent="0.3"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</row>
    <row r="86" spans="1:38" ht="16.5" x14ac:dyDescent="0.3"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</row>
    <row r="87" spans="1:38" ht="16.5" x14ac:dyDescent="0.3"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</row>
    <row r="88" spans="1:38" ht="16.5" x14ac:dyDescent="0.3"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</row>
    <row r="89" spans="1:38" ht="16.5" x14ac:dyDescent="0.3"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</row>
  </sheetData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1.SeasRegChopraMineEvenp4</vt:lpstr>
      <vt:lpstr>2.SeasRegChopraMineEvenp5</vt:lpstr>
      <vt:lpstr>3.Trend&amp;Seas7Period</vt:lpstr>
      <vt:lpstr>0.ArdiData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2016-02-28T21:50:36Z</dcterms:created>
  <dcterms:modified xsi:type="dcterms:W3CDTF">2022-05-15T22:47:40Z</dcterms:modified>
</cp:coreProperties>
</file>