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ink/ink1.xml" ContentType="application/inkml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a2035\Desktop\Forecasting\Reg-2020\"/>
    </mc:Choice>
  </mc:AlternateContent>
  <xr:revisionPtr revIDLastSave="0" documentId="13_ncr:1_{CD701E84-8CC0-449C-8DE9-791E89960C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LALB23TrendLine" sheetId="26" r:id="rId1"/>
    <sheet name="2.LALB23DataAna&amp;Formula" sheetId="27" r:id="rId2"/>
    <sheet name="4.LALB23Solver&amp;Formulas" sheetId="28" r:id="rId3"/>
    <sheet name="1.ES.MAD.MSE.MAPE.TS.Resi" sheetId="29" r:id="rId4"/>
    <sheet name="1.ForcReg" sheetId="24" r:id="rId5"/>
    <sheet name="2.Regression" sheetId="11" r:id="rId6"/>
    <sheet name="3.Orders-Arrived" sheetId="25" r:id="rId7"/>
    <sheet name="0.ArdiData" sheetId="9" r:id="rId8"/>
    <sheet name="0.ArdiData&amp;FixedData" sheetId="12" r:id="rId9"/>
    <sheet name="BookData" sheetId="6" r:id="rId10"/>
  </sheets>
  <definedNames>
    <definedName name="solver_adj" localSheetId="3" hidden="1">'1.ES.MAD.MSE.MAPE.TS.Resi'!$J$1</definedName>
    <definedName name="solver_adj" localSheetId="4" hidden="1">'1.ForcReg'!#REF!</definedName>
    <definedName name="solver_adj" localSheetId="5" hidden="1">'2.Regression'!$M$20:$M$21</definedName>
    <definedName name="solver_adj" localSheetId="6" hidden="1">'3.Orders-Arrived'!#REF!</definedName>
    <definedName name="solver_adj" localSheetId="2" hidden="1">'4.LALB23Solver&amp;Formulas'!$K$1:$K$2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2" hidden="1">0.0001</definedName>
    <definedName name="solver_drv" localSheetId="3" hidden="1">2</definedName>
    <definedName name="solver_drv" localSheetId="4" hidden="1">2</definedName>
    <definedName name="solver_drv" localSheetId="5" hidden="1">2</definedName>
    <definedName name="solver_drv" localSheetId="6" hidden="1">1</definedName>
    <definedName name="solver_drv" localSheetId="2" hidden="1">2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2" hidden="1">1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2" hidden="1">2147483647</definedName>
    <definedName name="solver_lhs1" localSheetId="3" hidden="1">'1.ES.MAD.MSE.MAPE.TS.Resi'!$J$1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2" hidden="1">2147483647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2" hidden="1">30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rt" localSheetId="6" hidden="1">0.075</definedName>
    <definedName name="solver_mrt" localSheetId="2" hidden="1">0.075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2" hidden="1">2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2" hidden="1">1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2" hidden="1">2147483647</definedName>
    <definedName name="solver_num" localSheetId="3" hidden="1">1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2" hidden="1">0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2" hidden="1">1</definedName>
    <definedName name="solver_opt" localSheetId="3" hidden="1">'1.ES.MAD.MSE.MAPE.TS.Resi'!$I$30</definedName>
    <definedName name="solver_opt" localSheetId="4" hidden="1">'1.ForcReg'!#REF!</definedName>
    <definedName name="solver_opt" localSheetId="5" hidden="1">'2.Regression'!$M$22</definedName>
    <definedName name="solver_opt" localSheetId="6" hidden="1">'3.Orders-Arrived'!#REF!</definedName>
    <definedName name="solver_opt" localSheetId="2" hidden="1">'4.LALB23Solver&amp;Formulas'!$E$25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2" hidden="1">0.000001</definedName>
    <definedName name="solver_rbv" localSheetId="3" hidden="1">2</definedName>
    <definedName name="solver_rbv" localSheetId="4" hidden="1">2</definedName>
    <definedName name="solver_rbv" localSheetId="5" hidden="1">2</definedName>
    <definedName name="solver_rbv" localSheetId="6" hidden="1">1</definedName>
    <definedName name="solver_rbv" localSheetId="2" hidden="1">2</definedName>
    <definedName name="solver_rel1" localSheetId="3" hidden="1">1</definedName>
    <definedName name="solver_rhs1" localSheetId="3" hidden="1">1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2" hidden="1">2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2" hidden="1">0</definedName>
    <definedName name="solver_scl" localSheetId="3" hidden="1">2</definedName>
    <definedName name="solver_scl" localSheetId="4" hidden="1">2</definedName>
    <definedName name="solver_scl" localSheetId="5" hidden="1">2</definedName>
    <definedName name="solver_scl" localSheetId="6" hidden="1">1</definedName>
    <definedName name="solver_scl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2" hidden="1">2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2" hidden="1">100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2" hidden="1">2147483647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2" hidden="1">0.01</definedName>
    <definedName name="solver_typ" localSheetId="3" hidden="1">2</definedName>
    <definedName name="solver_typ" localSheetId="4" hidden="1">2</definedName>
    <definedName name="solver_typ" localSheetId="1" hidden="1">2</definedName>
    <definedName name="solver_typ" localSheetId="5" hidden="1">2</definedName>
    <definedName name="solver_typ" localSheetId="6" hidden="1">2</definedName>
    <definedName name="solver_typ" localSheetId="2" hidden="1">2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2" hidden="1">0</definedName>
    <definedName name="solver_ver" localSheetId="3" hidden="1">3</definedName>
    <definedName name="solver_ver" localSheetId="4" hidden="1">3</definedName>
    <definedName name="solver_ver" localSheetId="1" hidden="1">17</definedName>
    <definedName name="solver_ver" localSheetId="5" hidden="1">3</definedName>
    <definedName name="solver_ver" localSheetId="6" hidden="1">3</definedName>
    <definedName name="solver_ver" localSheetId="2" hidden="1">3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9" l="1"/>
  <c r="D8" i="29" s="1"/>
  <c r="A1" i="28"/>
  <c r="B1" i="28"/>
  <c r="C1" i="28"/>
  <c r="A2" i="28"/>
  <c r="B2" i="28"/>
  <c r="F2" i="28" s="1"/>
  <c r="C2" i="28"/>
  <c r="A3" i="28"/>
  <c r="B3" i="28"/>
  <c r="D3" i="28" s="1"/>
  <c r="C3" i="28"/>
  <c r="C25" i="28" s="1"/>
  <c r="F3" i="28"/>
  <c r="A4" i="28"/>
  <c r="B4" i="28"/>
  <c r="D4" i="28" s="1"/>
  <c r="C4" i="28"/>
  <c r="E4" i="28" s="1"/>
  <c r="F4" i="28"/>
  <c r="A5" i="28"/>
  <c r="B5" i="28"/>
  <c r="D5" i="28" s="1"/>
  <c r="C5" i="28"/>
  <c r="E5" i="28" s="1"/>
  <c r="F5" i="28"/>
  <c r="A6" i="28"/>
  <c r="B6" i="28"/>
  <c r="F6" i="28" s="1"/>
  <c r="C6" i="28"/>
  <c r="E6" i="28" s="1"/>
  <c r="D6" i="28"/>
  <c r="A7" i="28"/>
  <c r="B7" i="28"/>
  <c r="C7" i="28"/>
  <c r="E7" i="28" s="1"/>
  <c r="D7" i="28"/>
  <c r="F7" i="28"/>
  <c r="A8" i="28"/>
  <c r="B8" i="28"/>
  <c r="C8" i="28"/>
  <c r="E8" i="28" s="1"/>
  <c r="D8" i="28"/>
  <c r="F8" i="28"/>
  <c r="A9" i="28"/>
  <c r="B9" i="28"/>
  <c r="F9" i="28" s="1"/>
  <c r="C9" i="28"/>
  <c r="A10" i="28"/>
  <c r="B10" i="28"/>
  <c r="F10" i="28" s="1"/>
  <c r="C10" i="28"/>
  <c r="E10" i="28" s="1"/>
  <c r="D10" i="28"/>
  <c r="A11" i="28"/>
  <c r="B11" i="28"/>
  <c r="C11" i="28"/>
  <c r="D11" i="28"/>
  <c r="E11" i="28" s="1"/>
  <c r="F11" i="28"/>
  <c r="A12" i="28"/>
  <c r="B12" i="28"/>
  <c r="C12" i="28"/>
  <c r="E12" i="28" s="1"/>
  <c r="D12" i="28"/>
  <c r="F12" i="28"/>
  <c r="A13" i="28"/>
  <c r="B13" i="28"/>
  <c r="F13" i="28" s="1"/>
  <c r="C13" i="28"/>
  <c r="A14" i="28"/>
  <c r="B14" i="28"/>
  <c r="F14" i="28" s="1"/>
  <c r="C14" i="28"/>
  <c r="E14" i="28" s="1"/>
  <c r="D14" i="28"/>
  <c r="A15" i="28"/>
  <c r="B15" i="28"/>
  <c r="C15" i="28"/>
  <c r="D15" i="28"/>
  <c r="E15" i="28" s="1"/>
  <c r="F15" i="28"/>
  <c r="A16" i="28"/>
  <c r="B16" i="28"/>
  <c r="C16" i="28"/>
  <c r="E16" i="28" s="1"/>
  <c r="D16" i="28"/>
  <c r="F16" i="28"/>
  <c r="A17" i="28"/>
  <c r="B17" i="28"/>
  <c r="F17" i="28" s="1"/>
  <c r="C17" i="28"/>
  <c r="A18" i="28"/>
  <c r="B18" i="28"/>
  <c r="F18" i="28" s="1"/>
  <c r="C18" i="28"/>
  <c r="E18" i="28" s="1"/>
  <c r="D18" i="28"/>
  <c r="A19" i="28"/>
  <c r="B19" i="28"/>
  <c r="C19" i="28"/>
  <c r="D19" i="28"/>
  <c r="E19" i="28" s="1"/>
  <c r="F19" i="28"/>
  <c r="A20" i="28"/>
  <c r="B20" i="28"/>
  <c r="C20" i="28"/>
  <c r="E20" i="28" s="1"/>
  <c r="D20" i="28"/>
  <c r="F20" i="28"/>
  <c r="A21" i="28"/>
  <c r="B21" i="28"/>
  <c r="F21" i="28" s="1"/>
  <c r="C21" i="28"/>
  <c r="A22" i="28"/>
  <c r="B22" i="28"/>
  <c r="F22" i="28" s="1"/>
  <c r="C22" i="28"/>
  <c r="E22" i="28" s="1"/>
  <c r="D22" i="28"/>
  <c r="A23" i="28"/>
  <c r="B23" i="28"/>
  <c r="C23" i="28"/>
  <c r="D23" i="28"/>
  <c r="E23" i="28" s="1"/>
  <c r="F23" i="28"/>
  <c r="A24" i="28"/>
  <c r="B24" i="28"/>
  <c r="C24" i="28"/>
  <c r="E24" i="28" s="1"/>
  <c r="D24" i="28"/>
  <c r="F24" i="28"/>
  <c r="A1" i="27"/>
  <c r="B1" i="27"/>
  <c r="C1" i="27"/>
  <c r="A2" i="27"/>
  <c r="B2" i="27"/>
  <c r="C2" i="27"/>
  <c r="A3" i="27"/>
  <c r="B3" i="27"/>
  <c r="C3" i="27"/>
  <c r="A4" i="27"/>
  <c r="B4" i="27"/>
  <c r="C4" i="27"/>
  <c r="A5" i="27"/>
  <c r="B5" i="27"/>
  <c r="F18" i="27" s="1"/>
  <c r="C5" i="27"/>
  <c r="A6" i="27"/>
  <c r="B6" i="27"/>
  <c r="C6" i="27"/>
  <c r="A7" i="27"/>
  <c r="B7" i="27"/>
  <c r="C7" i="27"/>
  <c r="F17" i="27" s="1"/>
  <c r="A8" i="27"/>
  <c r="B8" i="27"/>
  <c r="C8" i="27"/>
  <c r="A9" i="27"/>
  <c r="B9" i="27"/>
  <c r="C9" i="27"/>
  <c r="A10" i="27"/>
  <c r="B10" i="27"/>
  <c r="C10" i="27"/>
  <c r="A11" i="27"/>
  <c r="B11" i="27"/>
  <c r="C11" i="27"/>
  <c r="A12" i="27"/>
  <c r="B12" i="27"/>
  <c r="C12" i="27"/>
  <c r="A13" i="27"/>
  <c r="B13" i="27"/>
  <c r="C13" i="27"/>
  <c r="A14" i="27"/>
  <c r="B14" i="27"/>
  <c r="C14" i="27"/>
  <c r="A15" i="27"/>
  <c r="B15" i="27"/>
  <c r="C15" i="27"/>
  <c r="A16" i="27"/>
  <c r="B16" i="27"/>
  <c r="C16" i="27"/>
  <c r="A17" i="27"/>
  <c r="B17" i="27"/>
  <c r="C17" i="27"/>
  <c r="A18" i="27"/>
  <c r="B18" i="27"/>
  <c r="C18" i="27"/>
  <c r="A19" i="27"/>
  <c r="B19" i="27"/>
  <c r="C19" i="27"/>
  <c r="A20" i="27"/>
  <c r="B20" i="27"/>
  <c r="C20" i="27"/>
  <c r="A21" i="27"/>
  <c r="B21" i="27"/>
  <c r="C21" i="27"/>
  <c r="A22" i="27"/>
  <c r="B22" i="27"/>
  <c r="C22" i="27"/>
  <c r="A23" i="27"/>
  <c r="B23" i="27"/>
  <c r="C23" i="27"/>
  <c r="A24" i="27"/>
  <c r="B24" i="27"/>
  <c r="C24" i="27"/>
  <c r="F2" i="26"/>
  <c r="F25" i="28" l="1"/>
  <c r="N7" i="27"/>
  <c r="K8" i="29"/>
  <c r="E8" i="29"/>
  <c r="F8" i="29"/>
  <c r="F5" i="27"/>
  <c r="F4" i="27" s="1"/>
  <c r="D21" i="28"/>
  <c r="E21" i="28" s="1"/>
  <c r="D17" i="28"/>
  <c r="E17" i="28" s="1"/>
  <c r="D13" i="28"/>
  <c r="E13" i="28" s="1"/>
  <c r="D9" i="28"/>
  <c r="E9" i="28" s="1"/>
  <c r="E3" i="28"/>
  <c r="D2" i="28"/>
  <c r="E2" i="28" s="1"/>
  <c r="F7" i="27"/>
  <c r="F8" i="27"/>
  <c r="C9" i="29"/>
  <c r="N10" i="25"/>
  <c r="O10" i="25"/>
  <c r="N11" i="25"/>
  <c r="O11" i="25"/>
  <c r="N13" i="25"/>
  <c r="K23" i="25"/>
  <c r="D2" i="25" s="1"/>
  <c r="E2" i="25" s="1"/>
  <c r="F2" i="25" s="1"/>
  <c r="K24" i="25"/>
  <c r="D27" i="25"/>
  <c r="E27" i="25" s="1"/>
  <c r="F27" i="25" s="1"/>
  <c r="D35" i="25"/>
  <c r="E35" i="25" s="1"/>
  <c r="F35" i="25" s="1"/>
  <c r="D43" i="25"/>
  <c r="E43" i="25" s="1"/>
  <c r="F43" i="25" s="1"/>
  <c r="D51" i="25"/>
  <c r="E51" i="25" s="1"/>
  <c r="F51" i="25" s="1"/>
  <c r="D55" i="25"/>
  <c r="D9" i="29" l="1"/>
  <c r="C10" i="29"/>
  <c r="G8" i="29"/>
  <c r="H8" i="29"/>
  <c r="H2" i="28"/>
  <c r="E25" i="28"/>
  <c r="L4" i="28" s="1"/>
  <c r="I8" i="29"/>
  <c r="G3" i="25"/>
  <c r="H3" i="25" s="1"/>
  <c r="G2" i="25"/>
  <c r="H2" i="25" s="1"/>
  <c r="D16" i="25"/>
  <c r="E16" i="25" s="1"/>
  <c r="F16" i="25" s="1"/>
  <c r="D12" i="25"/>
  <c r="E12" i="25" s="1"/>
  <c r="F12" i="25" s="1"/>
  <c r="D49" i="25"/>
  <c r="E49" i="25" s="1"/>
  <c r="F49" i="25" s="1"/>
  <c r="D41" i="25"/>
  <c r="E41" i="25" s="1"/>
  <c r="F41" i="25" s="1"/>
  <c r="D33" i="25"/>
  <c r="E33" i="25" s="1"/>
  <c r="F33" i="25" s="1"/>
  <c r="D25" i="25"/>
  <c r="E25" i="25" s="1"/>
  <c r="F25" i="25" s="1"/>
  <c r="D6" i="25"/>
  <c r="E6" i="25" s="1"/>
  <c r="F6" i="25" s="1"/>
  <c r="G30" i="25" s="1"/>
  <c r="H30" i="25" s="1"/>
  <c r="D3" i="25"/>
  <c r="E3" i="25" s="1"/>
  <c r="F3" i="25" s="1"/>
  <c r="G6" i="25" s="1"/>
  <c r="H6" i="25" s="1"/>
  <c r="D8" i="25"/>
  <c r="E8" i="25" s="1"/>
  <c r="F8" i="25" s="1"/>
  <c r="D53" i="25"/>
  <c r="D22" i="25"/>
  <c r="E22" i="25" s="1"/>
  <c r="F22" i="25" s="1"/>
  <c r="D13" i="25"/>
  <c r="E13" i="25" s="1"/>
  <c r="F13" i="25" s="1"/>
  <c r="D9" i="25"/>
  <c r="E9" i="25" s="1"/>
  <c r="F9" i="25" s="1"/>
  <c r="D46" i="25"/>
  <c r="E46" i="25" s="1"/>
  <c r="F46" i="25" s="1"/>
  <c r="D52" i="25"/>
  <c r="M5" i="25" s="1"/>
  <c r="D44" i="25"/>
  <c r="E44" i="25" s="1"/>
  <c r="F44" i="25" s="1"/>
  <c r="D36" i="25"/>
  <c r="E36" i="25" s="1"/>
  <c r="F36" i="25" s="1"/>
  <c r="D47" i="25"/>
  <c r="E47" i="25" s="1"/>
  <c r="F47" i="25" s="1"/>
  <c r="D39" i="25"/>
  <c r="E39" i="25" s="1"/>
  <c r="F39" i="25" s="1"/>
  <c r="D31" i="25"/>
  <c r="E31" i="25" s="1"/>
  <c r="F31" i="25" s="1"/>
  <c r="D17" i="25"/>
  <c r="E17" i="25" s="1"/>
  <c r="F17" i="25" s="1"/>
  <c r="D14" i="25"/>
  <c r="E14" i="25" s="1"/>
  <c r="F14" i="25" s="1"/>
  <c r="D24" i="25"/>
  <c r="E24" i="25" s="1"/>
  <c r="F24" i="25" s="1"/>
  <c r="D21" i="25"/>
  <c r="E21" i="25" s="1"/>
  <c r="F21" i="25" s="1"/>
  <c r="D5" i="25"/>
  <c r="E5" i="25" s="1"/>
  <c r="F5" i="25" s="1"/>
  <c r="D38" i="25"/>
  <c r="E38" i="25" s="1"/>
  <c r="F38" i="25" s="1"/>
  <c r="D19" i="25"/>
  <c r="E19" i="25" s="1"/>
  <c r="F19" i="25" s="1"/>
  <c r="D28" i="25"/>
  <c r="E28" i="25" s="1"/>
  <c r="F28" i="25" s="1"/>
  <c r="D50" i="25"/>
  <c r="E50" i="25" s="1"/>
  <c r="F50" i="25" s="1"/>
  <c r="D42" i="25"/>
  <c r="E42" i="25" s="1"/>
  <c r="F42" i="25" s="1"/>
  <c r="D34" i="25"/>
  <c r="E34" i="25" s="1"/>
  <c r="F34" i="25" s="1"/>
  <c r="D26" i="25"/>
  <c r="E26" i="25" s="1"/>
  <c r="F26" i="25" s="1"/>
  <c r="D20" i="25"/>
  <c r="E20" i="25" s="1"/>
  <c r="F20" i="25" s="1"/>
  <c r="D7" i="25"/>
  <c r="E7" i="25" s="1"/>
  <c r="F7" i="25" s="1"/>
  <c r="D4" i="25"/>
  <c r="E4" i="25" s="1"/>
  <c r="F4" i="25" s="1"/>
  <c r="G9" i="25" s="1"/>
  <c r="H9" i="25" s="1"/>
  <c r="D54" i="25"/>
  <c r="D45" i="25"/>
  <c r="E45" i="25" s="1"/>
  <c r="F45" i="25" s="1"/>
  <c r="D10" i="25"/>
  <c r="E10" i="25" s="1"/>
  <c r="F10" i="25" s="1"/>
  <c r="D30" i="25"/>
  <c r="E30" i="25" s="1"/>
  <c r="F30" i="25" s="1"/>
  <c r="D37" i="25"/>
  <c r="E37" i="25" s="1"/>
  <c r="F37" i="25" s="1"/>
  <c r="D29" i="25"/>
  <c r="E29" i="25" s="1"/>
  <c r="F29" i="25" s="1"/>
  <c r="D23" i="25"/>
  <c r="E23" i="25" s="1"/>
  <c r="F23" i="25" s="1"/>
  <c r="D15" i="25"/>
  <c r="E15" i="25" s="1"/>
  <c r="F15" i="25" s="1"/>
  <c r="D56" i="25"/>
  <c r="D48" i="25"/>
  <c r="E48" i="25" s="1"/>
  <c r="F48" i="25" s="1"/>
  <c r="D40" i="25"/>
  <c r="E40" i="25" s="1"/>
  <c r="F40" i="25" s="1"/>
  <c r="D32" i="25"/>
  <c r="E32" i="25" s="1"/>
  <c r="F32" i="25" s="1"/>
  <c r="D18" i="25"/>
  <c r="E18" i="25" s="1"/>
  <c r="F18" i="25" s="1"/>
  <c r="D11" i="25"/>
  <c r="E11" i="25" s="1"/>
  <c r="F11" i="25" s="1"/>
  <c r="H3" i="28" l="1"/>
  <c r="H4" i="28"/>
  <c r="H5" i="28"/>
  <c r="J8" i="29"/>
  <c r="D10" i="29"/>
  <c r="C11" i="29"/>
  <c r="F9" i="29"/>
  <c r="E9" i="29"/>
  <c r="K9" i="29"/>
  <c r="K10" i="29"/>
  <c r="G10" i="25"/>
  <c r="H10" i="25" s="1"/>
  <c r="G31" i="25"/>
  <c r="H31" i="25" s="1"/>
  <c r="G29" i="25"/>
  <c r="H29" i="25" s="1"/>
  <c r="G16" i="25"/>
  <c r="H16" i="25" s="1"/>
  <c r="G20" i="25"/>
  <c r="H20" i="25" s="1"/>
  <c r="G34" i="25"/>
  <c r="H34" i="25" s="1"/>
  <c r="G28" i="25"/>
  <c r="H28" i="25" s="1"/>
  <c r="G51" i="25"/>
  <c r="H51" i="25" s="1"/>
  <c r="O13" i="25" s="1"/>
  <c r="O14" i="25" s="1"/>
  <c r="G5" i="25"/>
  <c r="H5" i="25" s="1"/>
  <c r="G49" i="25"/>
  <c r="H49" i="25" s="1"/>
  <c r="G14" i="25"/>
  <c r="H14" i="25" s="1"/>
  <c r="G12" i="25"/>
  <c r="H12" i="25" s="1"/>
  <c r="G39" i="25"/>
  <c r="H39" i="25" s="1"/>
  <c r="G36" i="25"/>
  <c r="H36" i="25" s="1"/>
  <c r="G8" i="25"/>
  <c r="H8" i="25" s="1"/>
  <c r="G7" i="25"/>
  <c r="H7" i="25" s="1"/>
  <c r="G48" i="25"/>
  <c r="H48" i="25" s="1"/>
  <c r="G13" i="25"/>
  <c r="H13" i="25" s="1"/>
  <c r="G43" i="25"/>
  <c r="H43" i="25" s="1"/>
  <c r="G44" i="25"/>
  <c r="H44" i="25" s="1"/>
  <c r="G41" i="25"/>
  <c r="H41" i="25" s="1"/>
  <c r="G37" i="25"/>
  <c r="H37" i="25" s="1"/>
  <c r="G35" i="25"/>
  <c r="H35" i="25" s="1"/>
  <c r="G47" i="25"/>
  <c r="H47" i="25" s="1"/>
  <c r="G32" i="25"/>
  <c r="H32" i="25" s="1"/>
  <c r="G42" i="25"/>
  <c r="H42" i="25" s="1"/>
  <c r="G27" i="25"/>
  <c r="H27" i="25" s="1"/>
  <c r="G38" i="25"/>
  <c r="H38" i="25" s="1"/>
  <c r="G25" i="25"/>
  <c r="H25" i="25" s="1"/>
  <c r="G4" i="25"/>
  <c r="H4" i="25" s="1"/>
  <c r="G50" i="25"/>
  <c r="H50" i="25" s="1"/>
  <c r="G33" i="25"/>
  <c r="H33" i="25" s="1"/>
  <c r="G23" i="25"/>
  <c r="H23" i="25" s="1"/>
  <c r="G18" i="25"/>
  <c r="H18" i="25" s="1"/>
  <c r="G26" i="25"/>
  <c r="H26" i="25" s="1"/>
  <c r="G24" i="25"/>
  <c r="H24" i="25" s="1"/>
  <c r="G22" i="25"/>
  <c r="H22" i="25" s="1"/>
  <c r="G19" i="25"/>
  <c r="H19" i="25" s="1"/>
  <c r="G40" i="25"/>
  <c r="H40" i="25" s="1"/>
  <c r="G17" i="25"/>
  <c r="H17" i="25" s="1"/>
  <c r="G15" i="25"/>
  <c r="H15" i="25" s="1"/>
  <c r="G11" i="25"/>
  <c r="H11" i="25" s="1"/>
  <c r="G45" i="25"/>
  <c r="H45" i="25" s="1"/>
  <c r="G21" i="25"/>
  <c r="H21" i="25" s="1"/>
  <c r="G46" i="25"/>
  <c r="H46" i="25" s="1"/>
  <c r="G9" i="29" l="1"/>
  <c r="H9" i="29"/>
  <c r="I9" i="29"/>
  <c r="D11" i="29"/>
  <c r="C12" i="29"/>
  <c r="E10" i="29"/>
  <c r="G10" i="29" s="1"/>
  <c r="F10" i="29"/>
  <c r="L3" i="28"/>
  <c r="H1" i="28"/>
  <c r="F4" i="24"/>
  <c r="M5" i="24"/>
  <c r="M6" i="24" s="1"/>
  <c r="J17" i="24"/>
  <c r="C25" i="24" s="1"/>
  <c r="J18" i="24"/>
  <c r="C12" i="24" s="1"/>
  <c r="D12" i="29" l="1"/>
  <c r="C13" i="29"/>
  <c r="E11" i="29"/>
  <c r="G11" i="29" s="1"/>
  <c r="F11" i="29"/>
  <c r="K11" i="29"/>
  <c r="K12" i="29"/>
  <c r="I10" i="29"/>
  <c r="H10" i="29"/>
  <c r="J9" i="29"/>
  <c r="J10" i="29"/>
  <c r="C11" i="24"/>
  <c r="F2" i="24"/>
  <c r="C41" i="24"/>
  <c r="C32" i="24"/>
  <c r="C13" i="24"/>
  <c r="C24" i="24"/>
  <c r="C34" i="24"/>
  <c r="C33" i="24"/>
  <c r="C46" i="24"/>
  <c r="C30" i="24"/>
  <c r="C16" i="24"/>
  <c r="C40" i="24"/>
  <c r="C8" i="24"/>
  <c r="C38" i="24"/>
  <c r="C22" i="24"/>
  <c r="C49" i="24"/>
  <c r="F3" i="24" s="1"/>
  <c r="C18" i="24"/>
  <c r="C48" i="24"/>
  <c r="C42" i="24"/>
  <c r="C26" i="24"/>
  <c r="C10" i="24"/>
  <c r="C47" i="24"/>
  <c r="C39" i="24"/>
  <c r="C31" i="24"/>
  <c r="C23" i="24"/>
  <c r="C17" i="24"/>
  <c r="C9" i="24"/>
  <c r="C37" i="24"/>
  <c r="C29" i="24"/>
  <c r="C21" i="24"/>
  <c r="C15" i="24"/>
  <c r="C7" i="24"/>
  <c r="C44" i="24"/>
  <c r="C36" i="24"/>
  <c r="C28" i="24"/>
  <c r="C20" i="24"/>
  <c r="C14" i="24"/>
  <c r="C45" i="24"/>
  <c r="C43" i="24"/>
  <c r="C35" i="24"/>
  <c r="C27" i="24"/>
  <c r="C19" i="24"/>
  <c r="J11" i="29" l="1"/>
  <c r="D13" i="29"/>
  <c r="C14" i="29"/>
  <c r="F12" i="29"/>
  <c r="E12" i="29"/>
  <c r="G12" i="29" s="1"/>
  <c r="H11" i="29"/>
  <c r="I11" i="29"/>
  <c r="M5" i="11"/>
  <c r="M6" i="11" s="1"/>
  <c r="H12" i="29" l="1"/>
  <c r="F13" i="29"/>
  <c r="E13" i="29"/>
  <c r="G13" i="29" s="1"/>
  <c r="K13" i="29"/>
  <c r="C15" i="29"/>
  <c r="D14" i="29"/>
  <c r="I12" i="29"/>
  <c r="K14" i="29"/>
  <c r="J12" i="29"/>
  <c r="F4" i="11"/>
  <c r="F9" i="11"/>
  <c r="F12" i="11"/>
  <c r="F17" i="11"/>
  <c r="F20" i="11"/>
  <c r="F25" i="11"/>
  <c r="F28" i="11"/>
  <c r="F33" i="11"/>
  <c r="F36" i="11"/>
  <c r="F41" i="11"/>
  <c r="F44" i="11"/>
  <c r="F49" i="11"/>
  <c r="F52" i="11"/>
  <c r="G2" i="11"/>
  <c r="F8" i="11" s="1"/>
  <c r="H13" i="29" l="1"/>
  <c r="I13" i="29"/>
  <c r="E14" i="29"/>
  <c r="F14" i="29"/>
  <c r="D15" i="29"/>
  <c r="K15" i="29" s="1"/>
  <c r="C16" i="29"/>
  <c r="J13" i="29"/>
  <c r="F40" i="11"/>
  <c r="F24" i="11"/>
  <c r="F6" i="11"/>
  <c r="F3" i="11"/>
  <c r="F37" i="11"/>
  <c r="F21" i="11"/>
  <c r="F5" i="11"/>
  <c r="F48" i="11"/>
  <c r="F32" i="11"/>
  <c r="F16" i="11"/>
  <c r="F45" i="11"/>
  <c r="F29" i="11"/>
  <c r="F13" i="11"/>
  <c r="F51" i="11"/>
  <c r="F47" i="11"/>
  <c r="F43" i="11"/>
  <c r="F39" i="11"/>
  <c r="F35" i="11"/>
  <c r="F31" i="11"/>
  <c r="F27" i="11"/>
  <c r="F23" i="11"/>
  <c r="F19" i="11"/>
  <c r="F15" i="11"/>
  <c r="F11" i="11"/>
  <c r="F7" i="11"/>
  <c r="F50" i="11"/>
  <c r="F46" i="11"/>
  <c r="F42" i="11"/>
  <c r="F38" i="11"/>
  <c r="F34" i="11"/>
  <c r="F30" i="11"/>
  <c r="F26" i="11"/>
  <c r="F22" i="11"/>
  <c r="F18" i="11"/>
  <c r="F14" i="11"/>
  <c r="F10" i="11"/>
  <c r="P77" i="12"/>
  <c r="L77" i="12"/>
  <c r="P76" i="12"/>
  <c r="L76" i="12"/>
  <c r="P75" i="12"/>
  <c r="L75" i="12"/>
  <c r="P74" i="12"/>
  <c r="L74" i="12"/>
  <c r="P73" i="12"/>
  <c r="L73" i="12"/>
  <c r="P72" i="12"/>
  <c r="L72" i="12"/>
  <c r="P71" i="12"/>
  <c r="L71" i="12"/>
  <c r="P70" i="12"/>
  <c r="L70" i="12"/>
  <c r="P69" i="12"/>
  <c r="L69" i="12"/>
  <c r="P68" i="12"/>
  <c r="L68" i="12"/>
  <c r="P67" i="12"/>
  <c r="L67" i="12"/>
  <c r="P66" i="12"/>
  <c r="L66" i="12"/>
  <c r="P65" i="12"/>
  <c r="L65" i="12"/>
  <c r="P64" i="12"/>
  <c r="L64" i="12"/>
  <c r="P63" i="12"/>
  <c r="L63" i="12"/>
  <c r="P62" i="12"/>
  <c r="L62" i="12"/>
  <c r="P61" i="12"/>
  <c r="L61" i="12"/>
  <c r="P60" i="12"/>
  <c r="L60" i="12"/>
  <c r="P59" i="12"/>
  <c r="L59" i="12"/>
  <c r="P58" i="12"/>
  <c r="L58" i="12"/>
  <c r="P57" i="12"/>
  <c r="L57" i="12"/>
  <c r="P56" i="12"/>
  <c r="L56" i="12"/>
  <c r="P55" i="12"/>
  <c r="L55" i="12"/>
  <c r="P54" i="12"/>
  <c r="L54" i="12"/>
  <c r="P53" i="12"/>
  <c r="L53" i="12"/>
  <c r="P52" i="12"/>
  <c r="L52" i="12"/>
  <c r="P51" i="12"/>
  <c r="L51" i="12"/>
  <c r="P50" i="12"/>
  <c r="L50" i="12"/>
  <c r="P49" i="12"/>
  <c r="L49" i="12"/>
  <c r="P48" i="12"/>
  <c r="L48" i="12"/>
  <c r="P47" i="12"/>
  <c r="L47" i="12"/>
  <c r="P46" i="12"/>
  <c r="L46" i="12"/>
  <c r="P45" i="12"/>
  <c r="L45" i="12"/>
  <c r="P44" i="12"/>
  <c r="L44" i="12"/>
  <c r="P43" i="12"/>
  <c r="L43" i="12"/>
  <c r="P42" i="12"/>
  <c r="L42" i="12"/>
  <c r="P41" i="12"/>
  <c r="L41" i="12"/>
  <c r="P40" i="12"/>
  <c r="L40" i="12"/>
  <c r="P39" i="12"/>
  <c r="L39" i="12"/>
  <c r="P38" i="12"/>
  <c r="L38" i="12"/>
  <c r="P37" i="12"/>
  <c r="L37" i="12"/>
  <c r="P36" i="12"/>
  <c r="L36" i="12"/>
  <c r="P35" i="12"/>
  <c r="L35" i="12"/>
  <c r="P34" i="12"/>
  <c r="L34" i="12"/>
  <c r="P33" i="12"/>
  <c r="L33" i="12"/>
  <c r="P32" i="12"/>
  <c r="L32" i="12"/>
  <c r="P31" i="12"/>
  <c r="L31" i="12"/>
  <c r="P30" i="12"/>
  <c r="L30" i="12"/>
  <c r="P29" i="12"/>
  <c r="L29" i="12"/>
  <c r="P28" i="12"/>
  <c r="L28" i="12"/>
  <c r="P27" i="12"/>
  <c r="L27" i="12"/>
  <c r="P26" i="12"/>
  <c r="L26" i="12"/>
  <c r="P25" i="12"/>
  <c r="L25" i="12"/>
  <c r="P24" i="12"/>
  <c r="L24" i="12"/>
  <c r="P23" i="12"/>
  <c r="L23" i="12"/>
  <c r="P22" i="12"/>
  <c r="L22" i="12"/>
  <c r="P21" i="12"/>
  <c r="L21" i="12"/>
  <c r="P20" i="12"/>
  <c r="L20" i="12"/>
  <c r="P19" i="12"/>
  <c r="L19" i="12"/>
  <c r="P18" i="12"/>
  <c r="L18" i="12"/>
  <c r="P17" i="12"/>
  <c r="L17" i="12"/>
  <c r="P16" i="12"/>
  <c r="L16" i="12"/>
  <c r="P15" i="12"/>
  <c r="L15" i="12"/>
  <c r="P14" i="12"/>
  <c r="L14" i="12"/>
  <c r="P13" i="12"/>
  <c r="L13" i="12"/>
  <c r="P12" i="12"/>
  <c r="L12" i="12"/>
  <c r="P11" i="12"/>
  <c r="L11" i="12"/>
  <c r="P10" i="12"/>
  <c r="L10" i="12"/>
  <c r="P9" i="12"/>
  <c r="L9" i="12"/>
  <c r="P8" i="12"/>
  <c r="L8" i="12"/>
  <c r="P7" i="12"/>
  <c r="L7" i="12"/>
  <c r="P6" i="12"/>
  <c r="L6" i="12"/>
  <c r="P5" i="12"/>
  <c r="L5" i="12"/>
  <c r="P4" i="12"/>
  <c r="L4" i="12"/>
  <c r="P3" i="12"/>
  <c r="L3" i="12"/>
  <c r="S1" i="12"/>
  <c r="R1" i="12"/>
  <c r="D16" i="29" l="1"/>
  <c r="C17" i="29"/>
  <c r="I14" i="29"/>
  <c r="G14" i="29"/>
  <c r="H14" i="29"/>
  <c r="E15" i="29"/>
  <c r="F15" i="29"/>
  <c r="I15" i="29" s="1"/>
  <c r="I2" i="11"/>
  <c r="O69" i="12"/>
  <c r="Q69" i="12" s="1"/>
  <c r="D69" i="12" s="1"/>
  <c r="O6" i="12"/>
  <c r="Q6" i="12" s="1"/>
  <c r="D6" i="12" s="1"/>
  <c r="O37" i="12"/>
  <c r="Q37" i="12" s="1"/>
  <c r="D37" i="12" s="1"/>
  <c r="O53" i="12"/>
  <c r="Q53" i="12" s="1"/>
  <c r="D53" i="12" s="1"/>
  <c r="O77" i="12"/>
  <c r="Q77" i="12" s="1"/>
  <c r="D77" i="12" s="1"/>
  <c r="O21" i="12"/>
  <c r="Q21" i="12" s="1"/>
  <c r="D21" i="12" s="1"/>
  <c r="O3" i="12"/>
  <c r="Q3" i="12" s="1"/>
  <c r="O4" i="12"/>
  <c r="Q4" i="12" s="1"/>
  <c r="D4" i="12" s="1"/>
  <c r="O25" i="12"/>
  <c r="Q25" i="12" s="1"/>
  <c r="D25" i="12" s="1"/>
  <c r="O73" i="12"/>
  <c r="Q73" i="12" s="1"/>
  <c r="D73" i="12" s="1"/>
  <c r="O29" i="12"/>
  <c r="Q29" i="12" s="1"/>
  <c r="D29" i="12" s="1"/>
  <c r="O45" i="12"/>
  <c r="Q45" i="12" s="1"/>
  <c r="D45" i="12" s="1"/>
  <c r="O61" i="12"/>
  <c r="Q61" i="12" s="1"/>
  <c r="D61" i="12" s="1"/>
  <c r="O75" i="12"/>
  <c r="Q75" i="12" s="1"/>
  <c r="D75" i="12" s="1"/>
  <c r="O71" i="12"/>
  <c r="Q71" i="12" s="1"/>
  <c r="D71" i="12" s="1"/>
  <c r="O67" i="12"/>
  <c r="Q67" i="12" s="1"/>
  <c r="D67" i="12" s="1"/>
  <c r="O63" i="12"/>
  <c r="Q63" i="12" s="1"/>
  <c r="D63" i="12" s="1"/>
  <c r="O59" i="12"/>
  <c r="Q59" i="12" s="1"/>
  <c r="D59" i="12" s="1"/>
  <c r="O55" i="12"/>
  <c r="Q55" i="12" s="1"/>
  <c r="D55" i="12" s="1"/>
  <c r="O51" i="12"/>
  <c r="Q51" i="12" s="1"/>
  <c r="D51" i="12" s="1"/>
  <c r="O47" i="12"/>
  <c r="Q47" i="12" s="1"/>
  <c r="D47" i="12" s="1"/>
  <c r="O43" i="12"/>
  <c r="Q43" i="12" s="1"/>
  <c r="D43" i="12" s="1"/>
  <c r="O39" i="12"/>
  <c r="Q39" i="12" s="1"/>
  <c r="D39" i="12" s="1"/>
  <c r="O35" i="12"/>
  <c r="Q35" i="12" s="1"/>
  <c r="D35" i="12" s="1"/>
  <c r="O31" i="12"/>
  <c r="Q31" i="12" s="1"/>
  <c r="D31" i="12" s="1"/>
  <c r="O27" i="12"/>
  <c r="Q27" i="12" s="1"/>
  <c r="D27" i="12" s="1"/>
  <c r="O23" i="12"/>
  <c r="Q23" i="12" s="1"/>
  <c r="D23" i="12" s="1"/>
  <c r="O19" i="12"/>
  <c r="Q19" i="12" s="1"/>
  <c r="D19" i="12" s="1"/>
  <c r="O15" i="12"/>
  <c r="Q15" i="12" s="1"/>
  <c r="D15" i="12" s="1"/>
  <c r="O76" i="12"/>
  <c r="Q76" i="12" s="1"/>
  <c r="D76" i="12" s="1"/>
  <c r="O72" i="12"/>
  <c r="Q72" i="12" s="1"/>
  <c r="D72" i="12" s="1"/>
  <c r="O68" i="12"/>
  <c r="Q68" i="12" s="1"/>
  <c r="D68" i="12" s="1"/>
  <c r="O64" i="12"/>
  <c r="Q64" i="12" s="1"/>
  <c r="D64" i="12" s="1"/>
  <c r="O60" i="12"/>
  <c r="Q60" i="12" s="1"/>
  <c r="D60" i="12" s="1"/>
  <c r="O56" i="12"/>
  <c r="Q56" i="12" s="1"/>
  <c r="D56" i="12" s="1"/>
  <c r="O52" i="12"/>
  <c r="Q52" i="12" s="1"/>
  <c r="D52" i="12" s="1"/>
  <c r="O48" i="12"/>
  <c r="Q48" i="12" s="1"/>
  <c r="D48" i="12" s="1"/>
  <c r="O44" i="12"/>
  <c r="Q44" i="12" s="1"/>
  <c r="D44" i="12" s="1"/>
  <c r="O40" i="12"/>
  <c r="Q40" i="12" s="1"/>
  <c r="D40" i="12" s="1"/>
  <c r="O36" i="12"/>
  <c r="Q36" i="12" s="1"/>
  <c r="D36" i="12" s="1"/>
  <c r="O32" i="12"/>
  <c r="Q32" i="12" s="1"/>
  <c r="D32" i="12" s="1"/>
  <c r="O28" i="12"/>
  <c r="Q28" i="12" s="1"/>
  <c r="D28" i="12" s="1"/>
  <c r="O24" i="12"/>
  <c r="Q24" i="12" s="1"/>
  <c r="D24" i="12" s="1"/>
  <c r="O20" i="12"/>
  <c r="Q20" i="12" s="1"/>
  <c r="D20" i="12" s="1"/>
  <c r="O16" i="12"/>
  <c r="Q16" i="12" s="1"/>
  <c r="D16" i="12" s="1"/>
  <c r="O14" i="12"/>
  <c r="Q14" i="12" s="1"/>
  <c r="D14" i="12" s="1"/>
  <c r="O70" i="12"/>
  <c r="Q70" i="12" s="1"/>
  <c r="D70" i="12" s="1"/>
  <c r="O62" i="12"/>
  <c r="Q62" i="12" s="1"/>
  <c r="D62" i="12" s="1"/>
  <c r="O54" i="12"/>
  <c r="Q54" i="12" s="1"/>
  <c r="D54" i="12" s="1"/>
  <c r="O46" i="12"/>
  <c r="Q46" i="12" s="1"/>
  <c r="D46" i="12" s="1"/>
  <c r="O38" i="12"/>
  <c r="Q38" i="12" s="1"/>
  <c r="D38" i="12" s="1"/>
  <c r="O30" i="12"/>
  <c r="Q30" i="12" s="1"/>
  <c r="D30" i="12" s="1"/>
  <c r="O22" i="12"/>
  <c r="Q22" i="12" s="1"/>
  <c r="D22" i="12" s="1"/>
  <c r="O13" i="12"/>
  <c r="Q13" i="12" s="1"/>
  <c r="D13" i="12" s="1"/>
  <c r="O12" i="12"/>
  <c r="Q12" i="12" s="1"/>
  <c r="D12" i="12" s="1"/>
  <c r="O10" i="12"/>
  <c r="Q10" i="12" s="1"/>
  <c r="D10" i="12" s="1"/>
  <c r="O7" i="12"/>
  <c r="Q7" i="12" s="1"/>
  <c r="D7" i="12" s="1"/>
  <c r="O74" i="12"/>
  <c r="Q74" i="12" s="1"/>
  <c r="D74" i="12" s="1"/>
  <c r="O66" i="12"/>
  <c r="Q66" i="12" s="1"/>
  <c r="D66" i="12" s="1"/>
  <c r="O58" i="12"/>
  <c r="Q58" i="12" s="1"/>
  <c r="D58" i="12" s="1"/>
  <c r="O50" i="12"/>
  <c r="Q50" i="12" s="1"/>
  <c r="D50" i="12" s="1"/>
  <c r="O42" i="12"/>
  <c r="Q42" i="12" s="1"/>
  <c r="D42" i="12" s="1"/>
  <c r="O34" i="12"/>
  <c r="Q34" i="12" s="1"/>
  <c r="D34" i="12" s="1"/>
  <c r="O26" i="12"/>
  <c r="Q26" i="12" s="1"/>
  <c r="D26" i="12" s="1"/>
  <c r="O18" i="12"/>
  <c r="Q18" i="12" s="1"/>
  <c r="D18" i="12" s="1"/>
  <c r="O11" i="12"/>
  <c r="Q11" i="12" s="1"/>
  <c r="D11" i="12" s="1"/>
  <c r="O9" i="12"/>
  <c r="Q9" i="12" s="1"/>
  <c r="D9" i="12" s="1"/>
  <c r="O5" i="12"/>
  <c r="Q5" i="12" s="1"/>
  <c r="D5" i="12" s="1"/>
  <c r="O8" i="12"/>
  <c r="Q8" i="12" s="1"/>
  <c r="D8" i="12" s="1"/>
  <c r="O41" i="12"/>
  <c r="Q41" i="12" s="1"/>
  <c r="D41" i="12" s="1"/>
  <c r="O57" i="12"/>
  <c r="Q57" i="12" s="1"/>
  <c r="D57" i="12" s="1"/>
  <c r="O17" i="12"/>
  <c r="Q17" i="12" s="1"/>
  <c r="D17" i="12" s="1"/>
  <c r="O33" i="12"/>
  <c r="Q33" i="12" s="1"/>
  <c r="D33" i="12" s="1"/>
  <c r="O49" i="12"/>
  <c r="Q49" i="12" s="1"/>
  <c r="D49" i="12" s="1"/>
  <c r="O65" i="12"/>
  <c r="Q65" i="12" s="1"/>
  <c r="D65" i="12" s="1"/>
  <c r="G15" i="29" l="1"/>
  <c r="J15" i="29" s="1"/>
  <c r="H15" i="29"/>
  <c r="D17" i="29"/>
  <c r="C18" i="29"/>
  <c r="J14" i="29"/>
  <c r="E16" i="29"/>
  <c r="F16" i="29"/>
  <c r="I16" i="29" s="1"/>
  <c r="K16" i="29"/>
  <c r="B22" i="12"/>
  <c r="B16" i="12"/>
  <c r="B36" i="12"/>
  <c r="B64" i="12"/>
  <c r="B28" i="12"/>
  <c r="B48" i="12"/>
  <c r="B70" i="12"/>
  <c r="B44" i="12"/>
  <c r="B46" i="12"/>
  <c r="B10" i="12"/>
  <c r="B26" i="12"/>
  <c r="B58" i="12"/>
  <c r="B72" i="12"/>
  <c r="B60" i="12"/>
  <c r="B54" i="12"/>
  <c r="B51" i="12"/>
  <c r="B47" i="12"/>
  <c r="B76" i="12"/>
  <c r="B7" i="12"/>
  <c r="B33" i="12"/>
  <c r="B42" i="12"/>
  <c r="B75" i="12"/>
  <c r="B65" i="12"/>
  <c r="B63" i="12"/>
  <c r="B32" i="12"/>
  <c r="B9" i="12"/>
  <c r="B62" i="12"/>
  <c r="B13" i="12"/>
  <c r="B30" i="12"/>
  <c r="B19" i="12"/>
  <c r="B67" i="12"/>
  <c r="B4" i="12"/>
  <c r="C76" i="12"/>
  <c r="C72" i="12"/>
  <c r="C68" i="12"/>
  <c r="C64" i="12"/>
  <c r="C60" i="12"/>
  <c r="C56" i="12"/>
  <c r="C52" i="12"/>
  <c r="C48" i="12"/>
  <c r="C44" i="12"/>
  <c r="C40" i="12"/>
  <c r="C36" i="12"/>
  <c r="C32" i="12"/>
  <c r="C28" i="12"/>
  <c r="C24" i="12"/>
  <c r="C20" i="12"/>
  <c r="C16" i="12"/>
  <c r="C77" i="12"/>
  <c r="C73" i="12"/>
  <c r="C69" i="12"/>
  <c r="C65" i="12"/>
  <c r="C61" i="12"/>
  <c r="C57" i="12"/>
  <c r="C53" i="12"/>
  <c r="C49" i="12"/>
  <c r="C45" i="12"/>
  <c r="C41" i="12"/>
  <c r="C37" i="12"/>
  <c r="C33" i="12"/>
  <c r="C29" i="12"/>
  <c r="C25" i="12"/>
  <c r="C21" i="12"/>
  <c r="C17" i="12"/>
  <c r="C15" i="12"/>
  <c r="C75" i="12"/>
  <c r="C74" i="12"/>
  <c r="C67" i="12"/>
  <c r="C66" i="12"/>
  <c r="C59" i="12"/>
  <c r="C58" i="12"/>
  <c r="C51" i="12"/>
  <c r="C50" i="12"/>
  <c r="C43" i="12"/>
  <c r="C42" i="12"/>
  <c r="C35" i="12"/>
  <c r="C34" i="12"/>
  <c r="C27" i="12"/>
  <c r="C26" i="12"/>
  <c r="C19" i="12"/>
  <c r="C18" i="12"/>
  <c r="C13" i="12"/>
  <c r="C11" i="12"/>
  <c r="C8" i="12"/>
  <c r="C71" i="12"/>
  <c r="C70" i="12"/>
  <c r="C63" i="12"/>
  <c r="C62" i="12"/>
  <c r="C55" i="12"/>
  <c r="C54" i="12"/>
  <c r="C47" i="12"/>
  <c r="C46" i="12"/>
  <c r="C39" i="12"/>
  <c r="C38" i="12"/>
  <c r="C31" i="12"/>
  <c r="C30" i="12"/>
  <c r="C23" i="12"/>
  <c r="C22" i="12"/>
  <c r="C12" i="12"/>
  <c r="C10" i="12"/>
  <c r="C6" i="12"/>
  <c r="C7" i="12"/>
  <c r="C5" i="12"/>
  <c r="C4" i="12"/>
  <c r="C9" i="12"/>
  <c r="D3" i="12"/>
  <c r="C14" i="12"/>
  <c r="C3" i="12"/>
  <c r="B11" i="12"/>
  <c r="B34" i="12"/>
  <c r="B6" i="12"/>
  <c r="B74" i="12"/>
  <c r="B27" i="12"/>
  <c r="B43" i="12"/>
  <c r="B59" i="12"/>
  <c r="B40" i="12"/>
  <c r="B52" i="12"/>
  <c r="B20" i="12"/>
  <c r="B12" i="12"/>
  <c r="B61" i="12"/>
  <c r="B17" i="12"/>
  <c r="B37" i="12"/>
  <c r="B69" i="12"/>
  <c r="B29" i="12"/>
  <c r="B50" i="12"/>
  <c r="B25" i="12"/>
  <c r="B57" i="12"/>
  <c r="B14" i="12"/>
  <c r="B31" i="12"/>
  <c r="B5" i="12"/>
  <c r="B15" i="12"/>
  <c r="B38" i="12"/>
  <c r="B66" i="12"/>
  <c r="B35" i="12"/>
  <c r="B56" i="12"/>
  <c r="B24" i="12"/>
  <c r="B68" i="12"/>
  <c r="B45" i="12"/>
  <c r="B77" i="12"/>
  <c r="B49" i="12"/>
  <c r="B21" i="12"/>
  <c r="B53" i="12"/>
  <c r="B8" i="12"/>
  <c r="B18" i="12"/>
  <c r="B3" i="12"/>
  <c r="B41" i="12"/>
  <c r="B73" i="12"/>
  <c r="B23" i="12"/>
  <c r="B39" i="12"/>
  <c r="B55" i="12"/>
  <c r="B71" i="12"/>
  <c r="G16" i="29" l="1"/>
  <c r="J16" i="29" s="1"/>
  <c r="H16" i="29"/>
  <c r="D18" i="29"/>
  <c r="C19" i="29"/>
  <c r="F17" i="29"/>
  <c r="I17" i="29" s="1"/>
  <c r="E17" i="29"/>
  <c r="K17" i="2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3" i="9"/>
  <c r="G17" i="29" l="1"/>
  <c r="J17" i="29" s="1"/>
  <c r="H17" i="29"/>
  <c r="D19" i="29"/>
  <c r="C20" i="29"/>
  <c r="E18" i="29"/>
  <c r="F18" i="29"/>
  <c r="I18" i="29" s="1"/>
  <c r="K18" i="29"/>
  <c r="AB77" i="9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AB40" i="9"/>
  <c r="AB39" i="9"/>
  <c r="AB38" i="9"/>
  <c r="AB37" i="9"/>
  <c r="AB36" i="9"/>
  <c r="AB35" i="9"/>
  <c r="AB34" i="9"/>
  <c r="AB33" i="9"/>
  <c r="AB32" i="9"/>
  <c r="AB31" i="9"/>
  <c r="AB30" i="9"/>
  <c r="AB29" i="9"/>
  <c r="AB28" i="9"/>
  <c r="AB27" i="9"/>
  <c r="AB26" i="9"/>
  <c r="AB25" i="9"/>
  <c r="AB24" i="9"/>
  <c r="AB23" i="9"/>
  <c r="AB22" i="9"/>
  <c r="AB21" i="9"/>
  <c r="AB20" i="9"/>
  <c r="AB19" i="9"/>
  <c r="AB18" i="9"/>
  <c r="AB17" i="9"/>
  <c r="AB16" i="9"/>
  <c r="AB15" i="9"/>
  <c r="AB14" i="9"/>
  <c r="AB13" i="9"/>
  <c r="AB12" i="9"/>
  <c r="AB11" i="9"/>
  <c r="AB10" i="9"/>
  <c r="AB9" i="9"/>
  <c r="AB8" i="9"/>
  <c r="AB7" i="9"/>
  <c r="AB6" i="9"/>
  <c r="AB5" i="9"/>
  <c r="AB4" i="9"/>
  <c r="AB3" i="9"/>
  <c r="AI1" i="9"/>
  <c r="AH1" i="9"/>
  <c r="Q9" i="6"/>
  <c r="P9" i="6"/>
  <c r="O9" i="6"/>
  <c r="Q6" i="6"/>
  <c r="P6" i="6"/>
  <c r="O6" i="6"/>
  <c r="Q4" i="6"/>
  <c r="P4" i="6"/>
  <c r="O4" i="6"/>
  <c r="Q3" i="6"/>
  <c r="P3" i="6"/>
  <c r="O3" i="6"/>
  <c r="Q2" i="6"/>
  <c r="P2" i="6"/>
  <c r="O2" i="6"/>
  <c r="H2" i="6"/>
  <c r="G18" i="29" l="1"/>
  <c r="J18" i="29" s="1"/>
  <c r="H18" i="29"/>
  <c r="D20" i="29"/>
  <c r="C21" i="29"/>
  <c r="E19" i="29"/>
  <c r="F19" i="29"/>
  <c r="I19" i="29" s="1"/>
  <c r="K19" i="29"/>
  <c r="O5" i="6"/>
  <c r="O8" i="6" s="1"/>
  <c r="O7" i="6"/>
  <c r="P5" i="6"/>
  <c r="P8" i="6" s="1"/>
  <c r="P7" i="6"/>
  <c r="AE10" i="9"/>
  <c r="AE5" i="9"/>
  <c r="AE9" i="9"/>
  <c r="AE13" i="9"/>
  <c r="AE17" i="9"/>
  <c r="AE21" i="9"/>
  <c r="AG21" i="9" s="1"/>
  <c r="AE25" i="9"/>
  <c r="AE29" i="9"/>
  <c r="AE33" i="9"/>
  <c r="AG33" i="9" s="1"/>
  <c r="AE37" i="9"/>
  <c r="AG37" i="9" s="1"/>
  <c r="AE41" i="9"/>
  <c r="AE45" i="9"/>
  <c r="AE49" i="9"/>
  <c r="AE53" i="9"/>
  <c r="AE57" i="9"/>
  <c r="AE61" i="9"/>
  <c r="AG61" i="9" s="1"/>
  <c r="AE65" i="9"/>
  <c r="AE69" i="9"/>
  <c r="AE73" i="9"/>
  <c r="AE77" i="9"/>
  <c r="AG77" i="9" s="1"/>
  <c r="AE6" i="9"/>
  <c r="AE14" i="9"/>
  <c r="AE18" i="9"/>
  <c r="AE22" i="9"/>
  <c r="AE26" i="9"/>
  <c r="AE30" i="9"/>
  <c r="AG30" i="9" s="1"/>
  <c r="AE34" i="9"/>
  <c r="AE38" i="9"/>
  <c r="AE42" i="9"/>
  <c r="AE46" i="9"/>
  <c r="AE50" i="9"/>
  <c r="AE54" i="9"/>
  <c r="AE58" i="9"/>
  <c r="AE62" i="9"/>
  <c r="AE66" i="9"/>
  <c r="AE70" i="9"/>
  <c r="AE74" i="9"/>
  <c r="AE7" i="9"/>
  <c r="AE11" i="9"/>
  <c r="AE15" i="9"/>
  <c r="AE19" i="9"/>
  <c r="AE23" i="9"/>
  <c r="AE27" i="9"/>
  <c r="AE31" i="9"/>
  <c r="AE35" i="9"/>
  <c r="AE39" i="9"/>
  <c r="AE43" i="9"/>
  <c r="AE47" i="9"/>
  <c r="AG47" i="9" s="1"/>
  <c r="AE51" i="9"/>
  <c r="AE55" i="9"/>
  <c r="AE59" i="9"/>
  <c r="AG59" i="9" s="1"/>
  <c r="AE63" i="9"/>
  <c r="AE67" i="9"/>
  <c r="AE71" i="9"/>
  <c r="AE75" i="9"/>
  <c r="AE4" i="9"/>
  <c r="AE8" i="9"/>
  <c r="AE12" i="9"/>
  <c r="AE16" i="9"/>
  <c r="AE20" i="9"/>
  <c r="AE24" i="9"/>
  <c r="AE28" i="9"/>
  <c r="AE32" i="9"/>
  <c r="AE36" i="9"/>
  <c r="AE40" i="9"/>
  <c r="AE44" i="9"/>
  <c r="AE48" i="9"/>
  <c r="AE52" i="9"/>
  <c r="AE56" i="9"/>
  <c r="AE60" i="9"/>
  <c r="AE64" i="9"/>
  <c r="AE68" i="9"/>
  <c r="AE72" i="9"/>
  <c r="AG72" i="9" s="1"/>
  <c r="AE76" i="9"/>
  <c r="AE3" i="9"/>
  <c r="AG3" i="9" s="1"/>
  <c r="Q7" i="6"/>
  <c r="G3" i="6"/>
  <c r="I2" i="6"/>
  <c r="F2" i="6"/>
  <c r="Q5" i="6"/>
  <c r="Q8" i="6" s="1"/>
  <c r="G19" i="29" l="1"/>
  <c r="J19" i="29" s="1"/>
  <c r="H19" i="29"/>
  <c r="D21" i="29"/>
  <c r="C22" i="29"/>
  <c r="F20" i="29"/>
  <c r="I20" i="29" s="1"/>
  <c r="E20" i="29"/>
  <c r="K20" i="29"/>
  <c r="AG5" i="9"/>
  <c r="D5" i="9" s="1"/>
  <c r="AG60" i="9"/>
  <c r="D60" i="9" s="1"/>
  <c r="AG44" i="9"/>
  <c r="D44" i="9" s="1"/>
  <c r="AG28" i="9"/>
  <c r="D28" i="9" s="1"/>
  <c r="AG74" i="9"/>
  <c r="D74" i="9" s="1"/>
  <c r="AG50" i="9"/>
  <c r="D50" i="9" s="1"/>
  <c r="AG22" i="9"/>
  <c r="D22" i="9" s="1"/>
  <c r="AG65" i="9"/>
  <c r="D65" i="9" s="1"/>
  <c r="AG49" i="9"/>
  <c r="D49" i="9" s="1"/>
  <c r="AG42" i="9"/>
  <c r="D42" i="9" s="1"/>
  <c r="AG31" i="9"/>
  <c r="D31" i="9" s="1"/>
  <c r="AG27" i="9"/>
  <c r="D27" i="9" s="1"/>
  <c r="AG23" i="9"/>
  <c r="D23" i="9" s="1"/>
  <c r="AG76" i="9"/>
  <c r="D76" i="9" s="1"/>
  <c r="AG56" i="9"/>
  <c r="D56" i="9" s="1"/>
  <c r="AG40" i="9"/>
  <c r="D40" i="9" s="1"/>
  <c r="AG24" i="9"/>
  <c r="D24" i="9" s="1"/>
  <c r="AG70" i="9"/>
  <c r="D70" i="9" s="1"/>
  <c r="AG38" i="9"/>
  <c r="D38" i="9" s="1"/>
  <c r="AG45" i="9"/>
  <c r="D45" i="9" s="1"/>
  <c r="AG29" i="9"/>
  <c r="D29" i="9" s="1"/>
  <c r="AG66" i="9"/>
  <c r="D66" i="9" s="1"/>
  <c r="AG34" i="9"/>
  <c r="D34" i="9" s="1"/>
  <c r="AG75" i="9"/>
  <c r="D75" i="9" s="1"/>
  <c r="AG71" i="9"/>
  <c r="D71" i="9" s="1"/>
  <c r="AG67" i="9"/>
  <c r="D67" i="9" s="1"/>
  <c r="AG68" i="9"/>
  <c r="D68" i="9" s="1"/>
  <c r="AG52" i="9"/>
  <c r="D52" i="9" s="1"/>
  <c r="AG36" i="9"/>
  <c r="D36" i="9" s="1"/>
  <c r="AG20" i="9"/>
  <c r="D20" i="9" s="1"/>
  <c r="AG62" i="9"/>
  <c r="D62" i="9" s="1"/>
  <c r="AG73" i="9"/>
  <c r="D73" i="9" s="1"/>
  <c r="AG57" i="9"/>
  <c r="D57" i="9" s="1"/>
  <c r="AG41" i="9"/>
  <c r="D41" i="9" s="1"/>
  <c r="AG25" i="9"/>
  <c r="D25" i="9" s="1"/>
  <c r="AG54" i="9"/>
  <c r="D54" i="9" s="1"/>
  <c r="AG63" i="9"/>
  <c r="D63" i="9" s="1"/>
  <c r="AG55" i="9"/>
  <c r="D55" i="9" s="1"/>
  <c r="AG51" i="9"/>
  <c r="D51" i="9" s="1"/>
  <c r="AG64" i="9"/>
  <c r="D64" i="9" s="1"/>
  <c r="AG48" i="9"/>
  <c r="D48" i="9" s="1"/>
  <c r="AG32" i="9"/>
  <c r="D32" i="9" s="1"/>
  <c r="AG4" i="9"/>
  <c r="D4" i="9" s="1"/>
  <c r="AG58" i="9"/>
  <c r="D58" i="9" s="1"/>
  <c r="AG26" i="9"/>
  <c r="D26" i="9" s="1"/>
  <c r="AG69" i="9"/>
  <c r="D69" i="9" s="1"/>
  <c r="AG53" i="9"/>
  <c r="D53" i="9" s="1"/>
  <c r="AG46" i="9"/>
  <c r="D46" i="9" s="1"/>
  <c r="AG43" i="9"/>
  <c r="AG39" i="9"/>
  <c r="D39" i="9" s="1"/>
  <c r="AG35" i="9"/>
  <c r="D35" i="9" s="1"/>
  <c r="D61" i="9"/>
  <c r="D72" i="9"/>
  <c r="D30" i="9"/>
  <c r="D37" i="9"/>
  <c r="D21" i="9"/>
  <c r="D47" i="9"/>
  <c r="D59" i="9"/>
  <c r="D33" i="9"/>
  <c r="D77" i="9"/>
  <c r="H3" i="6"/>
  <c r="F3" i="6" s="1"/>
  <c r="J2" i="6"/>
  <c r="D22" i="29" l="1"/>
  <c r="C23" i="29"/>
  <c r="F21" i="29"/>
  <c r="I21" i="29" s="1"/>
  <c r="E21" i="29"/>
  <c r="K21" i="29"/>
  <c r="G20" i="29"/>
  <c r="J20" i="29" s="1"/>
  <c r="H20" i="29"/>
  <c r="D43" i="9"/>
  <c r="D3" i="9"/>
  <c r="AG6" i="9"/>
  <c r="AG7" i="9"/>
  <c r="AG10" i="9"/>
  <c r="AG11" i="9"/>
  <c r="I3" i="6"/>
  <c r="G4" i="6"/>
  <c r="G21" i="29" l="1"/>
  <c r="J21" i="29" s="1"/>
  <c r="H21" i="29"/>
  <c r="D23" i="29"/>
  <c r="C24" i="29"/>
  <c r="E22" i="29"/>
  <c r="F22" i="29"/>
  <c r="I22" i="29" s="1"/>
  <c r="K22" i="29"/>
  <c r="AG8" i="9"/>
  <c r="D6" i="9"/>
  <c r="AG14" i="9"/>
  <c r="AG16" i="9"/>
  <c r="H4" i="6"/>
  <c r="F4" i="6" s="1"/>
  <c r="J3" i="6"/>
  <c r="E23" i="29" l="1"/>
  <c r="F23" i="29"/>
  <c r="I23" i="29" s="1"/>
  <c r="K23" i="29"/>
  <c r="G22" i="29"/>
  <c r="J22" i="29" s="1"/>
  <c r="H22" i="29"/>
  <c r="D24" i="29"/>
  <c r="C25" i="29"/>
  <c r="D8" i="9"/>
  <c r="AG12" i="9"/>
  <c r="AG13" i="9"/>
  <c r="AG9" i="9"/>
  <c r="D7" i="9"/>
  <c r="D10" i="9"/>
  <c r="D11" i="9"/>
  <c r="G5" i="6"/>
  <c r="I4" i="6"/>
  <c r="G23" i="29" l="1"/>
  <c r="J23" i="29" s="1"/>
  <c r="H23" i="29"/>
  <c r="D25" i="29"/>
  <c r="C26" i="29"/>
  <c r="E24" i="29"/>
  <c r="F24" i="29"/>
  <c r="I24" i="29" s="1"/>
  <c r="K24" i="29"/>
  <c r="AG15" i="9"/>
  <c r="D9" i="9"/>
  <c r="D13" i="9"/>
  <c r="D12" i="9"/>
  <c r="D14" i="9"/>
  <c r="D16" i="9"/>
  <c r="J4" i="6"/>
  <c r="H5" i="6"/>
  <c r="F5" i="6" s="1"/>
  <c r="D26" i="29" l="1"/>
  <c r="C27" i="29"/>
  <c r="G24" i="29"/>
  <c r="J24" i="29" s="1"/>
  <c r="H24" i="29"/>
  <c r="F25" i="29"/>
  <c r="I25" i="29" s="1"/>
  <c r="E25" i="29"/>
  <c r="K25" i="29"/>
  <c r="AG18" i="9"/>
  <c r="D15" i="9"/>
  <c r="G6" i="6"/>
  <c r="I5" i="6"/>
  <c r="G25" i="29" l="1"/>
  <c r="J25" i="29" s="1"/>
  <c r="H25" i="29"/>
  <c r="C28" i="29"/>
  <c r="D27" i="29"/>
  <c r="E26" i="29"/>
  <c r="F26" i="29"/>
  <c r="I26" i="29" s="1"/>
  <c r="K26" i="29"/>
  <c r="AG17" i="9"/>
  <c r="AG19" i="9"/>
  <c r="H6" i="6"/>
  <c r="J5" i="6"/>
  <c r="E27" i="29" l="1"/>
  <c r="F27" i="29"/>
  <c r="I27" i="29" s="1"/>
  <c r="K27" i="29"/>
  <c r="G26" i="29"/>
  <c r="J26" i="29" s="1"/>
  <c r="H26" i="29"/>
  <c r="D28" i="29"/>
  <c r="C29" i="29"/>
  <c r="B67" i="9"/>
  <c r="B30" i="9"/>
  <c r="B3" i="9"/>
  <c r="C3" i="9"/>
  <c r="C35" i="9"/>
  <c r="C67" i="9"/>
  <c r="C58" i="9"/>
  <c r="C73" i="9"/>
  <c r="C29" i="9"/>
  <c r="C60" i="9"/>
  <c r="C32" i="9"/>
  <c r="C30" i="9"/>
  <c r="C61" i="9"/>
  <c r="C17" i="9"/>
  <c r="C64" i="9"/>
  <c r="C68" i="9"/>
  <c r="C24" i="9"/>
  <c r="C59" i="9"/>
  <c r="C15" i="9"/>
  <c r="C53" i="9"/>
  <c r="C26" i="9"/>
  <c r="C9" i="9"/>
  <c r="C33" i="9"/>
  <c r="C57" i="9"/>
  <c r="C54" i="9"/>
  <c r="C4" i="9"/>
  <c r="C43" i="9"/>
  <c r="C14" i="9"/>
  <c r="C36" i="9"/>
  <c r="C39" i="9"/>
  <c r="C70" i="9"/>
  <c r="C23" i="9"/>
  <c r="C65" i="9"/>
  <c r="C41" i="9"/>
  <c r="C49" i="9"/>
  <c r="C19" i="9"/>
  <c r="C37" i="9"/>
  <c r="C72" i="9"/>
  <c r="C21" i="9"/>
  <c r="C48" i="9"/>
  <c r="C31" i="9"/>
  <c r="C55" i="9"/>
  <c r="C16" i="9"/>
  <c r="C25" i="9"/>
  <c r="C74" i="9"/>
  <c r="C11" i="9"/>
  <c r="C51" i="9"/>
  <c r="C47" i="9"/>
  <c r="C69" i="9"/>
  <c r="C77" i="9"/>
  <c r="C50" i="9"/>
  <c r="C13" i="9"/>
  <c r="C62" i="9"/>
  <c r="C52" i="9"/>
  <c r="C42" i="9"/>
  <c r="C5" i="9"/>
  <c r="C38" i="9"/>
  <c r="C28" i="9"/>
  <c r="C66" i="9"/>
  <c r="C40" i="9"/>
  <c r="C7" i="9"/>
  <c r="C71" i="9"/>
  <c r="C56" i="9"/>
  <c r="C45" i="9"/>
  <c r="C6" i="9"/>
  <c r="C44" i="9"/>
  <c r="C18" i="9"/>
  <c r="C8" i="9"/>
  <c r="C46" i="9"/>
  <c r="C20" i="9"/>
  <c r="C10" i="9"/>
  <c r="C63" i="9"/>
  <c r="C22" i="9"/>
  <c r="C75" i="9"/>
  <c r="C34" i="9"/>
  <c r="C27" i="9"/>
  <c r="C12" i="9"/>
  <c r="C76" i="9"/>
  <c r="B51" i="9"/>
  <c r="B58" i="9"/>
  <c r="B16" i="9"/>
  <c r="B33" i="9"/>
  <c r="B25" i="9"/>
  <c r="B24" i="9"/>
  <c r="B55" i="9"/>
  <c r="B17" i="9"/>
  <c r="B34" i="9"/>
  <c r="B31" i="9"/>
  <c r="B57" i="9"/>
  <c r="B18" i="9"/>
  <c r="B48" i="9"/>
  <c r="B29" i="9"/>
  <c r="B22" i="9"/>
  <c r="B68" i="9"/>
  <c r="B41" i="9"/>
  <c r="B77" i="9"/>
  <c r="B7" i="9"/>
  <c r="B8" i="9"/>
  <c r="B49" i="9"/>
  <c r="B36" i="9"/>
  <c r="B26" i="9"/>
  <c r="B21" i="9"/>
  <c r="B64" i="9"/>
  <c r="B28" i="9"/>
  <c r="B37" i="9"/>
  <c r="B10" i="9"/>
  <c r="B70" i="9"/>
  <c r="B53" i="9"/>
  <c r="B61" i="9"/>
  <c r="B23" i="9"/>
  <c r="B20" i="9"/>
  <c r="B44" i="9"/>
  <c r="B62" i="9"/>
  <c r="B69" i="9"/>
  <c r="B15" i="9"/>
  <c r="B74" i="9"/>
  <c r="B60" i="9"/>
  <c r="B5" i="9"/>
  <c r="B9" i="9"/>
  <c r="B39" i="9"/>
  <c r="B42" i="9"/>
  <c r="B75" i="9"/>
  <c r="B47" i="9"/>
  <c r="B50" i="9"/>
  <c r="B72" i="9"/>
  <c r="B71" i="9"/>
  <c r="B40" i="9"/>
  <c r="B13" i="9"/>
  <c r="D19" i="9"/>
  <c r="B76" i="9"/>
  <c r="B14" i="9"/>
  <c r="B32" i="9"/>
  <c r="B6" i="9"/>
  <c r="B38" i="9"/>
  <c r="B56" i="9"/>
  <c r="B45" i="9"/>
  <c r="B11" i="9"/>
  <c r="B52" i="9"/>
  <c r="B43" i="9"/>
  <c r="B46" i="9"/>
  <c r="B73" i="9"/>
  <c r="B54" i="9"/>
  <c r="B4" i="9"/>
  <c r="B66" i="9"/>
  <c r="B27" i="9"/>
  <c r="B65" i="9"/>
  <c r="B59" i="9"/>
  <c r="D17" i="9"/>
  <c r="B63" i="9"/>
  <c r="B35" i="9"/>
  <c r="B19" i="9"/>
  <c r="B12" i="9"/>
  <c r="D18" i="9"/>
  <c r="G7" i="6"/>
  <c r="I6" i="6"/>
  <c r="F6" i="6"/>
  <c r="D29" i="29" l="1"/>
  <c r="C30" i="29"/>
  <c r="D30" i="29" s="1"/>
  <c r="F28" i="29"/>
  <c r="I28" i="29" s="1"/>
  <c r="E28" i="29"/>
  <c r="K28" i="29"/>
  <c r="G27" i="29"/>
  <c r="J27" i="29" s="1"/>
  <c r="H27" i="29"/>
  <c r="P9" i="9"/>
  <c r="A20" i="11"/>
  <c r="A44" i="11"/>
  <c r="A28" i="11"/>
  <c r="A52" i="11"/>
  <c r="A11" i="11"/>
  <c r="A41" i="11"/>
  <c r="A39" i="11"/>
  <c r="A4" i="11"/>
  <c r="A9" i="11"/>
  <c r="A17" i="11"/>
  <c r="A12" i="11"/>
  <c r="A22" i="11"/>
  <c r="A46" i="11"/>
  <c r="A6" i="11"/>
  <c r="A7" i="11"/>
  <c r="A38" i="11"/>
  <c r="A31" i="11"/>
  <c r="A37" i="11"/>
  <c r="A36" i="11"/>
  <c r="A26" i="11"/>
  <c r="A24" i="11"/>
  <c r="A29" i="11"/>
  <c r="A35" i="11"/>
  <c r="A27" i="11"/>
  <c r="A8" i="11"/>
  <c r="A45" i="11"/>
  <c r="A40" i="11"/>
  <c r="A5" i="11"/>
  <c r="A13" i="11"/>
  <c r="A47" i="11"/>
  <c r="A25" i="11"/>
  <c r="A48" i="11"/>
  <c r="A19" i="11"/>
  <c r="A23" i="11"/>
  <c r="A14" i="11"/>
  <c r="A30" i="11"/>
  <c r="A34" i="11"/>
  <c r="A10" i="11"/>
  <c r="A18" i="11"/>
  <c r="A42" i="11"/>
  <c r="A50" i="11"/>
  <c r="A51" i="11"/>
  <c r="A16" i="11"/>
  <c r="A21" i="11"/>
  <c r="A49" i="11"/>
  <c r="A43" i="11"/>
  <c r="A33" i="11"/>
  <c r="A15" i="11"/>
  <c r="A32" i="11"/>
  <c r="A3" i="11"/>
  <c r="L20" i="11"/>
  <c r="M9" i="11"/>
  <c r="L21" i="11"/>
  <c r="P2" i="9"/>
  <c r="O2" i="9"/>
  <c r="Q2" i="9"/>
  <c r="P4" i="9"/>
  <c r="P6" i="9"/>
  <c r="P3" i="9"/>
  <c r="Q6" i="9"/>
  <c r="Q4" i="9"/>
  <c r="Q3" i="9"/>
  <c r="Q9" i="9"/>
  <c r="O6" i="9"/>
  <c r="O9" i="9"/>
  <c r="O4" i="9"/>
  <c r="O3" i="9"/>
  <c r="J6" i="6"/>
  <c r="H7" i="6"/>
  <c r="F7" i="6" s="1"/>
  <c r="G28" i="29" l="1"/>
  <c r="J28" i="29" s="1"/>
  <c r="H28" i="29"/>
  <c r="E30" i="29"/>
  <c r="F30" i="29"/>
  <c r="I30" i="29" s="1"/>
  <c r="K30" i="29"/>
  <c r="F29" i="29"/>
  <c r="I29" i="29" s="1"/>
  <c r="E29" i="29"/>
  <c r="K29" i="29"/>
  <c r="D8" i="11"/>
  <c r="D16" i="11"/>
  <c r="D24" i="11"/>
  <c r="D32" i="11"/>
  <c r="D40" i="11"/>
  <c r="D48" i="11"/>
  <c r="D50" i="11"/>
  <c r="D43" i="11"/>
  <c r="E43" i="11" s="1"/>
  <c r="D20" i="11"/>
  <c r="D52" i="11"/>
  <c r="D15" i="11"/>
  <c r="D39" i="11"/>
  <c r="D9" i="11"/>
  <c r="D17" i="11"/>
  <c r="D25" i="11"/>
  <c r="D33" i="11"/>
  <c r="E33" i="11" s="1"/>
  <c r="D41" i="11"/>
  <c r="D49" i="11"/>
  <c r="D18" i="11"/>
  <c r="D26" i="11"/>
  <c r="D34" i="11"/>
  <c r="D42" i="11"/>
  <c r="D19" i="11"/>
  <c r="D35" i="11"/>
  <c r="E35" i="11" s="1"/>
  <c r="D4" i="11"/>
  <c r="D12" i="11"/>
  <c r="D28" i="11"/>
  <c r="D36" i="11"/>
  <c r="D44" i="11"/>
  <c r="D31" i="11"/>
  <c r="D47" i="11"/>
  <c r="D10" i="11"/>
  <c r="E10" i="11" s="1"/>
  <c r="D11" i="11"/>
  <c r="D27" i="11"/>
  <c r="D51" i="11"/>
  <c r="D23" i="11"/>
  <c r="D7" i="11"/>
  <c r="D5" i="11"/>
  <c r="D13" i="11"/>
  <c r="D21" i="11"/>
  <c r="D29" i="11"/>
  <c r="D37" i="11"/>
  <c r="D45" i="11"/>
  <c r="D3" i="11"/>
  <c r="E3" i="11" s="1"/>
  <c r="D6" i="11"/>
  <c r="D14" i="11"/>
  <c r="D22" i="11"/>
  <c r="D30" i="11"/>
  <c r="E30" i="11" s="1"/>
  <c r="D38" i="11"/>
  <c r="D46" i="11"/>
  <c r="T4" i="9"/>
  <c r="T9" i="9"/>
  <c r="E51" i="11"/>
  <c r="E17" i="11"/>
  <c r="E5" i="11"/>
  <c r="E48" i="11"/>
  <c r="E32" i="11"/>
  <c r="E14" i="11"/>
  <c r="E49" i="11"/>
  <c r="E38" i="11"/>
  <c r="E22" i="11"/>
  <c r="E12" i="11"/>
  <c r="E29" i="11"/>
  <c r="E11" i="11"/>
  <c r="E47" i="11"/>
  <c r="E31" i="11"/>
  <c r="E13" i="11"/>
  <c r="E37" i="11"/>
  <c r="E44" i="11"/>
  <c r="E28" i="11"/>
  <c r="E50" i="11"/>
  <c r="E34" i="11"/>
  <c r="E21" i="11"/>
  <c r="E4" i="11"/>
  <c r="E25" i="11"/>
  <c r="E27" i="11"/>
  <c r="E7" i="11"/>
  <c r="E40" i="11"/>
  <c r="E24" i="11"/>
  <c r="E9" i="11"/>
  <c r="E46" i="11"/>
  <c r="E20" i="11"/>
  <c r="E45" i="11"/>
  <c r="E15" i="11"/>
  <c r="E39" i="11"/>
  <c r="E23" i="11"/>
  <c r="E6" i="11"/>
  <c r="E52" i="11"/>
  <c r="E36" i="11"/>
  <c r="E18" i="11"/>
  <c r="E8" i="11"/>
  <c r="E42" i="11"/>
  <c r="E26" i="11"/>
  <c r="E16" i="11"/>
  <c r="E41" i="11"/>
  <c r="E19" i="11"/>
  <c r="T6" i="9"/>
  <c r="T3" i="9"/>
  <c r="U4" i="9"/>
  <c r="T2" i="9"/>
  <c r="U9" i="9"/>
  <c r="U3" i="9"/>
  <c r="U6" i="9"/>
  <c r="U2" i="9"/>
  <c r="Q7" i="9"/>
  <c r="Q5" i="9"/>
  <c r="Q8" i="9" s="1"/>
  <c r="P5" i="9"/>
  <c r="P7" i="9"/>
  <c r="O5" i="9"/>
  <c r="O8" i="9" s="1"/>
  <c r="O7" i="9"/>
  <c r="G8" i="6"/>
  <c r="I7" i="6"/>
  <c r="G29" i="29" l="1"/>
  <c r="J29" i="29" s="1"/>
  <c r="H29" i="29"/>
  <c r="G30" i="29"/>
  <c r="J30" i="29" s="1"/>
  <c r="H30" i="29"/>
  <c r="M8" i="11"/>
  <c r="H2" i="11"/>
  <c r="N6" i="11" s="1"/>
  <c r="U7" i="9"/>
  <c r="T5" i="9"/>
  <c r="U5" i="9"/>
  <c r="T7" i="9"/>
  <c r="P8" i="9"/>
  <c r="U8" i="9" s="1"/>
  <c r="R5" i="9"/>
  <c r="S5" i="9" s="1"/>
  <c r="J7" i="6"/>
  <c r="H8" i="6"/>
  <c r="J2" i="11" l="1"/>
  <c r="M22" i="11"/>
  <c r="J53" i="11"/>
  <c r="T8" i="9"/>
  <c r="R3" i="9"/>
  <c r="S3" i="9" s="1"/>
  <c r="R4" i="9"/>
  <c r="G2" i="9" s="1"/>
  <c r="G9" i="6"/>
  <c r="I8" i="6"/>
  <c r="F8" i="6"/>
  <c r="H2" i="9" l="1"/>
  <c r="J8" i="6"/>
  <c r="H9" i="6"/>
  <c r="G3" i="9" l="1"/>
  <c r="I2" i="9"/>
  <c r="J2" i="9" s="1"/>
  <c r="F2" i="9"/>
  <c r="G10" i="6"/>
  <c r="I9" i="6"/>
  <c r="F9" i="6"/>
  <c r="H3" i="9" l="1"/>
  <c r="J9" i="6"/>
  <c r="H10" i="6"/>
  <c r="F10" i="6" s="1"/>
  <c r="I3" i="9" l="1"/>
  <c r="J3" i="9" s="1"/>
  <c r="G4" i="9"/>
  <c r="F3" i="9"/>
  <c r="G11" i="6"/>
  <c r="I10" i="6"/>
  <c r="H4" i="9" l="1"/>
  <c r="H11" i="6"/>
  <c r="F11" i="6" s="1"/>
  <c r="J10" i="6"/>
  <c r="I4" i="9" l="1"/>
  <c r="J4" i="9" s="1"/>
  <c r="G5" i="9"/>
  <c r="F4" i="9"/>
  <c r="G12" i="6"/>
  <c r="I11" i="6"/>
  <c r="H5" i="9" l="1"/>
  <c r="J11" i="6"/>
  <c r="H12" i="6"/>
  <c r="F12" i="6" s="1"/>
  <c r="I5" i="9" l="1"/>
  <c r="J5" i="9" s="1"/>
  <c r="G6" i="9"/>
  <c r="F5" i="9"/>
  <c r="G13" i="6"/>
  <c r="I12" i="6"/>
  <c r="H6" i="9" l="1"/>
  <c r="J12" i="6"/>
  <c r="H13" i="6"/>
  <c r="I6" i="9" l="1"/>
  <c r="J6" i="9" s="1"/>
  <c r="G7" i="9"/>
  <c r="F6" i="9"/>
  <c r="G14" i="6"/>
  <c r="I13" i="6"/>
  <c r="F13" i="6"/>
  <c r="H7" i="9" l="1"/>
  <c r="J13" i="6"/>
  <c r="H14" i="6"/>
  <c r="I14" i="6" s="1"/>
  <c r="F14" i="6" l="1"/>
  <c r="I7" i="9"/>
  <c r="J7" i="9" s="1"/>
  <c r="G8" i="9"/>
  <c r="F7" i="9"/>
  <c r="J14" i="6"/>
  <c r="H8" i="9" l="1"/>
  <c r="J15" i="6"/>
  <c r="I8" i="9" l="1"/>
  <c r="J8" i="9" s="1"/>
  <c r="G9" i="9"/>
  <c r="F8" i="9"/>
  <c r="L2" i="6"/>
  <c r="K2" i="6"/>
  <c r="L3" i="6"/>
  <c r="K3" i="6"/>
  <c r="L4" i="6"/>
  <c r="K4" i="6"/>
  <c r="L5" i="6"/>
  <c r="K5" i="6"/>
  <c r="L6" i="6"/>
  <c r="K6" i="6"/>
  <c r="L7" i="6"/>
  <c r="K7" i="6"/>
  <c r="L8" i="6"/>
  <c r="K8" i="6"/>
  <c r="L9" i="6"/>
  <c r="K9" i="6"/>
  <c r="L10" i="6"/>
  <c r="K10" i="6"/>
  <c r="L11" i="6"/>
  <c r="K11" i="6"/>
  <c r="L12" i="6"/>
  <c r="K12" i="6"/>
  <c r="L13" i="6"/>
  <c r="L14" i="6"/>
  <c r="K13" i="6"/>
  <c r="K14" i="6"/>
  <c r="H9" i="9" l="1"/>
  <c r="K15" i="6"/>
  <c r="I9" i="9" l="1"/>
  <c r="J9" i="9" s="1"/>
  <c r="G10" i="9"/>
  <c r="F9" i="9"/>
  <c r="H10" i="9" l="1"/>
  <c r="I10" i="9" l="1"/>
  <c r="J10" i="9" s="1"/>
  <c r="G11" i="9"/>
  <c r="F10" i="9"/>
  <c r="H11" i="9" l="1"/>
  <c r="I11" i="9" l="1"/>
  <c r="J11" i="9" s="1"/>
  <c r="G12" i="9"/>
  <c r="F11" i="9"/>
  <c r="H12" i="9" l="1"/>
  <c r="I12" i="9" l="1"/>
  <c r="J12" i="9" s="1"/>
  <c r="G13" i="9"/>
  <c r="F12" i="9"/>
  <c r="H13" i="9" l="1"/>
  <c r="I13" i="9" l="1"/>
  <c r="J13" i="9" s="1"/>
  <c r="G14" i="9"/>
  <c r="F13" i="9"/>
  <c r="H14" i="9" l="1"/>
  <c r="I14" i="9" s="1"/>
  <c r="F14" i="9" l="1"/>
  <c r="J14" i="9"/>
  <c r="J15" i="9" l="1"/>
  <c r="K2" i="9" l="1"/>
  <c r="K6" i="9"/>
  <c r="K10" i="9"/>
  <c r="L4" i="9"/>
  <c r="L8" i="9"/>
  <c r="L12" i="9"/>
  <c r="K3" i="9"/>
  <c r="K7" i="9"/>
  <c r="K11" i="9"/>
  <c r="L5" i="9"/>
  <c r="L9" i="9"/>
  <c r="K12" i="9"/>
  <c r="K4" i="9"/>
  <c r="K8" i="9"/>
  <c r="L6" i="9"/>
  <c r="L10" i="9"/>
  <c r="K13" i="9"/>
  <c r="K5" i="9"/>
  <c r="K9" i="9"/>
  <c r="L3" i="9"/>
  <c r="L7" i="9"/>
  <c r="L11" i="9"/>
  <c r="L2" i="9"/>
  <c r="L13" i="9"/>
  <c r="L14" i="9"/>
  <c r="K14" i="9"/>
  <c r="K15" i="9" l="1"/>
</calcChain>
</file>

<file path=xl/sharedStrings.xml><?xml version="1.0" encoding="utf-8"?>
<sst xmlns="http://schemas.openxmlformats.org/spreadsheetml/2006/main" count="287" uniqueCount="167">
  <si>
    <t>At</t>
  </si>
  <si>
    <t>Per.</t>
  </si>
  <si>
    <t>Office 1</t>
  </si>
  <si>
    <t>Office 2</t>
  </si>
  <si>
    <t>Office 3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</si>
  <si>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</si>
  <si>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</si>
  <si>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</si>
  <si>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</si>
  <si>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</si>
  <si>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</si>
  <si>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</si>
  <si>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</si>
  <si>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</si>
  <si>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</si>
  <si>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</si>
  <si>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</si>
  <si>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Rg/Mean</t>
  </si>
  <si>
    <t>Skew</t>
  </si>
  <si>
    <t>These data were generated using the procedure in columns AB to AI</t>
  </si>
  <si>
    <t>Do Not Write on these four columns A-D</t>
  </si>
  <si>
    <t>Trend</t>
  </si>
  <si>
    <t>Seas</t>
  </si>
  <si>
    <t>T&amp;RanS</t>
  </si>
  <si>
    <t>Trend&amp;Seas</t>
  </si>
  <si>
    <t>=RANDBETWEEN(INT((ROWS($AC$3:AC15)/($AA$2)))*$AA$2,(INT((ROWS($AC$3:AC15)/($AA$2))+1)*$AA$2-1))</t>
  </si>
  <si>
    <t>TrendForSEason</t>
  </si>
  <si>
    <t xml:space="preserve">No Trend </t>
  </si>
  <si>
    <t>Day</t>
  </si>
  <si>
    <t>Yhat (Reg)</t>
  </si>
  <si>
    <t>SE</t>
  </si>
  <si>
    <t>SUMMARY OUTPUT</t>
  </si>
  <si>
    <t>Regression Statistics</t>
  </si>
  <si>
    <t>Correlation</t>
  </si>
  <si>
    <t>Multiple R</t>
  </si>
  <si>
    <t>Coefficient of Determination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</si>
  <si>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</si>
  <si>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</si>
  <si>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</si>
  <si>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</si>
  <si>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</si>
  <si>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</si>
  <si>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</si>
  <si>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</si>
  <si>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</si>
  <si>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</si>
  <si>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</si>
  <si>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</si>
  <si>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</si>
  <si>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</si>
  <si>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</si>
  <si>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</si>
  <si>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</si>
  <si>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</si>
  <si>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b0</t>
  </si>
  <si>
    <t>Intercept</t>
  </si>
  <si>
    <t>b1</t>
  </si>
  <si>
    <t>X Variable 1</t>
  </si>
  <si>
    <t>Rand-TR</t>
  </si>
  <si>
    <t>Generated using columns L to T</t>
  </si>
  <si>
    <t>Fixed Data</t>
  </si>
  <si>
    <t>ST</t>
  </si>
  <si>
    <t>Ybar</t>
  </si>
  <si>
    <t>SSE</t>
  </si>
  <si>
    <t>SST</t>
  </si>
  <si>
    <t>SSR</t>
  </si>
  <si>
    <t>Statistics</t>
  </si>
  <si>
    <t>Set 1</t>
  </si>
  <si>
    <t>Set 2</t>
  </si>
  <si>
    <t>Set 3</t>
  </si>
  <si>
    <t>Range/Mean</t>
  </si>
  <si>
    <t>What are the standard deviation of forecast?</t>
  </si>
  <si>
    <t>What are your forecasts for period 51?</t>
  </si>
  <si>
    <t>Compute the coefficient of determination.</t>
  </si>
  <si>
    <t>Use excel function to replace as much as of the fixed statistics by dynamic statistics.</t>
  </si>
  <si>
    <t>Range/Median</t>
  </si>
  <si>
    <t xml:space="preserve">Max </t>
  </si>
  <si>
    <t>Median</t>
  </si>
  <si>
    <t>Standard Deviation</t>
  </si>
  <si>
    <t>Average</t>
  </si>
  <si>
    <t>Upper 95.0%</t>
  </si>
  <si>
    <t>Lower 95.0%</t>
  </si>
  <si>
    <t>Standard Deviation of forecast</t>
  </si>
  <si>
    <t>Varriance of forecast</t>
  </si>
  <si>
    <t>What % of y is defined (explained) by x</t>
  </si>
  <si>
    <t>Correlation Coefficient</t>
  </si>
  <si>
    <t>F(51)</t>
  </si>
  <si>
    <t>do not devide by n but by n-2</t>
  </si>
  <si>
    <t xml:space="preserve">Here we have estimated two parameters, b0 and b1, therfore we </t>
  </si>
  <si>
    <t>In statistics, whenever we estimate a parameter we reduce the denominator of MSE by 1</t>
  </si>
  <si>
    <t>=SUM(E^2)/(n-2)</t>
  </si>
  <si>
    <t>SUM(E^2)</t>
  </si>
  <si>
    <r>
      <t>E</t>
    </r>
    <r>
      <rPr>
        <vertAlign val="superscript"/>
        <sz val="11"/>
        <color theme="1"/>
        <rFont val="Book Antiqua"/>
        <family val="1"/>
      </rPr>
      <t>2</t>
    </r>
  </si>
  <si>
    <t>E</t>
  </si>
  <si>
    <t>Ft</t>
  </si>
  <si>
    <t>t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</si>
  <si>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</si>
  <si>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</si>
  <si>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</si>
  <si>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</si>
  <si>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</si>
  <si>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</si>
  <si>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</si>
  <si>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</si>
  <si>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</si>
  <si>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</si>
  <si>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</si>
  <si>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</si>
  <si>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</si>
  <si>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</si>
  <si>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</si>
  <si>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</si>
  <si>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</si>
  <si>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</si>
  <si>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</si>
  <si>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</si>
  <si>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</si>
  <si>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</si>
  <si>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</si>
  <si>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TEUs</t>
  </si>
  <si>
    <t>Year (from 1)</t>
  </si>
  <si>
    <t>Year (Real)</t>
  </si>
  <si>
    <t>E-8 means 1/(10^8) = 1/100000000= 0.00000001</t>
  </si>
  <si>
    <t>E08 means 10^8 = 100000000</t>
  </si>
  <si>
    <t>Regression  Line</t>
  </si>
  <si>
    <t>We want is less that .05</t>
  </si>
  <si>
    <t>y=8552.043+396.762x</t>
  </si>
  <si>
    <t>R = +SQRT(0.77)= 0.88</t>
  </si>
  <si>
    <t>R=sign of b1´SQRT(RSQ)</t>
  </si>
  <si>
    <t>RSQ= 0.77</t>
  </si>
  <si>
    <t>Standard Error =1491.58</t>
  </si>
  <si>
    <t>TheNEXT period is pperiod 24</t>
  </si>
  <si>
    <t>The standard Deviation is</t>
  </si>
  <si>
    <t xml:space="preserve">The number of periods is 23, therefore, if we have started  from period 1, </t>
  </si>
  <si>
    <t>F24= 18074.3</t>
  </si>
  <si>
    <t>Standard Error Serves the same purpose as 1,25MAD and SQRT(MSE)</t>
  </si>
  <si>
    <t>Standard Error is the standard deviation of our forecast. The smaller the better</t>
  </si>
  <si>
    <t>With an average of</t>
  </si>
  <si>
    <t>To know if the line had + or - slope we look at X Varaible 1 or Multiple R</t>
  </si>
  <si>
    <t>has Normal Dis tribution</t>
  </si>
  <si>
    <t xml:space="preserve">Coefficient of Determination. The closer to 1 the better. </t>
  </si>
  <si>
    <t>The forcast for the next period</t>
  </si>
  <si>
    <t xml:space="preserve">Correlation Coefficient (-1 to +1). The colser to 1 or -1 the better. </t>
  </si>
  <si>
    <t>SUM/(n-2)</t>
  </si>
  <si>
    <t>R-Square</t>
  </si>
  <si>
    <t>SUM/(n-1)</t>
  </si>
  <si>
    <t>SUM/n</t>
  </si>
  <si>
    <t>SUM</t>
  </si>
  <si>
    <t>(A-Abar)^2</t>
  </si>
  <si>
    <t>(A-F)^2</t>
  </si>
  <si>
    <t>TS</t>
  </si>
  <si>
    <t>MAPE</t>
  </si>
  <si>
    <t>MSE</t>
  </si>
  <si>
    <t>MAD</t>
  </si>
  <si>
    <t>|E|/A IFE</t>
  </si>
  <si>
    <t>E2</t>
  </si>
  <si>
    <t>|E|</t>
  </si>
  <si>
    <t>E=At-Ft</t>
  </si>
  <si>
    <t>Ft=(1-α)Ft+αAt</t>
  </si>
  <si>
    <t>Draw the Tracking Signal  graph.</t>
  </si>
  <si>
    <t>Draw the Actual vs. Forcast graph.</t>
  </si>
  <si>
    <t>Compute MAD, MSE, MAPE, and TS for all periods.  Enter the values for period 50.</t>
  </si>
  <si>
    <t>LCL</t>
  </si>
  <si>
    <t>UCL</t>
  </si>
  <si>
    <t>Center</t>
  </si>
  <si>
    <t>Add</t>
  </si>
  <si>
    <t>Use the following data. Cpmute the forecast for the next period using alpha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</si>
</sst>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00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Book Antiqua"/>
      <family val="1"/>
    </font>
    <font>
      <sz val="12"/>
      <color theme="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rgb="FF00B050"/>
      <name val="Book Antiqua"/>
      <family val="1"/>
    </font>
    <font>
      <b/>
      <sz val="11"/>
      <color theme="0"/>
      <name val="Book Antiqua"/>
      <family val="1"/>
    </font>
    <font>
      <b/>
      <sz val="11"/>
      <color theme="7" tint="-0.499984740745262"/>
      <name val="Book Antiqua"/>
      <family val="1"/>
    </font>
    <font>
      <b/>
      <sz val="11"/>
      <color rgb="FFC00000"/>
      <name val="Book Antiqua"/>
      <family val="1"/>
    </font>
    <font>
      <i/>
      <sz val="11"/>
      <color theme="1"/>
      <name val="Book Antiqua"/>
      <family val="1"/>
    </font>
    <font>
      <vertAlign val="superscript"/>
      <sz val="11"/>
      <color theme="1"/>
      <name val="Book Antiqua"/>
      <family val="1"/>
    </font>
    <font>
      <sz val="11"/>
      <color rgb="FFC00000"/>
      <name val="Book Antiqua"/>
      <family val="1"/>
    </font>
    <font>
      <sz val="11"/>
      <name val="Book Antiqua"/>
      <family val="1"/>
    </font>
    <font>
      <i/>
      <sz val="1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rgb="FF00B050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5" fillId="0" borderId="0"/>
    <xf numFmtId="0" fontId="3" fillId="0" borderId="0"/>
  </cellStyleXfs>
  <cellXfs count="215">
    <xf numFmtId="0" fontId="0" fillId="0" borderId="0" xfId="0"/>
    <xf numFmtId="0" fontId="0" fillId="0" borderId="0" xfId="0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/>
    <xf numFmtId="0" fontId="6" fillId="0" borderId="0" xfId="2" applyFont="1" applyAlignment="1">
      <alignment horizontal="center"/>
    </xf>
    <xf numFmtId="0" fontId="5" fillId="0" borderId="2" xfId="2" applyBorder="1" applyAlignment="1">
      <alignment horizontal="center"/>
    </xf>
    <xf numFmtId="1" fontId="5" fillId="0" borderId="13" xfId="2" applyNumberFormat="1" applyFill="1" applyBorder="1" applyAlignment="1">
      <alignment horizontal="center"/>
    </xf>
    <xf numFmtId="1" fontId="5" fillId="0" borderId="13" xfId="2" applyNumberFormat="1" applyBorder="1" applyAlignment="1">
      <alignment horizontal="center"/>
    </xf>
    <xf numFmtId="1" fontId="5" fillId="0" borderId="8" xfId="2" applyNumberFormat="1" applyBorder="1" applyAlignment="1">
      <alignment horizontal="center"/>
    </xf>
    <xf numFmtId="2" fontId="5" fillId="0" borderId="13" xfId="2" applyNumberFormat="1" applyBorder="1" applyAlignment="1">
      <alignment horizontal="center"/>
    </xf>
    <xf numFmtId="2" fontId="5" fillId="0" borderId="3" xfId="2" applyNumberFormat="1" applyBorder="1" applyAlignment="1">
      <alignment horizontal="center"/>
    </xf>
    <xf numFmtId="0" fontId="7" fillId="4" borderId="2" xfId="2" applyFont="1" applyFill="1" applyBorder="1"/>
    <xf numFmtId="164" fontId="7" fillId="4" borderId="13" xfId="2" applyNumberFormat="1" applyFont="1" applyFill="1" applyBorder="1"/>
    <xf numFmtId="164" fontId="7" fillId="4" borderId="3" xfId="2" applyNumberFormat="1" applyFont="1" applyFill="1" applyBorder="1"/>
    <xf numFmtId="0" fontId="5" fillId="0" borderId="0" xfId="2" applyAlignment="1">
      <alignment horizontal="left"/>
    </xf>
    <xf numFmtId="1" fontId="5" fillId="0" borderId="2" xfId="2" applyNumberFormat="1" applyBorder="1"/>
    <xf numFmtId="1" fontId="5" fillId="0" borderId="13" xfId="2" applyNumberFormat="1" applyBorder="1"/>
    <xf numFmtId="1" fontId="5" fillId="0" borderId="3" xfId="2" applyNumberFormat="1" applyBorder="1"/>
    <xf numFmtId="0" fontId="5" fillId="0" borderId="4" xfId="2" applyBorder="1" applyAlignment="1">
      <alignment horizontal="center"/>
    </xf>
    <xf numFmtId="1" fontId="5" fillId="0" borderId="0" xfId="2" applyNumberFormat="1" applyBorder="1" applyAlignment="1">
      <alignment horizontal="center"/>
    </xf>
    <xf numFmtId="2" fontId="5" fillId="0" borderId="0" xfId="2" applyNumberFormat="1" applyBorder="1" applyAlignment="1">
      <alignment horizontal="center"/>
    </xf>
    <xf numFmtId="2" fontId="5" fillId="0" borderId="5" xfId="2" applyNumberFormat="1" applyBorder="1" applyAlignment="1">
      <alignment horizontal="center"/>
    </xf>
    <xf numFmtId="0" fontId="7" fillId="4" borderId="4" xfId="2" applyFont="1" applyFill="1" applyBorder="1"/>
    <xf numFmtId="164" fontId="7" fillId="4" borderId="0" xfId="2" applyNumberFormat="1" applyFont="1" applyFill="1" applyBorder="1"/>
    <xf numFmtId="164" fontId="7" fillId="4" borderId="5" xfId="2" applyNumberFormat="1" applyFont="1" applyFill="1" applyBorder="1"/>
    <xf numFmtId="1" fontId="5" fillId="0" borderId="4" xfId="2" applyNumberFormat="1" applyBorder="1"/>
    <xf numFmtId="1" fontId="5" fillId="0" borderId="0" xfId="2" applyNumberFormat="1" applyBorder="1"/>
    <xf numFmtId="1" fontId="5" fillId="0" borderId="5" xfId="2" applyNumberFormat="1" applyBorder="1"/>
    <xf numFmtId="0" fontId="7" fillId="4" borderId="6" xfId="2" applyFont="1" applyFill="1" applyBorder="1"/>
    <xf numFmtId="164" fontId="7" fillId="4" borderId="14" xfId="2" applyNumberFormat="1" applyFont="1" applyFill="1" applyBorder="1"/>
    <xf numFmtId="164" fontId="7" fillId="4" borderId="7" xfId="2" applyNumberFormat="1" applyFont="1" applyFill="1" applyBorder="1"/>
    <xf numFmtId="0" fontId="5" fillId="0" borderId="6" xfId="2" applyBorder="1" applyAlignment="1">
      <alignment horizontal="center"/>
    </xf>
    <xf numFmtId="1" fontId="5" fillId="0" borderId="14" xfId="2" applyNumberFormat="1" applyBorder="1" applyAlignment="1">
      <alignment horizontal="center"/>
    </xf>
    <xf numFmtId="1" fontId="5" fillId="0" borderId="1" xfId="2" applyNumberFormat="1" applyBorder="1" applyAlignment="1">
      <alignment horizontal="center"/>
    </xf>
    <xf numFmtId="2" fontId="5" fillId="0" borderId="14" xfId="2" applyNumberFormat="1" applyBorder="1" applyAlignment="1">
      <alignment horizontal="center"/>
    </xf>
    <xf numFmtId="2" fontId="5" fillId="0" borderId="7" xfId="2" applyNumberFormat="1" applyBorder="1" applyAlignment="1">
      <alignment horizontal="center"/>
    </xf>
    <xf numFmtId="0" fontId="5" fillId="0" borderId="0" xfId="2" applyAlignment="1">
      <alignment horizontal="center"/>
    </xf>
    <xf numFmtId="0" fontId="5" fillId="0" borderId="0" xfId="2" applyFont="1"/>
    <xf numFmtId="0" fontId="8" fillId="4" borderId="0" xfId="1" applyFont="1" applyFill="1"/>
    <xf numFmtId="0" fontId="3" fillId="4" borderId="0" xfId="1" applyFont="1" applyFill="1" applyAlignment="1">
      <alignment horizontal="right"/>
    </xf>
    <xf numFmtId="0" fontId="3" fillId="4" borderId="0" xfId="1" applyFill="1" applyAlignment="1">
      <alignment horizontal="left"/>
    </xf>
    <xf numFmtId="0" fontId="3" fillId="0" borderId="0" xfId="1"/>
    <xf numFmtId="0" fontId="3" fillId="0" borderId="0" xfId="1" applyFont="1"/>
    <xf numFmtId="0" fontId="4" fillId="0" borderId="0" xfId="1" applyFont="1"/>
    <xf numFmtId="0" fontId="3" fillId="5" borderId="0" xfId="1" applyFill="1"/>
    <xf numFmtId="0" fontId="3" fillId="5" borderId="0" xfId="1" applyFont="1" applyFill="1"/>
    <xf numFmtId="0" fontId="3" fillId="0" borderId="10" xfId="1" applyFont="1" applyBorder="1" applyAlignment="1">
      <alignment horizontal="left"/>
    </xf>
    <xf numFmtId="0" fontId="3" fillId="6" borderId="12" xfId="1" applyFont="1" applyFill="1" applyBorder="1" applyAlignment="1">
      <alignment horizontal="center"/>
    </xf>
    <xf numFmtId="0" fontId="5" fillId="0" borderId="0" xfId="3"/>
    <xf numFmtId="0" fontId="3" fillId="0" borderId="0" xfId="1" applyAlignment="1">
      <alignment horizontal="left"/>
    </xf>
    <xf numFmtId="0" fontId="3" fillId="3" borderId="0" xfId="1" applyFill="1" applyAlignment="1">
      <alignment horizontal="center"/>
    </xf>
    <xf numFmtId="0" fontId="3" fillId="6" borderId="0" xfId="1" applyFill="1" applyAlignment="1">
      <alignment horizontal="center"/>
    </xf>
    <xf numFmtId="0" fontId="3" fillId="7" borderId="0" xfId="1" applyFill="1" applyAlignment="1">
      <alignment horizontal="center"/>
    </xf>
    <xf numFmtId="0" fontId="3" fillId="0" borderId="0" xfId="4"/>
    <xf numFmtId="0" fontId="9" fillId="0" borderId="0" xfId="1" applyFont="1" applyAlignment="1">
      <alignment horizontal="left"/>
    </xf>
    <xf numFmtId="0" fontId="3" fillId="0" borderId="0" xfId="1" applyFill="1" applyAlignment="1">
      <alignment horizontal="center"/>
    </xf>
    <xf numFmtId="0" fontId="5" fillId="0" borderId="0" xfId="2" applyFill="1"/>
    <xf numFmtId="0" fontId="5" fillId="0" borderId="0" xfId="2" applyFont="1" applyFill="1"/>
    <xf numFmtId="0" fontId="0" fillId="7" borderId="11" xfId="1" applyFont="1" applyFill="1" applyBorder="1" applyAlignment="1">
      <alignment horizontal="center"/>
    </xf>
    <xf numFmtId="0" fontId="0" fillId="5" borderId="0" xfId="1" applyFont="1" applyFill="1"/>
    <xf numFmtId="0" fontId="0" fillId="0" borderId="0" xfId="1" applyFont="1"/>
    <xf numFmtId="0" fontId="0" fillId="3" borderId="12" xfId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12" fillId="0" borderId="16" xfId="0" applyFont="1" applyFill="1" applyBorder="1" applyAlignment="1">
      <alignment horizontal="centerContinuous"/>
    </xf>
    <xf numFmtId="0" fontId="13" fillId="0" borderId="0" xfId="0" applyFont="1" applyAlignment="1">
      <alignment horizontal="right"/>
    </xf>
    <xf numFmtId="0" fontId="13" fillId="0" borderId="0" xfId="0" applyFont="1" applyFill="1" applyBorder="1" applyAlignment="1"/>
    <xf numFmtId="2" fontId="13" fillId="0" borderId="0" xfId="0" applyNumberFormat="1" applyFont="1" applyFill="1" applyBorder="1" applyAlignment="1"/>
    <xf numFmtId="0" fontId="2" fillId="0" borderId="0" xfId="0" applyFo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13" fillId="0" borderId="14" xfId="0" applyFont="1" applyFill="1" applyBorder="1" applyAlignment="1"/>
    <xf numFmtId="0" fontId="12" fillId="0" borderId="16" xfId="0" applyFont="1" applyFill="1" applyBorder="1" applyAlignment="1">
      <alignment horizontal="center"/>
    </xf>
    <xf numFmtId="0" fontId="0" fillId="0" borderId="14" xfId="0" applyFill="1" applyBorder="1" applyAlignment="1"/>
    <xf numFmtId="2" fontId="0" fillId="0" borderId="14" xfId="0" applyNumberFormat="1" applyFill="1" applyBorder="1" applyAlignment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5" borderId="5" xfId="0" applyNumberForma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164" fontId="0" fillId="5" borderId="7" xfId="0" applyNumberForma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5" fillId="0" borderId="0" xfId="0" applyFont="1" applyFill="1"/>
    <xf numFmtId="0" fontId="10" fillId="8" borderId="4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164" fontId="11" fillId="6" borderId="9" xfId="0" applyNumberFormat="1" applyFon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166" fontId="2" fillId="0" borderId="0" xfId="0" applyNumberFormat="1" applyFont="1"/>
    <xf numFmtId="2" fontId="13" fillId="0" borderId="14" xfId="0" applyNumberFormat="1" applyFont="1" applyFill="1" applyBorder="1" applyAlignment="1">
      <alignment horizontal="center"/>
    </xf>
    <xf numFmtId="0" fontId="9" fillId="0" borderId="0" xfId="1" applyFont="1"/>
    <xf numFmtId="0" fontId="16" fillId="0" borderId="0" xfId="3" applyFont="1"/>
    <xf numFmtId="0" fontId="14" fillId="4" borderId="0" xfId="1" applyFont="1" applyFill="1"/>
    <xf numFmtId="0" fontId="9" fillId="4" borderId="0" xfId="1" applyFont="1" applyFill="1" applyAlignment="1">
      <alignment horizontal="right"/>
    </xf>
    <xf numFmtId="0" fontId="9" fillId="4" borderId="0" xfId="1" applyFont="1" applyFill="1" applyAlignment="1">
      <alignment horizontal="left"/>
    </xf>
    <xf numFmtId="0" fontId="9" fillId="0" borderId="11" xfId="1" applyFont="1" applyFill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3" xfId="2" applyFont="1" applyBorder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2" applyFont="1"/>
    <xf numFmtId="0" fontId="16" fillId="0" borderId="0" xfId="2" quotePrefix="1" applyFont="1"/>
    <xf numFmtId="0" fontId="18" fillId="0" borderId="0" xfId="1" applyFont="1"/>
    <xf numFmtId="0" fontId="9" fillId="5" borderId="0" xfId="1" applyFont="1" applyFill="1"/>
    <xf numFmtId="0" fontId="9" fillId="0" borderId="10" xfId="1" applyFont="1" applyBorder="1" applyAlignment="1">
      <alignment horizontal="left"/>
    </xf>
    <xf numFmtId="0" fontId="9" fillId="3" borderId="12" xfId="1" applyFont="1" applyFill="1" applyBorder="1" applyAlignment="1">
      <alignment horizontal="center"/>
    </xf>
    <xf numFmtId="0" fontId="9" fillId="6" borderId="12" xfId="1" applyFont="1" applyFill="1" applyBorder="1" applyAlignment="1">
      <alignment horizontal="center"/>
    </xf>
    <xf numFmtId="0" fontId="9" fillId="7" borderId="11" xfId="1" applyFont="1" applyFill="1" applyBorder="1" applyAlignment="1">
      <alignment horizontal="center"/>
    </xf>
    <xf numFmtId="0" fontId="16" fillId="0" borderId="0" xfId="2" applyFont="1" applyFill="1"/>
    <xf numFmtId="0" fontId="16" fillId="0" borderId="2" xfId="2" applyFont="1" applyBorder="1" applyAlignment="1">
      <alignment horizontal="center"/>
    </xf>
    <xf numFmtId="1" fontId="16" fillId="0" borderId="2" xfId="2" applyNumberFormat="1" applyFont="1" applyFill="1" applyBorder="1" applyAlignment="1">
      <alignment horizontal="center"/>
    </xf>
    <xf numFmtId="1" fontId="16" fillId="0" borderId="3" xfId="2" applyNumberFormat="1" applyFont="1" applyBorder="1" applyAlignment="1">
      <alignment horizontal="center"/>
    </xf>
    <xf numFmtId="1" fontId="16" fillId="0" borderId="13" xfId="2" applyNumberFormat="1" applyFont="1" applyBorder="1" applyAlignment="1">
      <alignment horizontal="center"/>
    </xf>
    <xf numFmtId="2" fontId="16" fillId="0" borderId="13" xfId="2" applyNumberFormat="1" applyFont="1" applyBorder="1" applyAlignment="1">
      <alignment horizontal="center"/>
    </xf>
    <xf numFmtId="2" fontId="16" fillId="0" borderId="3" xfId="2" applyNumberFormat="1" applyFont="1" applyBorder="1" applyAlignment="1">
      <alignment horizontal="center"/>
    </xf>
    <xf numFmtId="0" fontId="9" fillId="3" borderId="0" xfId="1" applyFont="1" applyFill="1" applyAlignment="1">
      <alignment horizontal="center"/>
    </xf>
    <xf numFmtId="0" fontId="9" fillId="6" borderId="0" xfId="1" applyFont="1" applyFill="1" applyAlignment="1">
      <alignment horizontal="center"/>
    </xf>
    <xf numFmtId="0" fontId="9" fillId="7" borderId="0" xfId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16" fillId="0" borderId="4" xfId="2" applyFont="1" applyBorder="1" applyAlignment="1">
      <alignment horizontal="center"/>
    </xf>
    <xf numFmtId="1" fontId="16" fillId="0" borderId="4" xfId="2" applyNumberFormat="1" applyFont="1" applyBorder="1" applyAlignment="1">
      <alignment horizontal="center"/>
    </xf>
    <xf numFmtId="1" fontId="16" fillId="0" borderId="5" xfId="2" applyNumberFormat="1" applyFont="1" applyBorder="1" applyAlignment="1">
      <alignment horizontal="center"/>
    </xf>
    <xf numFmtId="1" fontId="16" fillId="0" borderId="0" xfId="2" applyNumberFormat="1" applyFont="1" applyBorder="1" applyAlignment="1">
      <alignment horizontal="center"/>
    </xf>
    <xf numFmtId="2" fontId="16" fillId="0" borderId="0" xfId="2" applyNumberFormat="1" applyFont="1" applyBorder="1" applyAlignment="1">
      <alignment horizontal="center"/>
    </xf>
    <xf numFmtId="2" fontId="16" fillId="0" borderId="5" xfId="2" applyNumberFormat="1" applyFont="1" applyBorder="1" applyAlignment="1">
      <alignment horizontal="center"/>
    </xf>
    <xf numFmtId="0" fontId="9" fillId="0" borderId="0" xfId="4" applyFont="1"/>
    <xf numFmtId="0" fontId="16" fillId="0" borderId="6" xfId="2" applyFont="1" applyBorder="1" applyAlignment="1">
      <alignment horizontal="center"/>
    </xf>
    <xf numFmtId="1" fontId="16" fillId="0" borderId="6" xfId="2" applyNumberFormat="1" applyFont="1" applyBorder="1" applyAlignment="1">
      <alignment horizontal="center"/>
    </xf>
    <xf numFmtId="1" fontId="16" fillId="0" borderId="7" xfId="2" applyNumberFormat="1" applyFont="1" applyBorder="1" applyAlignment="1">
      <alignment horizontal="center"/>
    </xf>
    <xf numFmtId="1" fontId="16" fillId="0" borderId="14" xfId="2" applyNumberFormat="1" applyFont="1" applyBorder="1" applyAlignment="1">
      <alignment horizontal="center"/>
    </xf>
    <xf numFmtId="2" fontId="16" fillId="0" borderId="14" xfId="2" applyNumberFormat="1" applyFont="1" applyBorder="1" applyAlignment="1">
      <alignment horizontal="center"/>
    </xf>
    <xf numFmtId="2" fontId="16" fillId="0" borderId="7" xfId="2" applyNumberFormat="1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0" xfId="2" applyFont="1" applyBorder="1"/>
    <xf numFmtId="0" fontId="16" fillId="0" borderId="0" xfId="2" applyFont="1" applyAlignment="1">
      <alignment horizontal="center"/>
    </xf>
    <xf numFmtId="165" fontId="19" fillId="0" borderId="13" xfId="2" applyNumberFormat="1" applyFont="1" applyFill="1" applyBorder="1"/>
    <xf numFmtId="165" fontId="19" fillId="0" borderId="0" xfId="2" applyNumberFormat="1" applyFont="1" applyFill="1" applyBorder="1"/>
    <xf numFmtId="165" fontId="19" fillId="0" borderId="14" xfId="2" applyNumberFormat="1" applyFont="1" applyFill="1" applyBorder="1"/>
    <xf numFmtId="0" fontId="19" fillId="0" borderId="8" xfId="2" applyFont="1" applyFill="1" applyBorder="1"/>
    <xf numFmtId="0" fontId="19" fillId="0" borderId="9" xfId="2" applyFont="1" applyFill="1" applyBorder="1"/>
    <xf numFmtId="0" fontId="19" fillId="0" borderId="15" xfId="2" applyFont="1" applyFill="1" applyBorder="1"/>
    <xf numFmtId="165" fontId="19" fillId="0" borderId="8" xfId="2" applyNumberFormat="1" applyFont="1" applyFill="1" applyBorder="1"/>
    <xf numFmtId="165" fontId="19" fillId="0" borderId="9" xfId="2" applyNumberFormat="1" applyFont="1" applyFill="1" applyBorder="1"/>
    <xf numFmtId="165" fontId="19" fillId="0" borderId="15" xfId="2" applyNumberFormat="1" applyFont="1" applyFill="1" applyBorder="1"/>
    <xf numFmtId="0" fontId="16" fillId="0" borderId="10" xfId="2" applyFont="1" applyBorder="1"/>
    <xf numFmtId="0" fontId="16" fillId="0" borderId="11" xfId="2" applyFont="1" applyBorder="1"/>
    <xf numFmtId="0" fontId="16" fillId="0" borderId="1" xfId="2" applyFont="1" applyBorder="1"/>
    <xf numFmtId="0" fontId="9" fillId="9" borderId="0" xfId="1" applyFont="1" applyFill="1" applyAlignment="1">
      <alignment horizontal="center"/>
    </xf>
    <xf numFmtId="0" fontId="16" fillId="9" borderId="0" xfId="2" applyFont="1" applyFill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9" fillId="10" borderId="15" xfId="0" applyFont="1" applyFill="1" applyBorder="1" applyAlignment="1">
      <alignment horizontal="center"/>
    </xf>
    <xf numFmtId="0" fontId="9" fillId="10" borderId="9" xfId="0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20" fillId="0" borderId="0" xfId="0" applyFont="1"/>
    <xf numFmtId="0" fontId="21" fillId="11" borderId="0" xfId="0" applyFont="1" applyFill="1"/>
    <xf numFmtId="0" fontId="21" fillId="2" borderId="0" xfId="0" applyFont="1" applyFill="1"/>
    <xf numFmtId="0" fontId="9" fillId="0" borderId="0" xfId="0" applyFont="1" applyAlignment="1">
      <alignment horizontal="center" wrapText="1"/>
    </xf>
    <xf numFmtId="0" fontId="22" fillId="0" borderId="0" xfId="0" applyFont="1"/>
    <xf numFmtId="2" fontId="22" fillId="0" borderId="0" xfId="0" applyNumberFormat="1" applyFont="1" applyAlignment="1">
      <alignment horizontal="center"/>
    </xf>
    <xf numFmtId="2" fontId="9" fillId="0" borderId="0" xfId="0" applyNumberFormat="1" applyFont="1"/>
    <xf numFmtId="2" fontId="14" fillId="0" borderId="0" xfId="0" applyNumberFormat="1" applyFont="1"/>
    <xf numFmtId="0" fontId="21" fillId="12" borderId="0" xfId="0" applyFont="1" applyFill="1" applyAlignment="1">
      <alignment horizontal="center" wrapText="1"/>
    </xf>
    <xf numFmtId="0" fontId="9" fillId="0" borderId="14" xfId="0" applyFont="1" applyBorder="1"/>
    <xf numFmtId="0" fontId="23" fillId="0" borderId="14" xfId="0" applyFont="1" applyBorder="1"/>
    <xf numFmtId="0" fontId="23" fillId="0" borderId="0" xfId="0" applyFont="1"/>
    <xf numFmtId="0" fontId="24" fillId="0" borderId="16" xfId="0" applyFont="1" applyBorder="1" applyAlignment="1">
      <alignment horizontal="center"/>
    </xf>
    <xf numFmtId="0" fontId="9" fillId="2" borderId="0" xfId="0" applyFont="1" applyFill="1"/>
    <xf numFmtId="0" fontId="24" fillId="0" borderId="16" xfId="0" applyFont="1" applyBorder="1" applyAlignment="1">
      <alignment horizontal="centerContinuous"/>
    </xf>
    <xf numFmtId="0" fontId="22" fillId="0" borderId="0" xfId="0" quotePrefix="1" applyFont="1"/>
    <xf numFmtId="0" fontId="14" fillId="0" borderId="0" xfId="0" applyFont="1"/>
    <xf numFmtId="0" fontId="21" fillId="1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1" fontId="9" fillId="0" borderId="0" xfId="0" applyNumberFormat="1" applyFont="1"/>
    <xf numFmtId="0" fontId="26" fillId="0" borderId="0" xfId="0" applyFont="1"/>
    <xf numFmtId="0" fontId="27" fillId="0" borderId="0" xfId="0" applyFont="1"/>
    <xf numFmtId="1" fontId="27" fillId="0" borderId="14" xfId="0" applyNumberFormat="1" applyFont="1" applyBorder="1"/>
    <xf numFmtId="2" fontId="27" fillId="0" borderId="14" xfId="0" applyNumberFormat="1" applyFont="1" applyBorder="1"/>
    <xf numFmtId="0" fontId="27" fillId="0" borderId="14" xfId="0" applyFont="1" applyBorder="1"/>
    <xf numFmtId="2" fontId="20" fillId="0" borderId="14" xfId="0" applyNumberFormat="1" applyFont="1" applyBorder="1"/>
    <xf numFmtId="0" fontId="20" fillId="0" borderId="14" xfId="0" applyFont="1" applyBorder="1"/>
    <xf numFmtId="1" fontId="27" fillId="0" borderId="0" xfId="0" applyNumberFormat="1" applyFont="1"/>
    <xf numFmtId="2" fontId="27" fillId="0" borderId="0" xfId="0" applyNumberFormat="1" applyFont="1"/>
    <xf numFmtId="2" fontId="20" fillId="0" borderId="0" xfId="0" applyNumberFormat="1" applyFont="1"/>
    <xf numFmtId="0" fontId="28" fillId="0" borderId="16" xfId="0" applyFont="1" applyBorder="1" applyAlignment="1">
      <alignment horizontal="center"/>
    </xf>
    <xf numFmtId="0" fontId="28" fillId="0" borderId="16" xfId="0" applyFont="1" applyBorder="1" applyAlignment="1">
      <alignment horizontal="centerContinuous"/>
    </xf>
    <xf numFmtId="49" fontId="0" fillId="0" borderId="0" xfId="0" applyNumberFormat="1"/>
    <xf numFmtId="2" fontId="0" fillId="0" borderId="0" xfId="0" applyNumberFormat="1"/>
    <xf numFmtId="164" fontId="29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1" xfId="0" applyBorder="1"/>
  </cellXfs>
  <cellStyles count="5">
    <cellStyle name="Normal" xfId="0" builtinId="0"/>
    <cellStyle name="Normal 2" xfId="2" xr:uid="{00000000-0005-0000-0000-000002000000}"/>
    <cellStyle name="Normal 2 2" xfId="1" xr:uid="{00000000-0005-0000-0000-000003000000}"/>
    <cellStyle name="Normal 3 2" xfId="4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colors>
    <mruColors>
      <color rgb="FF4472C4"/>
      <color rgb="FFED7D31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'1.LALB23TrendLine'!$B$1</c:f>
          <c:strCache>
            <c:ptCount val="1"/>
            <c:pt idx="0">
              <c:v>Year (from 1)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'1.LALB23TrendLine'!$C$1</c:f>
              <c:strCache>
                <c:ptCount val="1"/>
                <c:pt idx="0">
                  <c:v>TEUs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1292738407699038"/>
                  <c:y val="2.6929466095219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8.7129702537182857E-2"/>
                  <c:y val="0.174608790989733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'1.LALB23TrendLine'!$B$2:$B$24</c:f>
              <c:numCache>
                <c:formatCode>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'1.LALB23TrendLine'!$C$2:$C$24</c:f>
              <c:numCache>
                <c:formatCode>0</c:formatCode>
                <c:ptCount val="23"/>
                <c:pt idx="0">
                  <c:v>6464</c:v>
                </c:pt>
                <c:pt idx="1">
                  <c:v>7475</c:v>
                </c:pt>
                <c:pt idx="2">
                  <c:v>8237</c:v>
                </c:pt>
                <c:pt idx="3">
                  <c:v>9480</c:v>
                </c:pt>
                <c:pt idx="4">
                  <c:v>11642</c:v>
                </c:pt>
                <c:pt idx="5">
                  <c:v>11705</c:v>
                </c:pt>
                <c:pt idx="6">
                  <c:v>11837</c:v>
                </c:pt>
                <c:pt idx="7">
                  <c:v>13101</c:v>
                </c:pt>
                <c:pt idx="8">
                  <c:v>14194</c:v>
                </c:pt>
                <c:pt idx="9">
                  <c:v>15760</c:v>
                </c:pt>
                <c:pt idx="10">
                  <c:v>15667</c:v>
                </c:pt>
                <c:pt idx="11">
                  <c:v>14338</c:v>
                </c:pt>
                <c:pt idx="12">
                  <c:v>11816</c:v>
                </c:pt>
                <c:pt idx="13">
                  <c:v>14095</c:v>
                </c:pt>
                <c:pt idx="14">
                  <c:v>14001</c:v>
                </c:pt>
                <c:pt idx="15">
                  <c:v>14123</c:v>
                </c:pt>
                <c:pt idx="16">
                  <c:v>14599</c:v>
                </c:pt>
                <c:pt idx="17">
                  <c:v>15160</c:v>
                </c:pt>
                <c:pt idx="18">
                  <c:v>15352</c:v>
                </c:pt>
                <c:pt idx="19">
                  <c:v>15631</c:v>
                </c:pt>
                <c:pt idx="20">
                  <c:v>16887</c:v>
                </c:pt>
                <c:pt idx="21">
                  <c:v>17549</c:v>
                </c:pt>
                <c:pt idx="22">
                  <c:v>17090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10-4DE5-BD14-98183B24F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220560"/>
        <c:axId val="544223512"/>
      </c:scatterChart>
      <c:valAx>
        <c:axId val="54422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4223512"/>
        <c:crosses val="autoZero"/>
        <c:crossBetween val="midCat"/>
      </c:valAx>
      <c:valAx>
        <c:axId val="54422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4220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0 - 2000</c:v>
                </c:pt>
                <c:pt idx="1">
                  <c:v>2000 - 4000</c:v>
                </c:pt>
                <c:pt idx="2">
                  <c:v>4000 - 6000</c:v>
                </c:pt>
                <c:pt idx="3">
                  <c:v>6000 - 8000</c:v>
                </c:pt>
                <c:pt idx="4">
                  <c:v>8000 - 10000</c:v>
                </c:pt>
                <c:pt idx="5">
                  <c:v>10000 - 12000</c:v>
                </c:pt>
                <c:pt idx="6">
                  <c:v>12000 - 14000</c:v>
                </c:pt>
                <c:pt idx="7">
                  <c:v>14000 - 16000</c:v>
                </c:pt>
                <c:pt idx="8">
                  <c:v>16000 - 18000</c:v>
                </c:pt>
                <c:pt idx="9">
                  <c:v>18000 - 20000</c:v>
                </c:pt>
                <c:pt idx="10">
                  <c:v>20000 - 22000</c:v>
                </c:pt>
                <c:pt idx="11">
                  <c:v>22000 - 24000</c:v>
                </c:pt>
                <c:pt idx="12">
                  <c:v>24000 - 26000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2.6666666666666668E-2</c:v>
                </c:pt>
                <c:pt idx="1">
                  <c:v>0.12</c:v>
                </c:pt>
                <c:pt idx="2">
                  <c:v>0.13333333333333333</c:v>
                </c:pt>
                <c:pt idx="3">
                  <c:v>9.3333333333333338E-2</c:v>
                </c:pt>
                <c:pt idx="4">
                  <c:v>0.16</c:v>
                </c:pt>
                <c:pt idx="5">
                  <c:v>0.12</c:v>
                </c:pt>
                <c:pt idx="6">
                  <c:v>0.14666666666666667</c:v>
                </c:pt>
                <c:pt idx="7">
                  <c:v>9.3333333333333338E-2</c:v>
                </c:pt>
                <c:pt idx="8">
                  <c:v>6.6666666666666666E-2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4-463A-87A2-3B3ABFB3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0 - 2000</c:v>
                </c:pt>
                <c:pt idx="1">
                  <c:v>2000 - 4000</c:v>
                </c:pt>
                <c:pt idx="2">
                  <c:v>4000 - 6000</c:v>
                </c:pt>
                <c:pt idx="3">
                  <c:v>6000 - 8000</c:v>
                </c:pt>
                <c:pt idx="4">
                  <c:v>8000 - 10000</c:v>
                </c:pt>
                <c:pt idx="5">
                  <c:v>10000 - 12000</c:v>
                </c:pt>
                <c:pt idx="6">
                  <c:v>12000 - 14000</c:v>
                </c:pt>
                <c:pt idx="7">
                  <c:v>14000 - 16000</c:v>
                </c:pt>
                <c:pt idx="8">
                  <c:v>16000 - 18000</c:v>
                </c:pt>
                <c:pt idx="9">
                  <c:v>18000 - 20000</c:v>
                </c:pt>
                <c:pt idx="10">
                  <c:v>20000 - 22000</c:v>
                </c:pt>
                <c:pt idx="11">
                  <c:v>22000 - 24000</c:v>
                </c:pt>
                <c:pt idx="12">
                  <c:v>24000 - 26000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2.6666666666666668E-2</c:v>
                </c:pt>
                <c:pt idx="1">
                  <c:v>0.12</c:v>
                </c:pt>
                <c:pt idx="2">
                  <c:v>0.13333333333333333</c:v>
                </c:pt>
                <c:pt idx="3">
                  <c:v>9.3333333333333338E-2</c:v>
                </c:pt>
                <c:pt idx="4">
                  <c:v>0.16</c:v>
                </c:pt>
                <c:pt idx="5">
                  <c:v>0.12</c:v>
                </c:pt>
                <c:pt idx="6">
                  <c:v>0.14666666666666667</c:v>
                </c:pt>
                <c:pt idx="7">
                  <c:v>9.3333333333333338E-2</c:v>
                </c:pt>
                <c:pt idx="8">
                  <c:v>6.6666666666666666E-2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A-4E46-A9F5-65FB5A40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0 - 2000</c:v>
                </c:pt>
                <c:pt idx="1">
                  <c:v>2000 - 4000</c:v>
                </c:pt>
                <c:pt idx="2">
                  <c:v>4000 - 6000</c:v>
                </c:pt>
                <c:pt idx="3">
                  <c:v>6000 - 8000</c:v>
                </c:pt>
                <c:pt idx="4">
                  <c:v>8000 - 10000</c:v>
                </c:pt>
                <c:pt idx="5">
                  <c:v>10000 - 12000</c:v>
                </c:pt>
                <c:pt idx="6">
                  <c:v>12000 - 14000</c:v>
                </c:pt>
                <c:pt idx="7">
                  <c:v>14000 - 16000</c:v>
                </c:pt>
                <c:pt idx="8">
                  <c:v>16000 - 18000</c:v>
                </c:pt>
                <c:pt idx="9">
                  <c:v>18000 - 20000</c:v>
                </c:pt>
                <c:pt idx="10">
                  <c:v>20000 - 22000</c:v>
                </c:pt>
                <c:pt idx="11">
                  <c:v>22000 - 24000</c:v>
                </c:pt>
                <c:pt idx="12">
                  <c:v>24000 - 26000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2.6666666666666668E-2</c:v>
                </c:pt>
                <c:pt idx="1">
                  <c:v>0.12</c:v>
                </c:pt>
                <c:pt idx="2">
                  <c:v>0.13333333333333333</c:v>
                </c:pt>
                <c:pt idx="3">
                  <c:v>9.3333333333333338E-2</c:v>
                </c:pt>
                <c:pt idx="4">
                  <c:v>0.16</c:v>
                </c:pt>
                <c:pt idx="5">
                  <c:v>0.12</c:v>
                </c:pt>
                <c:pt idx="6">
                  <c:v>0.14666666666666667</c:v>
                </c:pt>
                <c:pt idx="7">
                  <c:v>9.3333333333333338E-2</c:v>
                </c:pt>
                <c:pt idx="8">
                  <c:v>6.6666666666666666E-2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6-4202-8C2F-02325D6A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'0.ArdiData'!$B$3:$B$77</c:f>
              <c:numCache>
                <c:formatCode>General</c:formatCode>
                <c:ptCount val="75"/>
                <c:pt idx="0">
                  <c:v>3660</c:v>
                </c:pt>
                <c:pt idx="1">
                  <c:v>11500</c:v>
                </c:pt>
                <c:pt idx="2">
                  <c:v>7111</c:v>
                </c:pt>
                <c:pt idx="3">
                  <c:v>4960</c:v>
                </c:pt>
                <c:pt idx="4">
                  <c:v>13392</c:v>
                </c:pt>
                <c:pt idx="5">
                  <c:v>7922</c:v>
                </c:pt>
                <c:pt idx="6">
                  <c:v>10205</c:v>
                </c:pt>
                <c:pt idx="7">
                  <c:v>2582</c:v>
                </c:pt>
                <c:pt idx="8">
                  <c:v>7292</c:v>
                </c:pt>
                <c:pt idx="9">
                  <c:v>19393</c:v>
                </c:pt>
                <c:pt idx="10">
                  <c:v>4383</c:v>
                </c:pt>
                <c:pt idx="11">
                  <c:v>15589</c:v>
                </c:pt>
                <c:pt idx="12">
                  <c:v>11821</c:v>
                </c:pt>
                <c:pt idx="13">
                  <c:v>5303</c:v>
                </c:pt>
                <c:pt idx="14">
                  <c:v>8112</c:v>
                </c:pt>
                <c:pt idx="15">
                  <c:v>18621</c:v>
                </c:pt>
                <c:pt idx="16">
                  <c:v>7743</c:v>
                </c:pt>
                <c:pt idx="17">
                  <c:v>9995</c:v>
                </c:pt>
                <c:pt idx="18">
                  <c:v>10931</c:v>
                </c:pt>
                <c:pt idx="19">
                  <c:v>13780</c:v>
                </c:pt>
                <c:pt idx="20">
                  <c:v>15493</c:v>
                </c:pt>
                <c:pt idx="21">
                  <c:v>2209</c:v>
                </c:pt>
                <c:pt idx="22">
                  <c:v>5245</c:v>
                </c:pt>
                <c:pt idx="23">
                  <c:v>10542</c:v>
                </c:pt>
                <c:pt idx="24">
                  <c:v>16177</c:v>
                </c:pt>
                <c:pt idx="25">
                  <c:v>15380</c:v>
                </c:pt>
                <c:pt idx="26">
                  <c:v>8654</c:v>
                </c:pt>
                <c:pt idx="27">
                  <c:v>4219</c:v>
                </c:pt>
                <c:pt idx="28">
                  <c:v>3067</c:v>
                </c:pt>
                <c:pt idx="29">
                  <c:v>11226</c:v>
                </c:pt>
                <c:pt idx="30">
                  <c:v>8190</c:v>
                </c:pt>
                <c:pt idx="31">
                  <c:v>13266</c:v>
                </c:pt>
                <c:pt idx="32">
                  <c:v>3946</c:v>
                </c:pt>
                <c:pt idx="33">
                  <c:v>8516</c:v>
                </c:pt>
                <c:pt idx="34">
                  <c:v>16819</c:v>
                </c:pt>
                <c:pt idx="35">
                  <c:v>12690</c:v>
                </c:pt>
                <c:pt idx="36">
                  <c:v>14559</c:v>
                </c:pt>
                <c:pt idx="37">
                  <c:v>5846</c:v>
                </c:pt>
                <c:pt idx="38">
                  <c:v>16232</c:v>
                </c:pt>
                <c:pt idx="39">
                  <c:v>5403</c:v>
                </c:pt>
                <c:pt idx="40">
                  <c:v>9360</c:v>
                </c:pt>
                <c:pt idx="41">
                  <c:v>13301</c:v>
                </c:pt>
                <c:pt idx="42">
                  <c:v>8835</c:v>
                </c:pt>
                <c:pt idx="43">
                  <c:v>8297</c:v>
                </c:pt>
                <c:pt idx="44">
                  <c:v>11079</c:v>
                </c:pt>
                <c:pt idx="45">
                  <c:v>2272</c:v>
                </c:pt>
                <c:pt idx="46">
                  <c:v>4091</c:v>
                </c:pt>
                <c:pt idx="47">
                  <c:v>2959</c:v>
                </c:pt>
                <c:pt idx="48">
                  <c:v>17133</c:v>
                </c:pt>
                <c:pt idx="49">
                  <c:v>17805</c:v>
                </c:pt>
                <c:pt idx="50">
                  <c:v>6020</c:v>
                </c:pt>
                <c:pt idx="51">
                  <c:v>12592</c:v>
                </c:pt>
                <c:pt idx="52">
                  <c:v>19963</c:v>
                </c:pt>
                <c:pt idx="53">
                  <c:v>9902</c:v>
                </c:pt>
                <c:pt idx="54">
                  <c:v>6589</c:v>
                </c:pt>
                <c:pt idx="55">
                  <c:v>8620</c:v>
                </c:pt>
                <c:pt idx="56">
                  <c:v>1866</c:v>
                </c:pt>
                <c:pt idx="57">
                  <c:v>13163</c:v>
                </c:pt>
                <c:pt idx="58">
                  <c:v>1779</c:v>
                </c:pt>
                <c:pt idx="59">
                  <c:v>12141</c:v>
                </c:pt>
                <c:pt idx="60">
                  <c:v>12651</c:v>
                </c:pt>
                <c:pt idx="61">
                  <c:v>11168</c:v>
                </c:pt>
                <c:pt idx="62">
                  <c:v>8124</c:v>
                </c:pt>
                <c:pt idx="63">
                  <c:v>5617</c:v>
                </c:pt>
                <c:pt idx="64">
                  <c:v>14620</c:v>
                </c:pt>
                <c:pt idx="65">
                  <c:v>14386</c:v>
                </c:pt>
                <c:pt idx="66">
                  <c:v>11255</c:v>
                </c:pt>
                <c:pt idx="67">
                  <c:v>13633</c:v>
                </c:pt>
                <c:pt idx="68">
                  <c:v>9075</c:v>
                </c:pt>
                <c:pt idx="69">
                  <c:v>13911</c:v>
                </c:pt>
                <c:pt idx="70">
                  <c:v>5797</c:v>
                </c:pt>
                <c:pt idx="71">
                  <c:v>6357</c:v>
                </c:pt>
                <c:pt idx="72">
                  <c:v>15558</c:v>
                </c:pt>
                <c:pt idx="73">
                  <c:v>3100</c:v>
                </c:pt>
                <c:pt idx="74">
                  <c:v>2791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21-4F0E-9A48-E4C38697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'0.ArdiData'!$C$3:$C$77</c:f>
              <c:numCache>
                <c:formatCode>General</c:formatCode>
                <c:ptCount val="75"/>
                <c:pt idx="0">
                  <c:v>1779</c:v>
                </c:pt>
                <c:pt idx="1">
                  <c:v>1866</c:v>
                </c:pt>
                <c:pt idx="2">
                  <c:v>2209</c:v>
                </c:pt>
                <c:pt idx="3">
                  <c:v>2272</c:v>
                </c:pt>
                <c:pt idx="4">
                  <c:v>2582</c:v>
                </c:pt>
                <c:pt idx="5">
                  <c:v>2791</c:v>
                </c:pt>
                <c:pt idx="6">
                  <c:v>3067</c:v>
                </c:pt>
                <c:pt idx="7">
                  <c:v>2959</c:v>
                </c:pt>
                <c:pt idx="8">
                  <c:v>4091</c:v>
                </c:pt>
                <c:pt idx="9">
                  <c:v>3100</c:v>
                </c:pt>
                <c:pt idx="10">
                  <c:v>3660</c:v>
                </c:pt>
                <c:pt idx="11">
                  <c:v>3946</c:v>
                </c:pt>
                <c:pt idx="12">
                  <c:v>4383</c:v>
                </c:pt>
                <c:pt idx="13">
                  <c:v>5245</c:v>
                </c:pt>
                <c:pt idx="14">
                  <c:v>5403</c:v>
                </c:pt>
                <c:pt idx="15">
                  <c:v>4219</c:v>
                </c:pt>
                <c:pt idx="16">
                  <c:v>5303</c:v>
                </c:pt>
                <c:pt idx="17">
                  <c:v>4960</c:v>
                </c:pt>
                <c:pt idx="18">
                  <c:v>5617</c:v>
                </c:pt>
                <c:pt idx="19">
                  <c:v>5797</c:v>
                </c:pt>
                <c:pt idx="20">
                  <c:v>6589</c:v>
                </c:pt>
                <c:pt idx="21">
                  <c:v>6020</c:v>
                </c:pt>
                <c:pt idx="22">
                  <c:v>6357</c:v>
                </c:pt>
                <c:pt idx="23">
                  <c:v>7111</c:v>
                </c:pt>
                <c:pt idx="24">
                  <c:v>5846</c:v>
                </c:pt>
                <c:pt idx="25">
                  <c:v>7743</c:v>
                </c:pt>
                <c:pt idx="26">
                  <c:v>7292</c:v>
                </c:pt>
                <c:pt idx="27">
                  <c:v>8516</c:v>
                </c:pt>
                <c:pt idx="28">
                  <c:v>8620</c:v>
                </c:pt>
                <c:pt idx="29">
                  <c:v>7922</c:v>
                </c:pt>
                <c:pt idx="30">
                  <c:v>8124</c:v>
                </c:pt>
                <c:pt idx="31">
                  <c:v>8112</c:v>
                </c:pt>
                <c:pt idx="32">
                  <c:v>8190</c:v>
                </c:pt>
                <c:pt idx="33">
                  <c:v>8297</c:v>
                </c:pt>
                <c:pt idx="34">
                  <c:v>8654</c:v>
                </c:pt>
                <c:pt idx="35">
                  <c:v>9902</c:v>
                </c:pt>
                <c:pt idx="36">
                  <c:v>8835</c:v>
                </c:pt>
                <c:pt idx="37">
                  <c:v>9075</c:v>
                </c:pt>
                <c:pt idx="38">
                  <c:v>9360</c:v>
                </c:pt>
                <c:pt idx="39">
                  <c:v>10205</c:v>
                </c:pt>
                <c:pt idx="40">
                  <c:v>9995</c:v>
                </c:pt>
                <c:pt idx="41">
                  <c:v>11226</c:v>
                </c:pt>
                <c:pt idx="42">
                  <c:v>11079</c:v>
                </c:pt>
                <c:pt idx="43">
                  <c:v>11168</c:v>
                </c:pt>
                <c:pt idx="44">
                  <c:v>11255</c:v>
                </c:pt>
                <c:pt idx="45">
                  <c:v>11500</c:v>
                </c:pt>
                <c:pt idx="46">
                  <c:v>10542</c:v>
                </c:pt>
                <c:pt idx="47">
                  <c:v>10931</c:v>
                </c:pt>
                <c:pt idx="48">
                  <c:v>12141</c:v>
                </c:pt>
                <c:pt idx="49">
                  <c:v>11821</c:v>
                </c:pt>
                <c:pt idx="50">
                  <c:v>12592</c:v>
                </c:pt>
                <c:pt idx="51">
                  <c:v>13163</c:v>
                </c:pt>
                <c:pt idx="52">
                  <c:v>12690</c:v>
                </c:pt>
                <c:pt idx="53">
                  <c:v>12651</c:v>
                </c:pt>
                <c:pt idx="54">
                  <c:v>13266</c:v>
                </c:pt>
                <c:pt idx="55">
                  <c:v>13301</c:v>
                </c:pt>
                <c:pt idx="56">
                  <c:v>13633</c:v>
                </c:pt>
                <c:pt idx="57">
                  <c:v>14559</c:v>
                </c:pt>
                <c:pt idx="58">
                  <c:v>13392</c:v>
                </c:pt>
                <c:pt idx="59">
                  <c:v>13780</c:v>
                </c:pt>
                <c:pt idx="60">
                  <c:v>13911</c:v>
                </c:pt>
                <c:pt idx="61">
                  <c:v>14386</c:v>
                </c:pt>
                <c:pt idx="62">
                  <c:v>15380</c:v>
                </c:pt>
                <c:pt idx="63">
                  <c:v>14620</c:v>
                </c:pt>
                <c:pt idx="64">
                  <c:v>16177</c:v>
                </c:pt>
                <c:pt idx="65">
                  <c:v>15558</c:v>
                </c:pt>
                <c:pt idx="66">
                  <c:v>15589</c:v>
                </c:pt>
                <c:pt idx="67">
                  <c:v>15493</c:v>
                </c:pt>
                <c:pt idx="68">
                  <c:v>16232</c:v>
                </c:pt>
                <c:pt idx="69">
                  <c:v>16819</c:v>
                </c:pt>
                <c:pt idx="70">
                  <c:v>17805</c:v>
                </c:pt>
                <c:pt idx="71">
                  <c:v>19963</c:v>
                </c:pt>
                <c:pt idx="72">
                  <c:v>17133</c:v>
                </c:pt>
                <c:pt idx="73">
                  <c:v>18621</c:v>
                </c:pt>
                <c:pt idx="74">
                  <c:v>19393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9C-48FB-BF39-FCC8A3AB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'0.ArdiData'!$D$3:$D$77</c:f>
              <c:numCache>
                <c:formatCode>General</c:formatCode>
                <c:ptCount val="75"/>
                <c:pt idx="0">
                  <c:v>1866</c:v>
                </c:pt>
                <c:pt idx="1">
                  <c:v>1779</c:v>
                </c:pt>
                <c:pt idx="2">
                  <c:v>2209</c:v>
                </c:pt>
                <c:pt idx="3">
                  <c:v>2582</c:v>
                </c:pt>
                <c:pt idx="4">
                  <c:v>3067</c:v>
                </c:pt>
                <c:pt idx="5">
                  <c:v>2272</c:v>
                </c:pt>
                <c:pt idx="6">
                  <c:v>2791</c:v>
                </c:pt>
                <c:pt idx="7">
                  <c:v>3100</c:v>
                </c:pt>
                <c:pt idx="8">
                  <c:v>3660</c:v>
                </c:pt>
                <c:pt idx="9">
                  <c:v>4091</c:v>
                </c:pt>
                <c:pt idx="10">
                  <c:v>2959</c:v>
                </c:pt>
                <c:pt idx="11">
                  <c:v>3946</c:v>
                </c:pt>
                <c:pt idx="12">
                  <c:v>4960</c:v>
                </c:pt>
                <c:pt idx="13">
                  <c:v>5245</c:v>
                </c:pt>
                <c:pt idx="14">
                  <c:v>5797</c:v>
                </c:pt>
                <c:pt idx="15">
                  <c:v>4219</c:v>
                </c:pt>
                <c:pt idx="16">
                  <c:v>4383</c:v>
                </c:pt>
                <c:pt idx="17">
                  <c:v>5303</c:v>
                </c:pt>
                <c:pt idx="18">
                  <c:v>6020</c:v>
                </c:pt>
                <c:pt idx="19">
                  <c:v>6357</c:v>
                </c:pt>
                <c:pt idx="20">
                  <c:v>5403</c:v>
                </c:pt>
                <c:pt idx="21">
                  <c:v>5617</c:v>
                </c:pt>
                <c:pt idx="22">
                  <c:v>7743</c:v>
                </c:pt>
                <c:pt idx="23">
                  <c:v>8112</c:v>
                </c:pt>
                <c:pt idx="24">
                  <c:v>7922</c:v>
                </c:pt>
                <c:pt idx="25">
                  <c:v>5846</c:v>
                </c:pt>
                <c:pt idx="26">
                  <c:v>7111</c:v>
                </c:pt>
                <c:pt idx="27">
                  <c:v>6589</c:v>
                </c:pt>
                <c:pt idx="28">
                  <c:v>7292</c:v>
                </c:pt>
                <c:pt idx="29">
                  <c:v>8654</c:v>
                </c:pt>
                <c:pt idx="30">
                  <c:v>8124</c:v>
                </c:pt>
                <c:pt idx="31">
                  <c:v>8835</c:v>
                </c:pt>
                <c:pt idx="32">
                  <c:v>8620</c:v>
                </c:pt>
                <c:pt idx="33">
                  <c:v>10205</c:v>
                </c:pt>
                <c:pt idx="34">
                  <c:v>9995</c:v>
                </c:pt>
                <c:pt idx="35">
                  <c:v>8297</c:v>
                </c:pt>
                <c:pt idx="36">
                  <c:v>9360</c:v>
                </c:pt>
                <c:pt idx="37">
                  <c:v>9902</c:v>
                </c:pt>
                <c:pt idx="38">
                  <c:v>9075</c:v>
                </c:pt>
                <c:pt idx="39">
                  <c:v>10542</c:v>
                </c:pt>
                <c:pt idx="40">
                  <c:v>8190</c:v>
                </c:pt>
                <c:pt idx="41">
                  <c:v>11079</c:v>
                </c:pt>
                <c:pt idx="42">
                  <c:v>10931</c:v>
                </c:pt>
                <c:pt idx="43">
                  <c:v>11226</c:v>
                </c:pt>
                <c:pt idx="44">
                  <c:v>13392</c:v>
                </c:pt>
                <c:pt idx="45">
                  <c:v>8516</c:v>
                </c:pt>
                <c:pt idx="46">
                  <c:v>11255</c:v>
                </c:pt>
                <c:pt idx="47">
                  <c:v>11500</c:v>
                </c:pt>
                <c:pt idx="48">
                  <c:v>13266</c:v>
                </c:pt>
                <c:pt idx="49">
                  <c:v>12690</c:v>
                </c:pt>
                <c:pt idx="50">
                  <c:v>11168</c:v>
                </c:pt>
                <c:pt idx="51">
                  <c:v>12592</c:v>
                </c:pt>
                <c:pt idx="52">
                  <c:v>12651</c:v>
                </c:pt>
                <c:pt idx="53">
                  <c:v>13780</c:v>
                </c:pt>
                <c:pt idx="54">
                  <c:v>15589</c:v>
                </c:pt>
                <c:pt idx="55">
                  <c:v>11821</c:v>
                </c:pt>
                <c:pt idx="56">
                  <c:v>12141</c:v>
                </c:pt>
                <c:pt idx="57">
                  <c:v>14559</c:v>
                </c:pt>
                <c:pt idx="58">
                  <c:v>15558</c:v>
                </c:pt>
                <c:pt idx="59">
                  <c:v>15493</c:v>
                </c:pt>
                <c:pt idx="60">
                  <c:v>13633</c:v>
                </c:pt>
                <c:pt idx="61">
                  <c:v>13163</c:v>
                </c:pt>
                <c:pt idx="62">
                  <c:v>14620</c:v>
                </c:pt>
                <c:pt idx="63">
                  <c:v>16819</c:v>
                </c:pt>
                <c:pt idx="64">
                  <c:v>18621</c:v>
                </c:pt>
                <c:pt idx="65">
                  <c:v>13301</c:v>
                </c:pt>
                <c:pt idx="66">
                  <c:v>15380</c:v>
                </c:pt>
                <c:pt idx="67">
                  <c:v>16177</c:v>
                </c:pt>
                <c:pt idx="68">
                  <c:v>14386</c:v>
                </c:pt>
                <c:pt idx="69">
                  <c:v>19963</c:v>
                </c:pt>
                <c:pt idx="70">
                  <c:v>13911</c:v>
                </c:pt>
                <c:pt idx="71">
                  <c:v>16232</c:v>
                </c:pt>
                <c:pt idx="72">
                  <c:v>17805</c:v>
                </c:pt>
                <c:pt idx="73">
                  <c:v>17133</c:v>
                </c:pt>
                <c:pt idx="74">
                  <c:v>19393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71-4362-B8E1-5E34F771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BookData!$B$1</c:f>
          <c:strCache>
            <c:ptCount val="1"/>
            <c:pt idx="0">
              <c:v>Office 1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A-423D-A506-AB199EC6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1480"/>
        <c:axId val="663241872"/>
      </c:barChart>
      <c:catAx>
        <c:axId val="663241480"/>
        <c:scaling>
          <c:orientation val="minMax"/>
        </c:scaling>
        <c:delete val="0"/>
        <c:axPos val="b"/>
        <c:majorTickMark val="out"/>
        <c:minorTickMark val="none"/>
        <c:tickLblPos val="nextTo"/>
        <c:crossAx val="663241872"/>
        <c:crosses val="autoZero"/>
        <c:auto val="1"/>
        <c:lblAlgn val="ctr"/>
        <c:lblOffset val="100"/>
        <c:noMultiLvlLbl val="0"/>
      </c:catAx>
      <c:valAx>
        <c:axId val="6632418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1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0-4F9C-A4D8-A042C346B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2656"/>
        <c:axId val="663243048"/>
      </c:barChart>
      <c:catAx>
        <c:axId val="66324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663243048"/>
        <c:crosses val="autoZero"/>
        <c:auto val="1"/>
        <c:lblAlgn val="ctr"/>
        <c:lblOffset val="100"/>
        <c:noMultiLvlLbl val="0"/>
      </c:catAx>
      <c:valAx>
        <c:axId val="66324304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F-4DA7-94EB-870607BEF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3832"/>
        <c:axId val="666687416"/>
      </c:barChart>
      <c:catAx>
        <c:axId val="663243832"/>
        <c:scaling>
          <c:orientation val="minMax"/>
        </c:scaling>
        <c:delete val="0"/>
        <c:axPos val="b"/>
        <c:majorTickMark val="out"/>
        <c:minorTickMark val="none"/>
        <c:tickLblPos val="nextTo"/>
        <c:crossAx val="666687416"/>
        <c:crosses val="autoZero"/>
        <c:auto val="1"/>
        <c:lblAlgn val="ctr"/>
        <c:lblOffset val="100"/>
        <c:noMultiLvlLbl val="0"/>
      </c:catAx>
      <c:valAx>
        <c:axId val="66668741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3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BookData!$B$3:$B$77</c:f>
              <c:numCache>
                <c:formatCode>0</c:formatCode>
                <c:ptCount val="75"/>
                <c:pt idx="0">
                  <c:v>495</c:v>
                </c:pt>
                <c:pt idx="1">
                  <c:v>204</c:v>
                </c:pt>
                <c:pt idx="2">
                  <c:v>318</c:v>
                </c:pt>
                <c:pt idx="3">
                  <c:v>802</c:v>
                </c:pt>
                <c:pt idx="4">
                  <c:v>446</c:v>
                </c:pt>
                <c:pt idx="5">
                  <c:v>568</c:v>
                </c:pt>
                <c:pt idx="6">
                  <c:v>372</c:v>
                </c:pt>
                <c:pt idx="7">
                  <c:v>281</c:v>
                </c:pt>
                <c:pt idx="8">
                  <c:v>676</c:v>
                </c:pt>
                <c:pt idx="9">
                  <c:v>755</c:v>
                </c:pt>
                <c:pt idx="10">
                  <c:v>503</c:v>
                </c:pt>
                <c:pt idx="11">
                  <c:v>511</c:v>
                </c:pt>
                <c:pt idx="12">
                  <c:v>229</c:v>
                </c:pt>
                <c:pt idx="13">
                  <c:v>439</c:v>
                </c:pt>
                <c:pt idx="14">
                  <c:v>412</c:v>
                </c:pt>
                <c:pt idx="15">
                  <c:v>775</c:v>
                </c:pt>
                <c:pt idx="16">
                  <c:v>330</c:v>
                </c:pt>
                <c:pt idx="17">
                  <c:v>289</c:v>
                </c:pt>
                <c:pt idx="18">
                  <c:v>1045</c:v>
                </c:pt>
                <c:pt idx="19">
                  <c:v>348</c:v>
                </c:pt>
                <c:pt idx="20">
                  <c:v>249</c:v>
                </c:pt>
                <c:pt idx="21">
                  <c:v>218</c:v>
                </c:pt>
                <c:pt idx="22">
                  <c:v>603</c:v>
                </c:pt>
                <c:pt idx="23">
                  <c:v>412</c:v>
                </c:pt>
                <c:pt idx="24">
                  <c:v>608</c:v>
                </c:pt>
                <c:pt idx="25">
                  <c:v>540</c:v>
                </c:pt>
                <c:pt idx="26">
                  <c:v>744</c:v>
                </c:pt>
                <c:pt idx="27">
                  <c:v>465</c:v>
                </c:pt>
                <c:pt idx="28">
                  <c:v>577</c:v>
                </c:pt>
                <c:pt idx="29">
                  <c:v>576</c:v>
                </c:pt>
                <c:pt idx="30">
                  <c:v>681</c:v>
                </c:pt>
                <c:pt idx="31">
                  <c:v>842</c:v>
                </c:pt>
                <c:pt idx="32">
                  <c:v>256</c:v>
                </c:pt>
                <c:pt idx="33">
                  <c:v>851</c:v>
                </c:pt>
                <c:pt idx="34">
                  <c:v>273</c:v>
                </c:pt>
                <c:pt idx="35">
                  <c:v>856</c:v>
                </c:pt>
                <c:pt idx="36">
                  <c:v>532</c:v>
                </c:pt>
                <c:pt idx="37">
                  <c:v>508</c:v>
                </c:pt>
                <c:pt idx="38">
                  <c:v>434</c:v>
                </c:pt>
                <c:pt idx="39">
                  <c:v>597</c:v>
                </c:pt>
                <c:pt idx="40">
                  <c:v>315</c:v>
                </c:pt>
                <c:pt idx="41">
                  <c:v>1045</c:v>
                </c:pt>
                <c:pt idx="42">
                  <c:v>370</c:v>
                </c:pt>
                <c:pt idx="43">
                  <c:v>354</c:v>
                </c:pt>
                <c:pt idx="44">
                  <c:v>500</c:v>
                </c:pt>
                <c:pt idx="45">
                  <c:v>520</c:v>
                </c:pt>
                <c:pt idx="46">
                  <c:v>356</c:v>
                </c:pt>
                <c:pt idx="47">
                  <c:v>572</c:v>
                </c:pt>
                <c:pt idx="48">
                  <c:v>514</c:v>
                </c:pt>
                <c:pt idx="49">
                  <c:v>842</c:v>
                </c:pt>
                <c:pt idx="50">
                  <c:v>176</c:v>
                </c:pt>
                <c:pt idx="51">
                  <c:v>730</c:v>
                </c:pt>
                <c:pt idx="52">
                  <c:v>377</c:v>
                </c:pt>
                <c:pt idx="53">
                  <c:v>866</c:v>
                </c:pt>
                <c:pt idx="54">
                  <c:v>939</c:v>
                </c:pt>
                <c:pt idx="55">
                  <c:v>926</c:v>
                </c:pt>
                <c:pt idx="56">
                  <c:v>229</c:v>
                </c:pt>
                <c:pt idx="57">
                  <c:v>304</c:v>
                </c:pt>
                <c:pt idx="58">
                  <c:v>450</c:v>
                </c:pt>
                <c:pt idx="59">
                  <c:v>843</c:v>
                </c:pt>
                <c:pt idx="60">
                  <c:v>1330</c:v>
                </c:pt>
                <c:pt idx="61">
                  <c:v>455</c:v>
                </c:pt>
                <c:pt idx="62">
                  <c:v>359</c:v>
                </c:pt>
                <c:pt idx="63">
                  <c:v>1133</c:v>
                </c:pt>
                <c:pt idx="64">
                  <c:v>710</c:v>
                </c:pt>
                <c:pt idx="65">
                  <c:v>719</c:v>
                </c:pt>
                <c:pt idx="66">
                  <c:v>346</c:v>
                </c:pt>
                <c:pt idx="67">
                  <c:v>511</c:v>
                </c:pt>
                <c:pt idx="68">
                  <c:v>718</c:v>
                </c:pt>
                <c:pt idx="69">
                  <c:v>381</c:v>
                </c:pt>
                <c:pt idx="70">
                  <c:v>529</c:v>
                </c:pt>
                <c:pt idx="71">
                  <c:v>227</c:v>
                </c:pt>
                <c:pt idx="72">
                  <c:v>612</c:v>
                </c:pt>
                <c:pt idx="73">
                  <c:v>836</c:v>
                </c:pt>
                <c:pt idx="74">
                  <c:v>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9-437F-930B-8D0ECDDB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88200"/>
        <c:axId val="666688592"/>
      </c:scatterChart>
      <c:valAx>
        <c:axId val="666688200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88592"/>
        <c:crosses val="autoZero"/>
        <c:crossBetween val="midCat"/>
      </c:valAx>
      <c:valAx>
        <c:axId val="6666885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88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'1.LALB23TrendLine'!$A$1</c:f>
          <c:strCache>
            <c:ptCount val="1"/>
            <c:pt idx="0">
              <c:v>Year (Real)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'1.LALB23TrendLine'!$C$1</c:f>
              <c:strCache>
                <c:ptCount val="1"/>
                <c:pt idx="0">
                  <c:v>TEUs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1292738407699038"/>
                  <c:y val="2.6929466095219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9155949256342956E-2"/>
                  <c:y val="0.145072926010830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'1.LALB23TrendLine'!$A$2:$A$24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xVal>
          <c:yVal>
            <c:numRef>
              <c:f>'1.LALB23TrendLine'!$C$2:$C$24</c:f>
              <c:numCache>
                <c:formatCode>0</c:formatCode>
                <c:ptCount val="23"/>
                <c:pt idx="0">
                  <c:v>6464</c:v>
                </c:pt>
                <c:pt idx="1">
                  <c:v>7475</c:v>
                </c:pt>
                <c:pt idx="2">
                  <c:v>8237</c:v>
                </c:pt>
                <c:pt idx="3">
                  <c:v>9480</c:v>
                </c:pt>
                <c:pt idx="4">
                  <c:v>11642</c:v>
                </c:pt>
                <c:pt idx="5">
                  <c:v>11705</c:v>
                </c:pt>
                <c:pt idx="6">
                  <c:v>11837</c:v>
                </c:pt>
                <c:pt idx="7">
                  <c:v>13101</c:v>
                </c:pt>
                <c:pt idx="8">
                  <c:v>14194</c:v>
                </c:pt>
                <c:pt idx="9">
                  <c:v>15760</c:v>
                </c:pt>
                <c:pt idx="10">
                  <c:v>15667</c:v>
                </c:pt>
                <c:pt idx="11">
                  <c:v>14338</c:v>
                </c:pt>
                <c:pt idx="12">
                  <c:v>11816</c:v>
                </c:pt>
                <c:pt idx="13">
                  <c:v>14095</c:v>
                </c:pt>
                <c:pt idx="14">
                  <c:v>14001</c:v>
                </c:pt>
                <c:pt idx="15">
                  <c:v>14123</c:v>
                </c:pt>
                <c:pt idx="16">
                  <c:v>14599</c:v>
                </c:pt>
                <c:pt idx="17">
                  <c:v>15160</c:v>
                </c:pt>
                <c:pt idx="18">
                  <c:v>15352</c:v>
                </c:pt>
                <c:pt idx="19">
                  <c:v>15631</c:v>
                </c:pt>
                <c:pt idx="20">
                  <c:v>16887</c:v>
                </c:pt>
                <c:pt idx="21">
                  <c:v>17549</c:v>
                </c:pt>
                <c:pt idx="22">
                  <c:v>17090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F4-4E01-8F8F-2556AC5AB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220560"/>
        <c:axId val="544223512"/>
      </c:scatterChart>
      <c:valAx>
        <c:axId val="54422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4223512"/>
        <c:crosses val="autoZero"/>
        <c:crossBetween val="midCat"/>
      </c:valAx>
      <c:valAx>
        <c:axId val="54422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4220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BookData!$C$3:$C$77</c:f>
              <c:numCache>
                <c:formatCode>0</c:formatCode>
                <c:ptCount val="75"/>
                <c:pt idx="0">
                  <c:v>176</c:v>
                </c:pt>
                <c:pt idx="1">
                  <c:v>204</c:v>
                </c:pt>
                <c:pt idx="2">
                  <c:v>218</c:v>
                </c:pt>
                <c:pt idx="3">
                  <c:v>439</c:v>
                </c:pt>
                <c:pt idx="4">
                  <c:v>229</c:v>
                </c:pt>
                <c:pt idx="5">
                  <c:v>249</c:v>
                </c:pt>
                <c:pt idx="6">
                  <c:v>227</c:v>
                </c:pt>
                <c:pt idx="7">
                  <c:v>256</c:v>
                </c:pt>
                <c:pt idx="8">
                  <c:v>304</c:v>
                </c:pt>
                <c:pt idx="9">
                  <c:v>354</c:v>
                </c:pt>
                <c:pt idx="10">
                  <c:v>289</c:v>
                </c:pt>
                <c:pt idx="11">
                  <c:v>273</c:v>
                </c:pt>
                <c:pt idx="12">
                  <c:v>315</c:v>
                </c:pt>
                <c:pt idx="13">
                  <c:v>346</c:v>
                </c:pt>
                <c:pt idx="14">
                  <c:v>318</c:v>
                </c:pt>
                <c:pt idx="15">
                  <c:v>330</c:v>
                </c:pt>
                <c:pt idx="16">
                  <c:v>359</c:v>
                </c:pt>
                <c:pt idx="17">
                  <c:v>370</c:v>
                </c:pt>
                <c:pt idx="18">
                  <c:v>348</c:v>
                </c:pt>
                <c:pt idx="19">
                  <c:v>281</c:v>
                </c:pt>
                <c:pt idx="20">
                  <c:v>356</c:v>
                </c:pt>
                <c:pt idx="21">
                  <c:v>372</c:v>
                </c:pt>
                <c:pt idx="22">
                  <c:v>377</c:v>
                </c:pt>
                <c:pt idx="23">
                  <c:v>412</c:v>
                </c:pt>
                <c:pt idx="24">
                  <c:v>503</c:v>
                </c:pt>
                <c:pt idx="25">
                  <c:v>381</c:v>
                </c:pt>
                <c:pt idx="26">
                  <c:v>434</c:v>
                </c:pt>
                <c:pt idx="27">
                  <c:v>229</c:v>
                </c:pt>
                <c:pt idx="28">
                  <c:v>446</c:v>
                </c:pt>
                <c:pt idx="29">
                  <c:v>450</c:v>
                </c:pt>
                <c:pt idx="30">
                  <c:v>455</c:v>
                </c:pt>
                <c:pt idx="31">
                  <c:v>465</c:v>
                </c:pt>
                <c:pt idx="32">
                  <c:v>495</c:v>
                </c:pt>
                <c:pt idx="33">
                  <c:v>500</c:v>
                </c:pt>
                <c:pt idx="34">
                  <c:v>412</c:v>
                </c:pt>
                <c:pt idx="35">
                  <c:v>508</c:v>
                </c:pt>
                <c:pt idx="36">
                  <c:v>511</c:v>
                </c:pt>
                <c:pt idx="37">
                  <c:v>612</c:v>
                </c:pt>
                <c:pt idx="38">
                  <c:v>511</c:v>
                </c:pt>
                <c:pt idx="39">
                  <c:v>514</c:v>
                </c:pt>
                <c:pt idx="40">
                  <c:v>520</c:v>
                </c:pt>
                <c:pt idx="41">
                  <c:v>710</c:v>
                </c:pt>
                <c:pt idx="42">
                  <c:v>532</c:v>
                </c:pt>
                <c:pt idx="43">
                  <c:v>540</c:v>
                </c:pt>
                <c:pt idx="44">
                  <c:v>568</c:v>
                </c:pt>
                <c:pt idx="45">
                  <c:v>572</c:v>
                </c:pt>
                <c:pt idx="46">
                  <c:v>576</c:v>
                </c:pt>
                <c:pt idx="47">
                  <c:v>577</c:v>
                </c:pt>
                <c:pt idx="48">
                  <c:v>836</c:v>
                </c:pt>
                <c:pt idx="49">
                  <c:v>603</c:v>
                </c:pt>
                <c:pt idx="50">
                  <c:v>608</c:v>
                </c:pt>
                <c:pt idx="51">
                  <c:v>511</c:v>
                </c:pt>
                <c:pt idx="52">
                  <c:v>676</c:v>
                </c:pt>
                <c:pt idx="53">
                  <c:v>681</c:v>
                </c:pt>
                <c:pt idx="54">
                  <c:v>529</c:v>
                </c:pt>
                <c:pt idx="55">
                  <c:v>718</c:v>
                </c:pt>
                <c:pt idx="56">
                  <c:v>719</c:v>
                </c:pt>
                <c:pt idx="57">
                  <c:v>730</c:v>
                </c:pt>
                <c:pt idx="58">
                  <c:v>866</c:v>
                </c:pt>
                <c:pt idx="59">
                  <c:v>755</c:v>
                </c:pt>
                <c:pt idx="60">
                  <c:v>775</c:v>
                </c:pt>
                <c:pt idx="61">
                  <c:v>802</c:v>
                </c:pt>
                <c:pt idx="62">
                  <c:v>597</c:v>
                </c:pt>
                <c:pt idx="63">
                  <c:v>842</c:v>
                </c:pt>
                <c:pt idx="64">
                  <c:v>851</c:v>
                </c:pt>
                <c:pt idx="65">
                  <c:v>843</c:v>
                </c:pt>
                <c:pt idx="66">
                  <c:v>842</c:v>
                </c:pt>
                <c:pt idx="67">
                  <c:v>856</c:v>
                </c:pt>
                <c:pt idx="68">
                  <c:v>744</c:v>
                </c:pt>
                <c:pt idx="69">
                  <c:v>926</c:v>
                </c:pt>
                <c:pt idx="70">
                  <c:v>939</c:v>
                </c:pt>
                <c:pt idx="71">
                  <c:v>1045</c:v>
                </c:pt>
                <c:pt idx="72">
                  <c:v>1330</c:v>
                </c:pt>
                <c:pt idx="73">
                  <c:v>1133</c:v>
                </c:pt>
                <c:pt idx="74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6A-4625-BC05-91AE3EF7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89376"/>
        <c:axId val="666689768"/>
      </c:scatterChart>
      <c:valAx>
        <c:axId val="6666893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89768"/>
        <c:crosses val="autoZero"/>
        <c:crossBetween val="midCat"/>
      </c:valAx>
      <c:valAx>
        <c:axId val="6666897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89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BookData!$D$3:$D$77</c:f>
              <c:numCache>
                <c:formatCode>0</c:formatCode>
                <c:ptCount val="75"/>
                <c:pt idx="0">
                  <c:v>346</c:v>
                </c:pt>
                <c:pt idx="1">
                  <c:v>775</c:v>
                </c:pt>
                <c:pt idx="2">
                  <c:v>572</c:v>
                </c:pt>
                <c:pt idx="3">
                  <c:v>455</c:v>
                </c:pt>
                <c:pt idx="4">
                  <c:v>176</c:v>
                </c:pt>
                <c:pt idx="5">
                  <c:v>412</c:v>
                </c:pt>
                <c:pt idx="6">
                  <c:v>926</c:v>
                </c:pt>
                <c:pt idx="7">
                  <c:v>710</c:v>
                </c:pt>
                <c:pt idx="8">
                  <c:v>514</c:v>
                </c:pt>
                <c:pt idx="9">
                  <c:v>281</c:v>
                </c:pt>
                <c:pt idx="10">
                  <c:v>412</c:v>
                </c:pt>
                <c:pt idx="11">
                  <c:v>939</c:v>
                </c:pt>
                <c:pt idx="12">
                  <c:v>718</c:v>
                </c:pt>
                <c:pt idx="13">
                  <c:v>520</c:v>
                </c:pt>
                <c:pt idx="14">
                  <c:v>289</c:v>
                </c:pt>
                <c:pt idx="15">
                  <c:v>434</c:v>
                </c:pt>
                <c:pt idx="16">
                  <c:v>1045</c:v>
                </c:pt>
                <c:pt idx="17">
                  <c:v>719</c:v>
                </c:pt>
                <c:pt idx="18">
                  <c:v>529</c:v>
                </c:pt>
                <c:pt idx="19">
                  <c:v>304</c:v>
                </c:pt>
                <c:pt idx="20">
                  <c:v>439</c:v>
                </c:pt>
                <c:pt idx="21">
                  <c:v>1045</c:v>
                </c:pt>
                <c:pt idx="22">
                  <c:v>730</c:v>
                </c:pt>
                <c:pt idx="23">
                  <c:v>532</c:v>
                </c:pt>
                <c:pt idx="24">
                  <c:v>315</c:v>
                </c:pt>
                <c:pt idx="25">
                  <c:v>446</c:v>
                </c:pt>
                <c:pt idx="26">
                  <c:v>1133</c:v>
                </c:pt>
                <c:pt idx="27">
                  <c:v>744</c:v>
                </c:pt>
                <c:pt idx="28">
                  <c:v>540</c:v>
                </c:pt>
                <c:pt idx="29">
                  <c:v>318</c:v>
                </c:pt>
                <c:pt idx="30">
                  <c:v>450</c:v>
                </c:pt>
                <c:pt idx="31">
                  <c:v>1330</c:v>
                </c:pt>
                <c:pt idx="32">
                  <c:v>755</c:v>
                </c:pt>
                <c:pt idx="33">
                  <c:v>568</c:v>
                </c:pt>
                <c:pt idx="34">
                  <c:v>330</c:v>
                </c:pt>
                <c:pt idx="35">
                  <c:v>348</c:v>
                </c:pt>
                <c:pt idx="36">
                  <c:v>802</c:v>
                </c:pt>
                <c:pt idx="37">
                  <c:v>576</c:v>
                </c:pt>
                <c:pt idx="38">
                  <c:v>465</c:v>
                </c:pt>
                <c:pt idx="39">
                  <c:v>204</c:v>
                </c:pt>
                <c:pt idx="40">
                  <c:v>354</c:v>
                </c:pt>
                <c:pt idx="41">
                  <c:v>836</c:v>
                </c:pt>
                <c:pt idx="42">
                  <c:v>577</c:v>
                </c:pt>
                <c:pt idx="43">
                  <c:v>495</c:v>
                </c:pt>
                <c:pt idx="44">
                  <c:v>218</c:v>
                </c:pt>
                <c:pt idx="45">
                  <c:v>356</c:v>
                </c:pt>
                <c:pt idx="46">
                  <c:v>842</c:v>
                </c:pt>
                <c:pt idx="47">
                  <c:v>597</c:v>
                </c:pt>
                <c:pt idx="48">
                  <c:v>500</c:v>
                </c:pt>
                <c:pt idx="49">
                  <c:v>227</c:v>
                </c:pt>
                <c:pt idx="50">
                  <c:v>359</c:v>
                </c:pt>
                <c:pt idx="51">
                  <c:v>842</c:v>
                </c:pt>
                <c:pt idx="52">
                  <c:v>603</c:v>
                </c:pt>
                <c:pt idx="53">
                  <c:v>503</c:v>
                </c:pt>
                <c:pt idx="54">
                  <c:v>229</c:v>
                </c:pt>
                <c:pt idx="55">
                  <c:v>370</c:v>
                </c:pt>
                <c:pt idx="56">
                  <c:v>843</c:v>
                </c:pt>
                <c:pt idx="57">
                  <c:v>608</c:v>
                </c:pt>
                <c:pt idx="58">
                  <c:v>508</c:v>
                </c:pt>
                <c:pt idx="59">
                  <c:v>229</c:v>
                </c:pt>
                <c:pt idx="60">
                  <c:v>372</c:v>
                </c:pt>
                <c:pt idx="61">
                  <c:v>851</c:v>
                </c:pt>
                <c:pt idx="62">
                  <c:v>612</c:v>
                </c:pt>
                <c:pt idx="63">
                  <c:v>511</c:v>
                </c:pt>
                <c:pt idx="64">
                  <c:v>249</c:v>
                </c:pt>
                <c:pt idx="65">
                  <c:v>377</c:v>
                </c:pt>
                <c:pt idx="66">
                  <c:v>856</c:v>
                </c:pt>
                <c:pt idx="67">
                  <c:v>676</c:v>
                </c:pt>
                <c:pt idx="68">
                  <c:v>511</c:v>
                </c:pt>
                <c:pt idx="69">
                  <c:v>256</c:v>
                </c:pt>
                <c:pt idx="70">
                  <c:v>381</c:v>
                </c:pt>
                <c:pt idx="71">
                  <c:v>866</c:v>
                </c:pt>
                <c:pt idx="72">
                  <c:v>681</c:v>
                </c:pt>
                <c:pt idx="73">
                  <c:v>511</c:v>
                </c:pt>
                <c:pt idx="74">
                  <c:v>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4-4FCA-B067-77B36B99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90552"/>
        <c:axId val="666690944"/>
      </c:scatterChart>
      <c:valAx>
        <c:axId val="666690552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90944"/>
        <c:crosses val="autoZero"/>
        <c:crossBetween val="midCat"/>
      </c:valAx>
      <c:valAx>
        <c:axId val="6666909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90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'4.LALB23Solver&amp;Formulas'!$A$2:$A$24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cat>
          <c:val>
            <c:numRef>
              <c:f>'4.LALB23Solver&amp;Formulas'!$D$2:$D$24</c:f>
              <c:numCache>
                <c:formatCode>@</c:formatCode>
                <c:ptCount val="23"/>
                <c:pt idx="0">
                  <c:v>8948.8043476009498</c:v>
                </c:pt>
                <c:pt idx="1">
                  <c:v>9345.5652172337323</c:v>
                </c:pt>
                <c:pt idx="2">
                  <c:v>9742.3260868665129</c:v>
                </c:pt>
                <c:pt idx="3">
                  <c:v>10139.086956499295</c:v>
                </c:pt>
                <c:pt idx="4">
                  <c:v>10535.847826132076</c:v>
                </c:pt>
                <c:pt idx="5">
                  <c:v>10932.608695764859</c:v>
                </c:pt>
                <c:pt idx="6">
                  <c:v>11329.369565397639</c:v>
                </c:pt>
                <c:pt idx="7">
                  <c:v>11726.13043503042</c:v>
                </c:pt>
                <c:pt idx="8">
                  <c:v>12122.891304663202</c:v>
                </c:pt>
                <c:pt idx="9">
                  <c:v>12519.652174295985</c:v>
                </c:pt>
                <c:pt idx="10">
                  <c:v>12916.413043928766</c:v>
                </c:pt>
                <c:pt idx="11">
                  <c:v>13313.173913561546</c:v>
                </c:pt>
                <c:pt idx="12">
                  <c:v>13709.934783194327</c:v>
                </c:pt>
                <c:pt idx="13">
                  <c:v>14106.695652827109</c:v>
                </c:pt>
                <c:pt idx="14">
                  <c:v>14503.456522459892</c:v>
                </c:pt>
                <c:pt idx="15">
                  <c:v>14900.217392092673</c:v>
                </c:pt>
                <c:pt idx="16">
                  <c:v>15296.978261725453</c:v>
                </c:pt>
                <c:pt idx="17">
                  <c:v>15693.739131358236</c:v>
                </c:pt>
                <c:pt idx="18">
                  <c:v>16090.500000991018</c:v>
                </c:pt>
                <c:pt idx="19">
                  <c:v>16487.260870623799</c:v>
                </c:pt>
                <c:pt idx="20">
                  <c:v>16884.02174025658</c:v>
                </c:pt>
                <c:pt idx="21">
                  <c:v>17280.782609889364</c:v>
                </c:pt>
                <c:pt idx="22">
                  <c:v>17677.543479522144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2-4C56-8B45-F53532CEF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989288"/>
        <c:axId val="758989944"/>
      </c:lineChar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'4.LALB23Solver&amp;Formulas'!$A$2:$A$24</c:f>
              <c:strCache>
                <c:ptCount val="23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strCache>
            </c:strRef>
          </c:xVal>
          <c:yVal>
            <c:numRef>
              <c:f>'4.LALB23Solver&amp;Formulas'!$C$2:$C$24</c:f>
              <c:numCache>
                <c:formatCode>@</c:formatCode>
                <c:ptCount val="23"/>
                <c:pt idx="0">
                  <c:v>6464</c:v>
                </c:pt>
                <c:pt idx="1">
                  <c:v>7475</c:v>
                </c:pt>
                <c:pt idx="2">
                  <c:v>8237</c:v>
                </c:pt>
                <c:pt idx="3">
                  <c:v>9480</c:v>
                </c:pt>
                <c:pt idx="4">
                  <c:v>11642</c:v>
                </c:pt>
                <c:pt idx="5">
                  <c:v>11705</c:v>
                </c:pt>
                <c:pt idx="6">
                  <c:v>11837</c:v>
                </c:pt>
                <c:pt idx="7">
                  <c:v>13101</c:v>
                </c:pt>
                <c:pt idx="8">
                  <c:v>14194</c:v>
                </c:pt>
                <c:pt idx="9">
                  <c:v>15760</c:v>
                </c:pt>
                <c:pt idx="10">
                  <c:v>15667</c:v>
                </c:pt>
                <c:pt idx="11">
                  <c:v>14338</c:v>
                </c:pt>
                <c:pt idx="12">
                  <c:v>11816</c:v>
                </c:pt>
                <c:pt idx="13">
                  <c:v>14095</c:v>
                </c:pt>
                <c:pt idx="14">
                  <c:v>14001</c:v>
                </c:pt>
                <c:pt idx="15">
                  <c:v>14123</c:v>
                </c:pt>
                <c:pt idx="16">
                  <c:v>14599</c:v>
                </c:pt>
                <c:pt idx="17">
                  <c:v>15160</c:v>
                </c:pt>
                <c:pt idx="18">
                  <c:v>15352</c:v>
                </c:pt>
                <c:pt idx="19">
                  <c:v>15631</c:v>
                </c:pt>
                <c:pt idx="20">
                  <c:v>16887</c:v>
                </c:pt>
                <c:pt idx="21">
                  <c:v>17549</c:v>
                </c:pt>
                <c:pt idx="22">
                  <c:v>17090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C2-4C56-8B45-F53532CEF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989288"/>
        <c:axId val="758989944"/>
      </c:scatterChart>
      <c:catAx>
        <c:axId val="758989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989944"/>
        <c:crosses val="autoZero"/>
        <c:auto val="1"/>
        <c:lblAlgn val="ctr"/>
        <c:lblOffset val="100"/>
        <c:noMultiLvlLbl val="0"/>
      </c:catAx>
      <c:valAx>
        <c:axId val="75898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98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'1.ES.MAD.MSE.MAPE.TS.Resi'!$C$3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'1.ES.MAD.MSE.MAPE.TS.Resi'!$B$7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'1.ES.MAD.MSE.MAPE.TS.Resi'!$A$8:$A$57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'1.ES.MAD.MSE.MAPE.TS.Resi'!$B$8:$B$57</c:f>
              <c:numCache>
                <c:formatCode>General</c:formatCode>
                <c:ptCount val="50"/>
                <c:pt idx="0">
                  <c:v>6464</c:v>
                </c:pt>
                <c:pt idx="1">
                  <c:v>7475</c:v>
                </c:pt>
                <c:pt idx="2">
                  <c:v>8237</c:v>
                </c:pt>
                <c:pt idx="3">
                  <c:v>9480</c:v>
                </c:pt>
                <c:pt idx="4">
                  <c:v>11642</c:v>
                </c:pt>
                <c:pt idx="5">
                  <c:v>11705</c:v>
                </c:pt>
                <c:pt idx="6">
                  <c:v>11837</c:v>
                </c:pt>
                <c:pt idx="7">
                  <c:v>13101</c:v>
                </c:pt>
                <c:pt idx="8">
                  <c:v>14194</c:v>
                </c:pt>
                <c:pt idx="9">
                  <c:v>15760</c:v>
                </c:pt>
                <c:pt idx="10">
                  <c:v>15667</c:v>
                </c:pt>
                <c:pt idx="11">
                  <c:v>14338</c:v>
                </c:pt>
                <c:pt idx="12">
                  <c:v>11816</c:v>
                </c:pt>
                <c:pt idx="13">
                  <c:v>14095</c:v>
                </c:pt>
                <c:pt idx="14">
                  <c:v>14001</c:v>
                </c:pt>
                <c:pt idx="15">
                  <c:v>14123</c:v>
                </c:pt>
                <c:pt idx="16">
                  <c:v>14599</c:v>
                </c:pt>
                <c:pt idx="17">
                  <c:v>15160</c:v>
                </c:pt>
                <c:pt idx="18">
                  <c:v>15352</c:v>
                </c:pt>
                <c:pt idx="19">
                  <c:v>15631</c:v>
                </c:pt>
                <c:pt idx="20">
                  <c:v>16887</c:v>
                </c:pt>
                <c:pt idx="21">
                  <c:v>17549</c:v>
                </c:pt>
                <c:pt idx="22">
                  <c:v>17090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40-4B39-8AFD-B9E01EAFA36F}"/>
            </c:ext>
          </c:extLst>
        </c:ser>
        <c:ser>
          <c:idx val="1"/>
          <c:order val="1"/>
          <c:tx>
            <c:strRef>
              <c:f>'1.ES.MAD.MSE.MAPE.TS.Resi'!$C$7</c:f>
              <c:strCache>
                <c:ptCount val="1"/>
                <c:pt idx="0">
                  <c:v>Ft=(1-α)Ft+αAt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'1.ES.MAD.MSE.MAPE.TS.Resi'!$A$8:$A$57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'1.ES.MAD.MSE.MAPE.TS.Resi'!$C$8:$C$57</c:f>
              <c:numCache>
                <c:formatCode>0.0</c:formatCode>
                <c:ptCount val="50"/>
                <c:pt idx="0">
                  <c:v>7264</c:v>
                </c:pt>
                <c:pt idx="1">
                  <c:v>7264</c:v>
                </c:pt>
                <c:pt idx="2">
                  <c:v>8275</c:v>
                </c:pt>
                <c:pt idx="3">
                  <c:v>9037</c:v>
                </c:pt>
                <c:pt idx="4">
                  <c:v>10280</c:v>
                </c:pt>
                <c:pt idx="5">
                  <c:v>12442</c:v>
                </c:pt>
                <c:pt idx="6">
                  <c:v>12505</c:v>
                </c:pt>
                <c:pt idx="7">
                  <c:v>12637</c:v>
                </c:pt>
                <c:pt idx="8">
                  <c:v>13901</c:v>
                </c:pt>
                <c:pt idx="9">
                  <c:v>14994</c:v>
                </c:pt>
                <c:pt idx="10">
                  <c:v>16560</c:v>
                </c:pt>
                <c:pt idx="11">
                  <c:v>16467</c:v>
                </c:pt>
                <c:pt idx="12">
                  <c:v>15138</c:v>
                </c:pt>
                <c:pt idx="13">
                  <c:v>12616</c:v>
                </c:pt>
                <c:pt idx="14">
                  <c:v>14895</c:v>
                </c:pt>
                <c:pt idx="15">
                  <c:v>14801</c:v>
                </c:pt>
                <c:pt idx="16">
                  <c:v>14923</c:v>
                </c:pt>
                <c:pt idx="17">
                  <c:v>15399</c:v>
                </c:pt>
                <c:pt idx="18">
                  <c:v>15960</c:v>
                </c:pt>
                <c:pt idx="19">
                  <c:v>16152</c:v>
                </c:pt>
                <c:pt idx="20">
                  <c:v>16431</c:v>
                </c:pt>
                <c:pt idx="21">
                  <c:v>17687</c:v>
                </c:pt>
                <c:pt idx="22">
                  <c:v>18349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40-4B39-8AFD-B9E01EAFA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valAx>
        <c:axId val="222748168"/>
        <c:scaling>
          <c:orientation val="minMax"/>
          <c:max val="2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560"/>
        <c:crosses val="autoZero"/>
        <c:crossBetween val="midCat"/>
        <c:majorUnit val="5"/>
      </c:valAx>
      <c:valAx>
        <c:axId val="2227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Tracking Signal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'1.ES.MAD.MSE.MAPE.TS.Resi'!$K$7</c:f>
              <c:strCache>
                <c:ptCount val="1"/>
                <c:pt idx="0">
                  <c:v>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'1.ES.MAD.MSE.MAPE.TS.Resi'!$A$8:$A$57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'1.ES.MAD.MSE.MAPE.TS.Resi'!$K$8:$K$57</c:f>
              <c:numCache>
                <c:formatCode>0.0</c:formatCode>
                <c:ptCount val="50"/>
                <c:pt idx="0">
                  <c:v>-800</c:v>
                </c:pt>
                <c:pt idx="1">
                  <c:v>-589</c:v>
                </c:pt>
                <c:pt idx="2">
                  <c:v>-627</c:v>
                </c:pt>
                <c:pt idx="3">
                  <c:v>-184</c:v>
                </c:pt>
                <c:pt idx="4">
                  <c:v>1178</c:v>
                </c:pt>
                <c:pt idx="5">
                  <c:v>441</c:v>
                </c:pt>
                <c:pt idx="6">
                  <c:v>-227</c:v>
                </c:pt>
                <c:pt idx="7">
                  <c:v>237</c:v>
                </c:pt>
                <c:pt idx="8">
                  <c:v>530</c:v>
                </c:pt>
                <c:pt idx="9">
                  <c:v>1296</c:v>
                </c:pt>
                <c:pt idx="10">
                  <c:v>403</c:v>
                </c:pt>
                <c:pt idx="11">
                  <c:v>-1726</c:v>
                </c:pt>
                <c:pt idx="12">
                  <c:v>-5048</c:v>
                </c:pt>
                <c:pt idx="13">
                  <c:v>-3569</c:v>
                </c:pt>
                <c:pt idx="14">
                  <c:v>-4463</c:v>
                </c:pt>
                <c:pt idx="15">
                  <c:v>-5141</c:v>
                </c:pt>
                <c:pt idx="16">
                  <c:v>-5465</c:v>
                </c:pt>
                <c:pt idx="17">
                  <c:v>-5704</c:v>
                </c:pt>
                <c:pt idx="18">
                  <c:v>-6312</c:v>
                </c:pt>
                <c:pt idx="19">
                  <c:v>-6833</c:v>
                </c:pt>
                <c:pt idx="20">
                  <c:v>-6377</c:v>
                </c:pt>
                <c:pt idx="21">
                  <c:v>-6515</c:v>
                </c:pt>
                <c:pt idx="22">
                  <c:v>-7774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D2-4658-8602-FF04585A1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26288"/>
        <c:axId val="486823104"/>
      </c:scatterChart>
      <c:scatterChart>
        <c:scatterStyle val="smoothMarker"/>
        <c:varyColors val="0"/>
        <c:ser>
          <c:idx val="1"/>
          <c:order val="1"/>
          <c:tx>
            <c:strRef>
              <c:f>'1.ES.MAD.MSE.MAPE.TS.Resi'!$P$1</c:f>
              <c:strCache>
                <c:ptCount val="1"/>
                <c:pt idx="0">
                  <c:v>UCL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'1.ES.MAD.MSE.MAPE.TS.Resi'!$N$2:$N$3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'1.ES.MAD.MSE.MAPE.TS.Resi'!$P$2:$P$3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D2-4658-8602-FF04585A1EA0}"/>
            </c:ext>
          </c:extLst>
        </c:ser>
        <c:ser>
          <c:idx val="2"/>
          <c:order val="2"/>
          <c:tx>
            <c:strRef>
              <c:f>'1.ES.MAD.MSE.MAPE.TS.Resi'!$Q$1</c:f>
              <c:strCache>
                <c:ptCount val="1"/>
                <c:pt idx="0">
                  <c:v>LCL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'1.ES.MAD.MSE.MAPE.TS.Resi'!$N$2:$N$3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'1.ES.MAD.MSE.MAPE.TS.Resi'!$Q$2:$Q$3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8D2-4658-8602-FF04585A1EA0}"/>
            </c:ext>
          </c:extLst>
        </c:ser>
        <c:ser>
          <c:idx val="3"/>
          <c:order val="3"/>
          <c:tx>
            <c:strRef>
              <c:f>'1.ES.MAD.MSE.MAPE.TS.Resi'!$O$1</c:f>
              <c:strCache>
                <c:ptCount val="1"/>
                <c:pt idx="0">
                  <c:v>Center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'1.ES.MAD.MSE.MAPE.TS.Resi'!$N$2:$N$3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'1.ES.MAD.MSE.MAPE.TS.Resi'!$O$2:$O$3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8D2-4658-8602-FF04585A1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26288"/>
        <c:axId val="486823104"/>
      </c:scatterChart>
      <c:valAx>
        <c:axId val="582526288"/>
        <c:scaling>
          <c:orientation val="minMax"/>
          <c:max val="5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6823104"/>
        <c:crosses val="autoZero"/>
        <c:crossBetween val="midCat"/>
      </c:valAx>
      <c:valAx>
        <c:axId val="4868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8252628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'1.ES.MAD.MSE.MAPE.TS.Resi'!$D$7</c:f>
          <c:strCache>
            <c:ptCount val="1"/>
            <c:pt idx="0">
              <c:v>E=At-Ft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'1.ES.MAD.MSE.MAPE.TS.Resi'!$D$7</c:f>
              <c:strCache>
                <c:ptCount val="1"/>
                <c:pt idx="0">
                  <c:v>E=At-Ft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'1.ES.MAD.MSE.MAPE.TS.Resi'!$A$8:$A$57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'1.ES.MAD.MSE.MAPE.TS.Resi'!$D$8:$D$57</c:f>
              <c:numCache>
                <c:formatCode>0.0</c:formatCode>
                <c:ptCount val="50"/>
                <c:pt idx="0">
                  <c:v>-800</c:v>
                </c:pt>
                <c:pt idx="1">
                  <c:v>211</c:v>
                </c:pt>
                <c:pt idx="2">
                  <c:v>-38</c:v>
                </c:pt>
                <c:pt idx="3">
                  <c:v>443</c:v>
                </c:pt>
                <c:pt idx="4">
                  <c:v>1362</c:v>
                </c:pt>
                <c:pt idx="5">
                  <c:v>-737</c:v>
                </c:pt>
                <c:pt idx="6">
                  <c:v>-668</c:v>
                </c:pt>
                <c:pt idx="7">
                  <c:v>464</c:v>
                </c:pt>
                <c:pt idx="8">
                  <c:v>293</c:v>
                </c:pt>
                <c:pt idx="9">
                  <c:v>766</c:v>
                </c:pt>
                <c:pt idx="10">
                  <c:v>-893</c:v>
                </c:pt>
                <c:pt idx="11">
                  <c:v>-2129</c:v>
                </c:pt>
                <c:pt idx="12">
                  <c:v>-3322</c:v>
                </c:pt>
                <c:pt idx="13">
                  <c:v>1479</c:v>
                </c:pt>
                <c:pt idx="14">
                  <c:v>-894</c:v>
                </c:pt>
                <c:pt idx="15">
                  <c:v>-678</c:v>
                </c:pt>
                <c:pt idx="16">
                  <c:v>-324</c:v>
                </c:pt>
                <c:pt idx="17">
                  <c:v>-239</c:v>
                </c:pt>
                <c:pt idx="18">
                  <c:v>-608</c:v>
                </c:pt>
                <c:pt idx="19">
                  <c:v>-521</c:v>
                </c:pt>
                <c:pt idx="20">
                  <c:v>456</c:v>
                </c:pt>
                <c:pt idx="21">
                  <c:v>-138</c:v>
                </c:pt>
                <c:pt idx="22">
                  <c:v>-1259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C9-489F-A4DB-AFB5AD08D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26288"/>
        <c:axId val="486823104"/>
      </c:scatterChart>
      <c:scatterChart>
        <c:scatterStyle val="smoothMarker"/>
        <c:varyColors val="0"/>
        <c:ser>
          <c:idx val="1"/>
          <c:order val="1"/>
          <c:tx>
            <c:strRef>
              <c:f>'1.ES.MAD.MSE.MAPE.TS.Resi'!$P$1</c:f>
              <c:strCache>
                <c:ptCount val="1"/>
                <c:pt idx="0">
                  <c:v>UCL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'1.ES.MAD.MSE.MAPE.TS.Resi'!$N$2:$N$3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'1.ES.MAD.MSE.MAPE.TS.Resi'!$P$2:$P$3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CC9-489F-A4DB-AFB5AD08DE79}"/>
            </c:ext>
          </c:extLst>
        </c:ser>
        <c:ser>
          <c:idx val="2"/>
          <c:order val="2"/>
          <c:tx>
            <c:strRef>
              <c:f>'1.ES.MAD.MSE.MAPE.TS.Resi'!$Q$1</c:f>
              <c:strCache>
                <c:ptCount val="1"/>
                <c:pt idx="0">
                  <c:v>LCL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'1.ES.MAD.MSE.MAPE.TS.Resi'!$N$2:$N$3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'1.ES.MAD.MSE.MAPE.TS.Resi'!$Q$2:$Q$3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CC9-489F-A4DB-AFB5AD08DE79}"/>
            </c:ext>
          </c:extLst>
        </c:ser>
        <c:ser>
          <c:idx val="3"/>
          <c:order val="3"/>
          <c:tx>
            <c:strRef>
              <c:f>'1.ES.MAD.MSE.MAPE.TS.Resi'!$O$1</c:f>
              <c:strCache>
                <c:ptCount val="1"/>
                <c:pt idx="0">
                  <c:v>Center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'1.ES.MAD.MSE.MAPE.TS.Resi'!$N$2:$N$3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'1.ES.MAD.MSE.MAPE.TS.Resi'!$O$2:$O$3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CC9-489F-A4DB-AFB5AD08D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26288"/>
        <c:axId val="486823104"/>
      </c:scatterChart>
      <c:valAx>
        <c:axId val="582526288"/>
        <c:scaling>
          <c:orientation val="minMax"/>
          <c:max val="5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6823104"/>
        <c:crosses val="autoZero"/>
        <c:crossBetween val="midCat"/>
      </c:valAx>
      <c:valAx>
        <c:axId val="4868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8252628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B050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'1.ForcReg'!$B$6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'1.ForcReg'!$A$7:$A$48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'1.ForcReg'!$B$7:$B$48</c:f>
              <c:numCache>
                <c:formatCode>General</c:formatCode>
                <c:ptCount val="4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  <c:pt idx="26">
                  <c:v>4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7</c:v>
                </c:pt>
                <c:pt idx="32">
                  <c:v>0</c:v>
                </c:pt>
                <c:pt idx="33">
                  <c:v>3</c:v>
                </c:pt>
                <c:pt idx="34">
                  <c:v>1</c:v>
                </c:pt>
                <c:pt idx="35">
                  <c:v>5</c:v>
                </c:pt>
                <c:pt idx="36">
                  <c:v>2</c:v>
                </c:pt>
                <c:pt idx="37">
                  <c:v>0</c:v>
                </c:pt>
                <c:pt idx="38">
                  <c:v>5</c:v>
                </c:pt>
                <c:pt idx="39">
                  <c:v>5</c:v>
                </c:pt>
                <c:pt idx="40">
                  <c:v>0</c:v>
                </c:pt>
                <c:pt idx="4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F3-425B-B9DC-369A8F3D7ECD}"/>
            </c:ext>
          </c:extLst>
        </c:ser>
        <c:ser>
          <c:idx val="1"/>
          <c:order val="1"/>
          <c:tx>
            <c:strRef>
              <c:f>'1.ForcReg'!$C$6</c:f>
              <c:strCache>
                <c:ptCount val="1"/>
                <c:pt idx="0">
                  <c:v>Yhat (Reg)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'1.ForcReg'!$A$7:$A$48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'1.ForcReg'!$C$7:$C$48</c:f>
              <c:numCache>
                <c:formatCode>0.00</c:formatCode>
                <c:ptCount val="42"/>
                <c:pt idx="0">
                  <c:v>1.3222591362126246</c:v>
                </c:pt>
                <c:pt idx="1">
                  <c:v>1.3727412689409286</c:v>
                </c:pt>
                <c:pt idx="2">
                  <c:v>1.4232234016692327</c:v>
                </c:pt>
                <c:pt idx="3">
                  <c:v>1.4737055343975367</c:v>
                </c:pt>
                <c:pt idx="4">
                  <c:v>1.5241876671258408</c:v>
                </c:pt>
                <c:pt idx="5">
                  <c:v>1.5746697998541448</c:v>
                </c:pt>
                <c:pt idx="6">
                  <c:v>1.6251519325824488</c:v>
                </c:pt>
                <c:pt idx="7">
                  <c:v>1.6756340653107529</c:v>
                </c:pt>
                <c:pt idx="8">
                  <c:v>1.7261161980390569</c:v>
                </c:pt>
                <c:pt idx="9">
                  <c:v>1.776598330767361</c:v>
                </c:pt>
                <c:pt idx="10">
                  <c:v>1.827080463495665</c:v>
                </c:pt>
                <c:pt idx="11">
                  <c:v>1.8775625962239688</c:v>
                </c:pt>
                <c:pt idx="12">
                  <c:v>1.9280447289522729</c:v>
                </c:pt>
                <c:pt idx="13">
                  <c:v>1.9785268616805769</c:v>
                </c:pt>
                <c:pt idx="14">
                  <c:v>2.0290089944088807</c:v>
                </c:pt>
                <c:pt idx="15">
                  <c:v>2.0794911271371852</c:v>
                </c:pt>
                <c:pt idx="16">
                  <c:v>2.1299732598654888</c:v>
                </c:pt>
                <c:pt idx="17">
                  <c:v>2.1804553925937933</c:v>
                </c:pt>
                <c:pt idx="18">
                  <c:v>2.2309375253220969</c:v>
                </c:pt>
                <c:pt idx="19">
                  <c:v>2.2814196580504014</c:v>
                </c:pt>
                <c:pt idx="20">
                  <c:v>2.331901790778705</c:v>
                </c:pt>
                <c:pt idx="21">
                  <c:v>2.3823839235070094</c:v>
                </c:pt>
                <c:pt idx="22">
                  <c:v>2.432866056235313</c:v>
                </c:pt>
                <c:pt idx="23">
                  <c:v>2.4833481889636171</c:v>
                </c:pt>
                <c:pt idx="24">
                  <c:v>2.5338303216919211</c:v>
                </c:pt>
                <c:pt idx="25">
                  <c:v>2.5843124544202252</c:v>
                </c:pt>
                <c:pt idx="26">
                  <c:v>2.6347945871485292</c:v>
                </c:pt>
                <c:pt idx="27">
                  <c:v>2.6852767198768333</c:v>
                </c:pt>
                <c:pt idx="28">
                  <c:v>2.7357588526051373</c:v>
                </c:pt>
                <c:pt idx="29">
                  <c:v>2.7862409853334413</c:v>
                </c:pt>
                <c:pt idx="30">
                  <c:v>2.8367231180617454</c:v>
                </c:pt>
                <c:pt idx="31">
                  <c:v>2.8872052507900494</c:v>
                </c:pt>
                <c:pt idx="32">
                  <c:v>2.9376873835183535</c:v>
                </c:pt>
                <c:pt idx="33">
                  <c:v>2.9881695162466575</c:v>
                </c:pt>
                <c:pt idx="34">
                  <c:v>3.0386516489749615</c:v>
                </c:pt>
                <c:pt idx="35">
                  <c:v>3.0891337817032656</c:v>
                </c:pt>
                <c:pt idx="36">
                  <c:v>3.1396159144315696</c:v>
                </c:pt>
                <c:pt idx="37">
                  <c:v>3.1900980471598737</c:v>
                </c:pt>
                <c:pt idx="38">
                  <c:v>3.2405801798881777</c:v>
                </c:pt>
                <c:pt idx="39">
                  <c:v>3.2910623126164817</c:v>
                </c:pt>
                <c:pt idx="40">
                  <c:v>3.3415444453447858</c:v>
                </c:pt>
                <c:pt idx="41">
                  <c:v>3.3920265780730898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F3-425B-B9DC-369A8F3D7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174080"/>
        <c:axId val="664169816"/>
      </c:scatterChart>
      <c:valAx>
        <c:axId val="66417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169816"/>
        <c:crosses val="autoZero"/>
        <c:crossBetween val="midCat"/>
      </c:valAx>
      <c:valAx>
        <c:axId val="66416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17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'2.Regression'!$Q$2</c:f>
          <c:strCache>
            <c:ptCount val="1"/>
            <c:pt idx="0">
              <c:v>Regression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'2.Regression'!$C$2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'2.Regression'!$B$3:$B$52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'2.Regression'!$C$3:$C$52</c:f>
              <c:numCache>
                <c:formatCode>General</c:formatCode>
                <c:ptCount val="50"/>
                <c:pt idx="0">
                  <c:v>26</c:v>
                </c:pt>
                <c:pt idx="1">
                  <c:v>22</c:v>
                </c:pt>
                <c:pt idx="2">
                  <c:v>11</c:v>
                </c:pt>
                <c:pt idx="3">
                  <c:v>3</c:v>
                </c:pt>
                <c:pt idx="4">
                  <c:v>28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32</c:v>
                </c:pt>
                <c:pt idx="9">
                  <c:v>41</c:v>
                </c:pt>
                <c:pt idx="10">
                  <c:v>9</c:v>
                </c:pt>
                <c:pt idx="11">
                  <c:v>14</c:v>
                </c:pt>
                <c:pt idx="12">
                  <c:v>35</c:v>
                </c:pt>
                <c:pt idx="13">
                  <c:v>39</c:v>
                </c:pt>
                <c:pt idx="14">
                  <c:v>28</c:v>
                </c:pt>
                <c:pt idx="15">
                  <c:v>19</c:v>
                </c:pt>
                <c:pt idx="16">
                  <c:v>68</c:v>
                </c:pt>
                <c:pt idx="17">
                  <c:v>16</c:v>
                </c:pt>
                <c:pt idx="18">
                  <c:v>27</c:v>
                </c:pt>
                <c:pt idx="19">
                  <c:v>10</c:v>
                </c:pt>
                <c:pt idx="20">
                  <c:v>27</c:v>
                </c:pt>
                <c:pt idx="21">
                  <c:v>38</c:v>
                </c:pt>
                <c:pt idx="22">
                  <c:v>38</c:v>
                </c:pt>
                <c:pt idx="23">
                  <c:v>32</c:v>
                </c:pt>
                <c:pt idx="24">
                  <c:v>36</c:v>
                </c:pt>
                <c:pt idx="25">
                  <c:v>53</c:v>
                </c:pt>
                <c:pt idx="26">
                  <c:v>45</c:v>
                </c:pt>
                <c:pt idx="27">
                  <c:v>23</c:v>
                </c:pt>
                <c:pt idx="28">
                  <c:v>16</c:v>
                </c:pt>
                <c:pt idx="29">
                  <c:v>20</c:v>
                </c:pt>
                <c:pt idx="30">
                  <c:v>29</c:v>
                </c:pt>
                <c:pt idx="31">
                  <c:v>78</c:v>
                </c:pt>
                <c:pt idx="32">
                  <c:v>3</c:v>
                </c:pt>
                <c:pt idx="33">
                  <c:v>31</c:v>
                </c:pt>
                <c:pt idx="34">
                  <c:v>12</c:v>
                </c:pt>
                <c:pt idx="35">
                  <c:v>55</c:v>
                </c:pt>
                <c:pt idx="36">
                  <c:v>20</c:v>
                </c:pt>
                <c:pt idx="37">
                  <c:v>6</c:v>
                </c:pt>
                <c:pt idx="38">
                  <c:v>59</c:v>
                </c:pt>
                <c:pt idx="39">
                  <c:v>51</c:v>
                </c:pt>
                <c:pt idx="40">
                  <c:v>2</c:v>
                </c:pt>
                <c:pt idx="41">
                  <c:v>67</c:v>
                </c:pt>
                <c:pt idx="42">
                  <c:v>65</c:v>
                </c:pt>
                <c:pt idx="43">
                  <c:v>43</c:v>
                </c:pt>
                <c:pt idx="44">
                  <c:v>27</c:v>
                </c:pt>
                <c:pt idx="45">
                  <c:v>31</c:v>
                </c:pt>
                <c:pt idx="46">
                  <c:v>43</c:v>
                </c:pt>
                <c:pt idx="47">
                  <c:v>15</c:v>
                </c:pt>
                <c:pt idx="48">
                  <c:v>37</c:v>
                </c:pt>
                <c:pt idx="49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D-46A1-AEAF-8263DD15336B}"/>
            </c:ext>
          </c:extLst>
        </c:ser>
        <c:ser>
          <c:idx val="1"/>
          <c:order val="1"/>
          <c:tx>
            <c:strRef>
              <c:f>'2.Regression'!$D$2</c:f>
              <c:strCache>
                <c:ptCount val="1"/>
                <c:pt idx="0">
                  <c:v>Yhat (Reg)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'2.Regression'!$B$3:$B$52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'2.Regression'!$D$3:$D$52</c:f>
              <c:numCache>
                <c:formatCode>0.0</c:formatCode>
                <c:ptCount val="50"/>
                <c:pt idx="0">
                  <c:v>19.818823529411763</c:v>
                </c:pt>
                <c:pt idx="1">
                  <c:v>20.229483793517407</c:v>
                </c:pt>
                <c:pt idx="2">
                  <c:v>20.640144057623047</c:v>
                </c:pt>
                <c:pt idx="3">
                  <c:v>21.050804321728691</c:v>
                </c:pt>
                <c:pt idx="4">
                  <c:v>21.461464585834332</c:v>
                </c:pt>
                <c:pt idx="5">
                  <c:v>21.872124849939976</c:v>
                </c:pt>
                <c:pt idx="6">
                  <c:v>22.282785114045616</c:v>
                </c:pt>
                <c:pt idx="7">
                  <c:v>22.69344537815126</c:v>
                </c:pt>
                <c:pt idx="8">
                  <c:v>23.104105642256901</c:v>
                </c:pt>
                <c:pt idx="9">
                  <c:v>23.514765906362545</c:v>
                </c:pt>
                <c:pt idx="10">
                  <c:v>23.925426170468185</c:v>
                </c:pt>
                <c:pt idx="11">
                  <c:v>24.336086434573829</c:v>
                </c:pt>
                <c:pt idx="12">
                  <c:v>24.74674669867947</c:v>
                </c:pt>
                <c:pt idx="13">
                  <c:v>25.15740696278511</c:v>
                </c:pt>
                <c:pt idx="14">
                  <c:v>25.568067226890754</c:v>
                </c:pt>
                <c:pt idx="15">
                  <c:v>25.978727490996398</c:v>
                </c:pt>
                <c:pt idx="16">
                  <c:v>26.389387755102039</c:v>
                </c:pt>
                <c:pt idx="17">
                  <c:v>26.800048019207679</c:v>
                </c:pt>
                <c:pt idx="18">
                  <c:v>27.210708283313323</c:v>
                </c:pt>
                <c:pt idx="19">
                  <c:v>27.621368547418967</c:v>
                </c:pt>
                <c:pt idx="20">
                  <c:v>28.032028811524608</c:v>
                </c:pt>
                <c:pt idx="21">
                  <c:v>28.442689075630248</c:v>
                </c:pt>
                <c:pt idx="22">
                  <c:v>28.853349339735892</c:v>
                </c:pt>
                <c:pt idx="23">
                  <c:v>29.264009603841533</c:v>
                </c:pt>
                <c:pt idx="24">
                  <c:v>29.674669867947173</c:v>
                </c:pt>
                <c:pt idx="25">
                  <c:v>30.085330132052817</c:v>
                </c:pt>
                <c:pt idx="26">
                  <c:v>30.495990396158462</c:v>
                </c:pt>
                <c:pt idx="27">
                  <c:v>30.906650660264102</c:v>
                </c:pt>
                <c:pt idx="28">
                  <c:v>31.317310924369743</c:v>
                </c:pt>
                <c:pt idx="29">
                  <c:v>31.727971188475387</c:v>
                </c:pt>
                <c:pt idx="30">
                  <c:v>32.138631452581031</c:v>
                </c:pt>
                <c:pt idx="31">
                  <c:v>32.549291716686668</c:v>
                </c:pt>
                <c:pt idx="32">
                  <c:v>32.959951980792312</c:v>
                </c:pt>
                <c:pt idx="33">
                  <c:v>33.370612244897956</c:v>
                </c:pt>
                <c:pt idx="34">
                  <c:v>33.7812725090036</c:v>
                </c:pt>
                <c:pt idx="35">
                  <c:v>34.191932773109244</c:v>
                </c:pt>
                <c:pt idx="36">
                  <c:v>34.602593037214881</c:v>
                </c:pt>
                <c:pt idx="37">
                  <c:v>35.013253301320525</c:v>
                </c:pt>
                <c:pt idx="38">
                  <c:v>35.423913565426162</c:v>
                </c:pt>
                <c:pt idx="39">
                  <c:v>35.834573829531806</c:v>
                </c:pt>
                <c:pt idx="40">
                  <c:v>36.24523409363745</c:v>
                </c:pt>
                <c:pt idx="41">
                  <c:v>36.655894357743094</c:v>
                </c:pt>
                <c:pt idx="42">
                  <c:v>37.066554621848738</c:v>
                </c:pt>
                <c:pt idx="43">
                  <c:v>37.477214885954382</c:v>
                </c:pt>
                <c:pt idx="44">
                  <c:v>37.887875150060019</c:v>
                </c:pt>
                <c:pt idx="45">
                  <c:v>38.298535414165663</c:v>
                </c:pt>
                <c:pt idx="46">
                  <c:v>38.7091956782713</c:v>
                </c:pt>
                <c:pt idx="47">
                  <c:v>39.119855942376944</c:v>
                </c:pt>
                <c:pt idx="48">
                  <c:v>39.530516206482588</c:v>
                </c:pt>
                <c:pt idx="49">
                  <c:v>39.941176470588232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D-46A1-AEAF-8263DD153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231288"/>
        <c:axId val="663231680"/>
      </c:scatterChart>
      <c:valAx>
        <c:axId val="663231288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1680"/>
        <c:crosses val="autoZero"/>
        <c:crossBetween val="midCat"/>
      </c:valAx>
      <c:valAx>
        <c:axId val="66323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1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'3.Orders-Arrived'!$C$1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'3.Orders-Arrived'!$B$2:$B$51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'3.Orders-Arrived'!$C$2:$C$51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2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5</c:v>
                </c:pt>
                <c:pt idx="4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C5-44D2-BA30-1B46B2D8BF5C}"/>
            </c:ext>
          </c:extLst>
        </c:ser>
        <c:ser>
          <c:idx val="1"/>
          <c:order val="1"/>
          <c:tx>
            <c:strRef>
              <c:f>'3.Orders-Arrived'!$D$1</c:f>
              <c:strCache>
                <c:ptCount val="1"/>
                <c:pt idx="0">
                  <c:v>Ft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'3.Orders-Arrived'!$B$2:$B$51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'3.Orders-Arrived'!$D$2:$D$51</c:f>
              <c:numCache>
                <c:formatCode>General</c:formatCode>
                <c:ptCount val="50"/>
                <c:pt idx="0">
                  <c:v>1.1882352941176471</c:v>
                </c:pt>
                <c:pt idx="1">
                  <c:v>1.2646338535414166</c:v>
                </c:pt>
                <c:pt idx="2">
                  <c:v>1.341032412965186</c:v>
                </c:pt>
                <c:pt idx="3">
                  <c:v>1.4174309723889555</c:v>
                </c:pt>
                <c:pt idx="4">
                  <c:v>1.493829531812725</c:v>
                </c:pt>
                <c:pt idx="5">
                  <c:v>1.5702280912364945</c:v>
                </c:pt>
                <c:pt idx="6">
                  <c:v>1.6466266506602643</c:v>
                </c:pt>
                <c:pt idx="7">
                  <c:v>1.7230252100840335</c:v>
                </c:pt>
                <c:pt idx="8">
                  <c:v>1.7994237695078033</c:v>
                </c:pt>
                <c:pt idx="9">
                  <c:v>1.8758223289315725</c:v>
                </c:pt>
                <c:pt idx="10">
                  <c:v>1.9522208883553422</c:v>
                </c:pt>
                <c:pt idx="11">
                  <c:v>2.0286194477791115</c:v>
                </c:pt>
                <c:pt idx="12">
                  <c:v>2.1050180072028812</c:v>
                </c:pt>
                <c:pt idx="13">
                  <c:v>2.181416566626651</c:v>
                </c:pt>
                <c:pt idx="14">
                  <c:v>2.2578151260504202</c:v>
                </c:pt>
                <c:pt idx="15">
                  <c:v>2.3342136854741895</c:v>
                </c:pt>
                <c:pt idx="16">
                  <c:v>2.4106122448979592</c:v>
                </c:pt>
                <c:pt idx="17">
                  <c:v>2.4870108043217289</c:v>
                </c:pt>
                <c:pt idx="18">
                  <c:v>2.5634093637454982</c:v>
                </c:pt>
                <c:pt idx="19">
                  <c:v>2.6398079231692675</c:v>
                </c:pt>
                <c:pt idx="20">
                  <c:v>2.7162064825930372</c:v>
                </c:pt>
                <c:pt idx="21">
                  <c:v>2.7926050420168069</c:v>
                </c:pt>
                <c:pt idx="22">
                  <c:v>2.8690036014405762</c:v>
                </c:pt>
                <c:pt idx="23">
                  <c:v>2.9454021608643459</c:v>
                </c:pt>
                <c:pt idx="24">
                  <c:v>3.0218007202881152</c:v>
                </c:pt>
                <c:pt idx="25">
                  <c:v>3.0981992797118849</c:v>
                </c:pt>
                <c:pt idx="26">
                  <c:v>3.1745978391356542</c:v>
                </c:pt>
                <c:pt idx="27">
                  <c:v>3.2509963985594239</c:v>
                </c:pt>
                <c:pt idx="28">
                  <c:v>3.3273949579831932</c:v>
                </c:pt>
                <c:pt idx="29">
                  <c:v>3.4037935174069629</c:v>
                </c:pt>
                <c:pt idx="30">
                  <c:v>3.4801920768307322</c:v>
                </c:pt>
                <c:pt idx="31">
                  <c:v>3.5565906362545019</c:v>
                </c:pt>
                <c:pt idx="32">
                  <c:v>3.6329891956782716</c:v>
                </c:pt>
                <c:pt idx="33">
                  <c:v>3.7093877551020409</c:v>
                </c:pt>
                <c:pt idx="34">
                  <c:v>3.7857863145258106</c:v>
                </c:pt>
                <c:pt idx="35">
                  <c:v>3.8621848739495799</c:v>
                </c:pt>
                <c:pt idx="36">
                  <c:v>3.9385834333733496</c:v>
                </c:pt>
                <c:pt idx="37">
                  <c:v>4.0149819927971189</c:v>
                </c:pt>
                <c:pt idx="38">
                  <c:v>4.0913805522208886</c:v>
                </c:pt>
                <c:pt idx="39">
                  <c:v>4.1677791116446574</c:v>
                </c:pt>
                <c:pt idx="40">
                  <c:v>4.244177671068428</c:v>
                </c:pt>
                <c:pt idx="41">
                  <c:v>4.3205762304921969</c:v>
                </c:pt>
                <c:pt idx="42">
                  <c:v>4.3969747899159666</c:v>
                </c:pt>
                <c:pt idx="43">
                  <c:v>4.4733733493397363</c:v>
                </c:pt>
                <c:pt idx="44">
                  <c:v>4.5497719087635051</c:v>
                </c:pt>
                <c:pt idx="45">
                  <c:v>4.6261704681872748</c:v>
                </c:pt>
                <c:pt idx="46">
                  <c:v>4.7025690276110446</c:v>
                </c:pt>
                <c:pt idx="47">
                  <c:v>4.7789675870348143</c:v>
                </c:pt>
                <c:pt idx="48">
                  <c:v>4.855366146458584</c:v>
                </c:pt>
                <c:pt idx="49">
                  <c:v>4.9317647058823528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C5-44D2-BA30-1B46B2D8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420952"/>
        <c:axId val="712419640"/>
      </c:scatterChart>
      <c:valAx>
        <c:axId val="712420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419640"/>
        <c:crosses val="autoZero"/>
        <c:crossBetween val="midCat"/>
      </c:valAx>
      <c:valAx>
        <c:axId val="7124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42095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1" Type="http://schemas.openxmlformats.org/officeDocument/2006/relationships/customXml" Target="../ink/ink1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603250</xdr:colOff>
      <xdr:row>0</xdr:row>
      <xdr:rowOff>114300</xdr:rowOff>
    </xdr:from>
    <xdr:to>
      <xdr:col>12</xdr:col>
      <xdr:colOff>298450</xdr:colOff>
      <xdr:row>14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1367EA-6F6B-4736-ABF9-96D19ACFC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596900</xdr:colOff>
      <xdr:row>15</xdr:row>
      <xdr:rowOff>95250</xdr:rowOff>
    </xdr:from>
    <xdr:to>
      <xdr:col>12</xdr:col>
      <xdr:colOff>292100</xdr:colOff>
      <xdr:row>29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68D02E-D8EC-4079-B19D-50F2AED93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412750</xdr:colOff>
      <xdr:row>6</xdr:row>
      <xdr:rowOff>177800</xdr:rowOff>
    </xdr:from>
    <xdr:to>
      <xdr:col>17</xdr:col>
      <xdr:colOff>107950</xdr:colOff>
      <xdr:row>21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9E917-E81A-4B4A-8515-7A95CB761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754857</xdr:colOff>
      <xdr:row>5</xdr:row>
      <xdr:rowOff>9526</xdr:rowOff>
    </xdr:from>
    <xdr:to>
      <xdr:col>18</xdr:col>
      <xdr:colOff>504826</xdr:colOff>
      <xdr:row>18</xdr:row>
      <xdr:rowOff>54769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3F8094-A75D-4A92-AE57-3B9F9E2C3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106911</xdr:colOff>
      <xdr:row>7</xdr:row>
      <xdr:rowOff>203400</xdr:rowOff>
    </xdr:from>
    <xdr:to>
      <xdr:col>26</xdr:col>
      <xdr:colOff>430468</xdr:colOff>
      <xdr:row>20</xdr:row>
      <xdr:rowOff>142727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E20679-7B4B-4A6B-A586-C3310608C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748872</xdr:colOff>
      <xdr:row>20</xdr:row>
      <xdr:rowOff>158795</xdr:rowOff>
    </xdr:from>
    <xdr:to>
      <xdr:col>18</xdr:col>
      <xdr:colOff>520332</xdr:colOff>
      <xdr:row>37</xdr:row>
      <xdr:rowOff>154803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E1AF7D-E0FA-4237-AA0F-DEC2AFFFC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280987</xdr:colOff>
      <xdr:row>4</xdr:row>
      <xdr:rowOff>142875</xdr:rowOff>
    </xdr:from>
    <xdr:to>
      <xdr:col>8</xdr:col>
      <xdr:colOff>785812</xdr:colOff>
      <xdr:row>18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383715</xdr:colOff>
      <xdr:row>18</xdr:row>
      <xdr:rowOff>126675</xdr:rowOff>
    </xdr:from>
    <xdr:to>
      <xdr:col>3</xdr:col>
      <xdr:colOff>384075</xdr:colOff>
      <xdr:row>18</xdr:row>
      <xdr:rowOff>133515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14:cNvPr>
            <xdr14:cNvContentPartPr/>
          </xdr14:nvContentPartPr>
          <xdr14:nvPr macro=""/>
          <xdr14:xfrm>
            <a:off x="1602915" y="3431850"/>
            <a:ext cx="360" cy="684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91035" y="3419970"/>
              <a:ext cx="241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17</xdr:col>
      <xdr:colOff>497087</xdr:colOff>
      <xdr:row>2</xdr:row>
      <xdr:rowOff>72030</xdr:rowOff>
    </xdr:from>
    <xdr:to>
      <xdr:col>26</xdr:col>
      <xdr:colOff>59531</xdr:colOff>
      <xdr:row>20</xdr:row>
      <xdr:rowOff>148828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1059180</xdr:colOff>
      <xdr:row>50</xdr:row>
      <xdr:rowOff>34290</xdr:rowOff>
    </xdr:from>
    <xdr:to>
      <xdr:col>19</xdr:col>
      <xdr:colOff>167640</xdr:colOff>
      <xdr:row>65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0CCDBD-B4B2-47F4-8360-424F3E523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27</xdr:row>
      <xdr:rowOff>66676</xdr:rowOff>
    </xdr:from>
    <xdr:to>
      <xdr:col>12</xdr:col>
      <xdr:colOff>238125</xdr:colOff>
      <xdr:row>40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391568</xdr:colOff>
      <xdr:row>27</xdr:row>
      <xdr:rowOff>79723</xdr:rowOff>
    </xdr:from>
    <xdr:to>
      <xdr:col>18</xdr:col>
      <xdr:colOff>143527</xdr:colOff>
      <xdr:row>40</xdr:row>
      <xdr:rowOff>108298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288491</xdr:colOff>
      <xdr:row>27</xdr:row>
      <xdr:rowOff>92771</xdr:rowOff>
    </xdr:from>
    <xdr:to>
      <xdr:col>25</xdr:col>
      <xdr:colOff>182672</xdr:colOff>
      <xdr:row>40</xdr:row>
      <xdr:rowOff>107058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276225</xdr:colOff>
      <xdr:row>41</xdr:row>
      <xdr:rowOff>4762</xdr:rowOff>
    </xdr:from>
    <xdr:to>
      <xdr:col>12</xdr:col>
      <xdr:colOff>221815</xdr:colOff>
      <xdr:row>56</xdr:row>
      <xdr:rowOff>65239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404619</xdr:colOff>
      <xdr:row>41</xdr:row>
      <xdr:rowOff>22574</xdr:rowOff>
    </xdr:from>
    <xdr:to>
      <xdr:col>18</xdr:col>
      <xdr:colOff>143528</xdr:colOff>
      <xdr:row>56</xdr:row>
      <xdr:rowOff>94012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294492</xdr:colOff>
      <xdr:row>41</xdr:row>
      <xdr:rowOff>26096</xdr:rowOff>
    </xdr:from>
    <xdr:to>
      <xdr:col>25</xdr:col>
      <xdr:colOff>208767</xdr:colOff>
      <xdr:row>56</xdr:row>
      <xdr:rowOff>104383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14</xdr:row>
      <xdr:rowOff>114299</xdr:rowOff>
    </xdr:from>
    <xdr:to>
      <xdr:col>12</xdr:col>
      <xdr:colOff>523875</xdr:colOff>
      <xdr:row>27</xdr:row>
      <xdr:rowOff>61911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47625</xdr:colOff>
      <xdr:row>14</xdr:row>
      <xdr:rowOff>123825</xdr:rowOff>
    </xdr:from>
    <xdr:to>
      <xdr:col>19</xdr:col>
      <xdr:colOff>257175</xdr:colOff>
      <xdr:row>27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371475</xdr:colOff>
      <xdr:row>14</xdr:row>
      <xdr:rowOff>123825</xdr:rowOff>
    </xdr:from>
    <xdr:to>
      <xdr:col>25</xdr:col>
      <xdr:colOff>581025</xdr:colOff>
      <xdr:row>27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571500</xdr:colOff>
      <xdr:row>27</xdr:row>
      <xdr:rowOff>157162</xdr:rowOff>
    </xdr:from>
    <xdr:to>
      <xdr:col>12</xdr:col>
      <xdr:colOff>552450</xdr:colOff>
      <xdr:row>43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76200</xdr:colOff>
      <xdr:row>28</xdr:row>
      <xdr:rowOff>0</xdr:rowOff>
    </xdr:from>
    <xdr:to>
      <xdr:col>19</xdr:col>
      <xdr:colOff>314325</xdr:colOff>
      <xdr:row>43</xdr:row>
      <xdr:rowOff>71438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438150</xdr:colOff>
      <xdr:row>28</xdr:row>
      <xdr:rowOff>19050</xdr:rowOff>
    </xdr:from>
    <xdr:to>
      <xdr:col>26</xdr:col>
      <xdr:colOff>66675</xdr:colOff>
      <xdr:row>43</xdr:row>
      <xdr:rowOff>90488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968" units="cm"/>
          <inkml:channel name="Y" type="integer" max="2240" units="cm"/>
          <inkml:channel name="T" type="integer" max="2.14748E9" units="dev"/>
        </inkml:traceFormat>
        <inkml:channelProperties>
          <inkml:channelProperty channel="X" name="resolution" value="128" units="1/cm"/>
          <inkml:channelProperty channel="Y" name="resolution" value="128.73564" units="1/cm"/>
          <inkml:channelProperty channel="T" name="resolution" value="1" units="1/dev"/>
        </inkml:channelProperties>
      </inkml:inkSource>
      <inkml:timestamp xml:id="ts0" timeString="2016-09-28T06:44:18.663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-442 1490 0,'0'0'0,"0"0"0,0 0 0,0 0 0,0 0 0,0 0 0,0 9 0,0-9 0,0 0 0,0 0 0,0 9 0,0-9 0,0 0 0,0 0 0,0 0 0,0 0 0,0 0 0,0 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4F9D-6EB8-4989-AE65-AD7F9B368540}">
  <sheetPr>
    <tabColor rgb="FFFFFF00"/>
  </sheetPr>
  <dimension ref="A1:F24"/>
  <sheetViews>
    <sheetView tabSelected="1" zoomScale="150" zoomScaleNormal="150" workbookViewId="0">
      <selection activeCell="M1" sqref="M1"/>
    </sheetView>
  </sheetViews>
  <sheetFormatPr defaultRowHeight="16.5" x14ac:dyDescent="0.3"/>
  <cols>
    <col min="1" max="1" width="11.5703125" style="92" bestFit="1" customWidth="1"/>
    <col min="2" max="2" width="13.85546875" style="92" bestFit="1" customWidth="1"/>
    <col min="3" max="16384" width="9.140625" style="92"/>
  </cols>
  <sheetData>
    <row r="1" spans="1:6" x14ac:dyDescent="0.3">
      <c r="A1" s="187" t="s">
        <v>121</v>
      </c>
      <c r="B1" s="187" t="s">
        <v>120</v>
      </c>
      <c r="C1" s="187" t="s">
        <v>119</v>
      </c>
    </row>
    <row r="2" spans="1:6" x14ac:dyDescent="0.3">
      <c r="A2" s="189" t="s">
        <v>118</v>
      </c>
      <c r="B2" s="188">
        <v>1</v>
      </c>
      <c r="C2" s="188">
        <v>6464</v>
      </c>
      <c r="D2" s="190"/>
      <c r="E2" s="190"/>
      <c r="F2" s="190">
        <f>C2/2</f>
        <v>3232</v>
      </c>
    </row>
    <row r="3" spans="1:6" x14ac:dyDescent="0.3">
      <c r="A3" s="189" t="s">
        <v>117</v>
      </c>
      <c r="B3" s="188">
        <v>2</v>
      </c>
      <c r="C3" s="188">
        <v>7475</v>
      </c>
    </row>
    <row r="4" spans="1:6" x14ac:dyDescent="0.3">
      <c r="A4" s="189" t="s">
        <v>116</v>
      </c>
      <c r="B4" s="188">
        <v>3</v>
      </c>
      <c r="C4" s="188">
        <v>8237</v>
      </c>
    </row>
    <row r="5" spans="1:6" x14ac:dyDescent="0.3">
      <c r="A5" s="189" t="s">
        <v>115</v>
      </c>
      <c r="B5" s="188">
        <v>4</v>
      </c>
      <c r="C5" s="188">
        <v>9480</v>
      </c>
    </row>
    <row r="6" spans="1:6" x14ac:dyDescent="0.3">
      <c r="A6" s="189" t="s">
        <v>114</v>
      </c>
      <c r="B6" s="188">
        <v>5</v>
      </c>
      <c r="C6" s="188">
        <v>11642</v>
      </c>
    </row>
    <row r="7" spans="1:6" x14ac:dyDescent="0.3">
      <c r="A7" s="189" t="s">
        <v>113</v>
      </c>
      <c r="B7" s="188">
        <v>6</v>
      </c>
      <c r="C7" s="188">
        <v>11705</v>
      </c>
    </row>
    <row r="8" spans="1:6" x14ac:dyDescent="0.3">
      <c r="A8" s="189" t="s">
        <v>112</v>
      </c>
      <c r="B8" s="188">
        <v>7</v>
      </c>
      <c r="C8" s="188">
        <v>11837</v>
      </c>
    </row>
    <row r="9" spans="1:6" x14ac:dyDescent="0.3">
      <c r="A9" s="189" t="s">
        <v>111</v>
      </c>
      <c r="B9" s="188">
        <v>8</v>
      </c>
      <c r="C9" s="188">
        <v>13101</v>
      </c>
    </row>
    <row r="10" spans="1:6" x14ac:dyDescent="0.3">
      <c r="A10" s="189" t="s">
        <v>110</v>
      </c>
      <c r="B10" s="188">
        <v>9</v>
      </c>
      <c r="C10" s="188">
        <v>14194</v>
      </c>
    </row>
    <row r="11" spans="1:6" x14ac:dyDescent="0.3">
      <c r="A11" s="189" t="s">
        <v>109</v>
      </c>
      <c r="B11" s="188">
        <v>10</v>
      </c>
      <c r="C11" s="188">
        <v>15760</v>
      </c>
    </row>
    <row r="12" spans="1:6" x14ac:dyDescent="0.3">
      <c r="A12" s="189" t="s">
        <v>108</v>
      </c>
      <c r="B12" s="188">
        <v>11</v>
      </c>
      <c r="C12" s="188">
        <v>15667</v>
      </c>
    </row>
    <row r="13" spans="1:6" x14ac:dyDescent="0.3">
      <c r="A13" s="189" t="s">
        <v>107</v>
      </c>
      <c r="B13" s="188">
        <v>12</v>
      </c>
      <c r="C13" s="188">
        <v>14338</v>
      </c>
    </row>
    <row r="14" spans="1:6" x14ac:dyDescent="0.3">
      <c r="A14" s="189" t="s">
        <v>106</v>
      </c>
      <c r="B14" s="188">
        <v>13</v>
      </c>
      <c r="C14" s="188">
        <v>11816</v>
      </c>
    </row>
    <row r="15" spans="1:6" x14ac:dyDescent="0.3">
      <c r="A15" s="189" t="s">
        <v>105</v>
      </c>
      <c r="B15" s="188">
        <v>14</v>
      </c>
      <c r="C15" s="188">
        <v>14095</v>
      </c>
    </row>
    <row r="16" spans="1:6" x14ac:dyDescent="0.3">
      <c r="A16" s="189" t="s">
        <v>104</v>
      </c>
      <c r="B16" s="188">
        <v>15</v>
      </c>
      <c r="C16" s="188">
        <v>14001</v>
      </c>
    </row>
    <row r="17" spans="1:3" x14ac:dyDescent="0.3">
      <c r="A17" s="189" t="s">
        <v>103</v>
      </c>
      <c r="B17" s="188">
        <v>16</v>
      </c>
      <c r="C17" s="188">
        <v>14123</v>
      </c>
    </row>
    <row r="18" spans="1:3" x14ac:dyDescent="0.3">
      <c r="A18" s="189" t="s">
        <v>102</v>
      </c>
      <c r="B18" s="188">
        <v>17</v>
      </c>
      <c r="C18" s="188">
        <v>14599</v>
      </c>
    </row>
    <row r="19" spans="1:3" x14ac:dyDescent="0.3">
      <c r="A19" s="189" t="s">
        <v>101</v>
      </c>
      <c r="B19" s="188">
        <v>18</v>
      </c>
      <c r="C19" s="188">
        <v>15160</v>
      </c>
    </row>
    <row r="20" spans="1:3" x14ac:dyDescent="0.3">
      <c r="A20" s="189" t="s">
        <v>100</v>
      </c>
      <c r="B20" s="188">
        <v>19</v>
      </c>
      <c r="C20" s="188">
        <v>15352</v>
      </c>
    </row>
    <row r="21" spans="1:3" x14ac:dyDescent="0.3">
      <c r="A21" s="189" t="s">
        <v>99</v>
      </c>
      <c r="B21" s="188">
        <v>20</v>
      </c>
      <c r="C21" s="188">
        <v>15631</v>
      </c>
    </row>
    <row r="22" spans="1:3" x14ac:dyDescent="0.3">
      <c r="A22" s="189" t="s">
        <v>98</v>
      </c>
      <c r="B22" s="188">
        <v>21</v>
      </c>
      <c r="C22" s="188">
        <v>16887</v>
      </c>
    </row>
    <row r="23" spans="1:3" x14ac:dyDescent="0.3">
      <c r="A23" s="189" t="s">
        <v>97</v>
      </c>
      <c r="B23" s="188">
        <v>22</v>
      </c>
      <c r="C23" s="188">
        <v>17549</v>
      </c>
    </row>
    <row r="24" spans="1:3" x14ac:dyDescent="0.3">
      <c r="A24" s="189" t="s">
        <v>96</v>
      </c>
      <c r="B24" s="188">
        <v>23</v>
      </c>
      <c r="C24" s="188">
        <v>17090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80"/>
  <sheetViews>
    <sheetView workbookViewId="0">
      <selection activeCell="AA25" sqref="AA25"/>
    </sheetView>
  </sheetViews>
  <sheetFormatPr defaultRowHeight="12.75" x14ac:dyDescent="0.2"/>
  <cols>
    <col min="1" max="1" width="4.42578125" style="3" bestFit="1" customWidth="1"/>
    <col min="2" max="5" width="9.140625" style="3"/>
    <col min="6" max="6" width="10.7109375" style="3" bestFit="1" customWidth="1"/>
    <col min="7" max="8" width="5" style="3" bestFit="1" customWidth="1"/>
    <col min="9" max="9" width="9.7109375" style="3" bestFit="1" customWidth="1"/>
    <col min="10" max="10" width="5.85546875" style="3" bestFit="1" customWidth="1"/>
    <col min="11" max="11" width="4.7109375" style="3" bestFit="1" customWidth="1"/>
    <col min="12" max="12" width="8.5703125" style="3" bestFit="1" customWidth="1"/>
    <col min="13" max="16384" width="9.140625" style="3"/>
  </cols>
  <sheetData>
    <row r="1" spans="1:17" ht="13.5" thickBot="1" x14ac:dyDescent="0.25">
      <c r="A1" s="2" t="s">
        <v>1</v>
      </c>
      <c r="B1" s="3" t="s">
        <v>2</v>
      </c>
      <c r="C1" s="3" t="s">
        <v>3</v>
      </c>
      <c r="D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7" ht="13.5" thickBot="1" x14ac:dyDescent="0.25">
      <c r="F2" s="5" t="str">
        <f>G2&amp;" - "&amp;H2</f>
        <v>100 - 200</v>
      </c>
      <c r="G2" s="6">
        <v>100</v>
      </c>
      <c r="H2" s="7">
        <f>G2+100</f>
        <v>200</v>
      </c>
      <c r="I2" s="8">
        <f t="shared" ref="I2:I14" si="0">COUNTIF($C$3:$C$77, "&lt;"&amp;H2)</f>
        <v>1</v>
      </c>
      <c r="J2" s="7">
        <f>I2</f>
        <v>1</v>
      </c>
      <c r="K2" s="9">
        <f>J2/$J$15</f>
        <v>1.3333333333333334E-2</v>
      </c>
      <c r="L2" s="10">
        <f>I2/$J$15</f>
        <v>1.3333333333333334E-2</v>
      </c>
      <c r="N2" s="11" t="s">
        <v>12</v>
      </c>
      <c r="O2" s="12">
        <f>AVERAGE(B$3:B$77)</f>
        <v>549.66666666666663</v>
      </c>
      <c r="P2" s="12">
        <f>AVERAGE(C$3:C$77)</f>
        <v>549.66666666666663</v>
      </c>
      <c r="Q2" s="13">
        <f>AVERAGE(D$3:D$77)</f>
        <v>549.66666666666663</v>
      </c>
    </row>
    <row r="3" spans="1:17" ht="13.5" thickBot="1" x14ac:dyDescent="0.25">
      <c r="A3" s="14">
        <v>1</v>
      </c>
      <c r="B3" s="15">
        <v>495</v>
      </c>
      <c r="C3" s="16">
        <v>176</v>
      </c>
      <c r="D3" s="17">
        <v>346</v>
      </c>
      <c r="F3" s="18" t="str">
        <f t="shared" ref="F3:F14" si="1">G3&amp;" - "&amp;H3</f>
        <v>200 - 300</v>
      </c>
      <c r="G3" s="19">
        <f>H2</f>
        <v>200</v>
      </c>
      <c r="H3" s="19">
        <f t="shared" ref="H3:H14" si="2">G3+100</f>
        <v>300</v>
      </c>
      <c r="I3" s="8">
        <f t="shared" si="0"/>
        <v>11</v>
      </c>
      <c r="J3" s="19">
        <f>I3-I2</f>
        <v>10</v>
      </c>
      <c r="K3" s="20">
        <f t="shared" ref="K3:K14" si="3">J3/$J$15</f>
        <v>0.13333333333333333</v>
      </c>
      <c r="L3" s="21">
        <f t="shared" ref="L3:L14" si="4">I3/$J$15</f>
        <v>0.14666666666666667</v>
      </c>
      <c r="N3" s="22" t="s">
        <v>13</v>
      </c>
      <c r="O3" s="23">
        <f>MAX(B$3:B$77)</f>
        <v>1330</v>
      </c>
      <c r="P3" s="23">
        <f>MAX(C$3:C$77)</f>
        <v>1330</v>
      </c>
      <c r="Q3" s="24">
        <f>MAX(D$3:D$77)</f>
        <v>1330</v>
      </c>
    </row>
    <row r="4" spans="1:17" ht="13.5" thickBot="1" x14ac:dyDescent="0.25">
      <c r="A4" s="14">
        <v>2</v>
      </c>
      <c r="B4" s="25">
        <v>204</v>
      </c>
      <c r="C4" s="26">
        <v>204</v>
      </c>
      <c r="D4" s="27">
        <v>775</v>
      </c>
      <c r="F4" s="18" t="str">
        <f t="shared" si="1"/>
        <v>300 - 400</v>
      </c>
      <c r="G4" s="19">
        <f t="shared" ref="G4:G13" si="5">H3</f>
        <v>300</v>
      </c>
      <c r="H4" s="19">
        <f t="shared" si="2"/>
        <v>400</v>
      </c>
      <c r="I4" s="8">
        <f t="shared" si="0"/>
        <v>24</v>
      </c>
      <c r="J4" s="19">
        <f t="shared" ref="J4:J14" si="6">I4-I3</f>
        <v>13</v>
      </c>
      <c r="K4" s="20">
        <f t="shared" si="3"/>
        <v>0.17333333333333334</v>
      </c>
      <c r="L4" s="21">
        <f t="shared" si="4"/>
        <v>0.32</v>
      </c>
      <c r="N4" s="22" t="s">
        <v>14</v>
      </c>
      <c r="O4" s="23">
        <f>MIN(B$3:B$77)</f>
        <v>176</v>
      </c>
      <c r="P4" s="23">
        <f>MIN(C$3:C$77)</f>
        <v>176</v>
      </c>
      <c r="Q4" s="24">
        <f>MIN(D$3:D$77)</f>
        <v>176</v>
      </c>
    </row>
    <row r="5" spans="1:17" ht="13.5" thickBot="1" x14ac:dyDescent="0.25">
      <c r="A5" s="14">
        <v>3</v>
      </c>
      <c r="B5" s="25">
        <v>318</v>
      </c>
      <c r="C5" s="26">
        <v>218</v>
      </c>
      <c r="D5" s="27">
        <v>572</v>
      </c>
      <c r="F5" s="18" t="str">
        <f t="shared" si="1"/>
        <v>400 - 500</v>
      </c>
      <c r="G5" s="19">
        <f t="shared" si="5"/>
        <v>400</v>
      </c>
      <c r="H5" s="19">
        <f t="shared" si="2"/>
        <v>500</v>
      </c>
      <c r="I5" s="8">
        <f t="shared" si="0"/>
        <v>33</v>
      </c>
      <c r="J5" s="19">
        <f t="shared" si="6"/>
        <v>9</v>
      </c>
      <c r="K5" s="20">
        <f t="shared" si="3"/>
        <v>0.12</v>
      </c>
      <c r="L5" s="21">
        <f t="shared" si="4"/>
        <v>0.44</v>
      </c>
      <c r="N5" s="22" t="s">
        <v>5</v>
      </c>
      <c r="O5" s="23">
        <f>O3-O4</f>
        <v>1154</v>
      </c>
      <c r="P5" s="23">
        <f>P3-P4</f>
        <v>1154</v>
      </c>
      <c r="Q5" s="24">
        <f>Q3-Q4</f>
        <v>1154</v>
      </c>
    </row>
    <row r="6" spans="1:17" ht="13.5" thickBot="1" x14ac:dyDescent="0.25">
      <c r="A6" s="14">
        <v>4</v>
      </c>
      <c r="B6" s="25">
        <v>802</v>
      </c>
      <c r="C6" s="26">
        <v>439</v>
      </c>
      <c r="D6" s="27">
        <v>455</v>
      </c>
      <c r="F6" s="18" t="str">
        <f t="shared" si="1"/>
        <v>500 - 600</v>
      </c>
      <c r="G6" s="19">
        <f t="shared" si="5"/>
        <v>500</v>
      </c>
      <c r="H6" s="19">
        <f t="shared" si="2"/>
        <v>600</v>
      </c>
      <c r="I6" s="8">
        <f t="shared" si="0"/>
        <v>49</v>
      </c>
      <c r="J6" s="19">
        <f t="shared" si="6"/>
        <v>16</v>
      </c>
      <c r="K6" s="20">
        <f t="shared" si="3"/>
        <v>0.21333333333333335</v>
      </c>
      <c r="L6" s="21">
        <f t="shared" si="4"/>
        <v>0.65333333333333332</v>
      </c>
      <c r="N6" s="22" t="s">
        <v>15</v>
      </c>
      <c r="O6" s="23">
        <f>_xlfn.STDEV.S(B$3:B$77)</f>
        <v>244.87626954727034</v>
      </c>
      <c r="P6" s="23">
        <f>_xlfn.STDEV.S(C$3:C$77)</f>
        <v>244.87626954727034</v>
      </c>
      <c r="Q6" s="24">
        <f>_xlfn.STDEV.S(D$3:D$77)</f>
        <v>244.87626954727034</v>
      </c>
    </row>
    <row r="7" spans="1:17" ht="13.5" thickBot="1" x14ac:dyDescent="0.25">
      <c r="A7" s="14">
        <v>5</v>
      </c>
      <c r="B7" s="25">
        <v>446</v>
      </c>
      <c r="C7" s="26">
        <v>229</v>
      </c>
      <c r="D7" s="27">
        <v>176</v>
      </c>
      <c r="F7" s="18" t="str">
        <f t="shared" si="1"/>
        <v>600 - 700</v>
      </c>
      <c r="G7" s="19">
        <f t="shared" si="5"/>
        <v>600</v>
      </c>
      <c r="H7" s="19">
        <f t="shared" si="2"/>
        <v>700</v>
      </c>
      <c r="I7" s="8">
        <f t="shared" si="0"/>
        <v>54</v>
      </c>
      <c r="J7" s="19">
        <f t="shared" si="6"/>
        <v>5</v>
      </c>
      <c r="K7" s="20">
        <f t="shared" si="3"/>
        <v>6.6666666666666666E-2</v>
      </c>
      <c r="L7" s="21">
        <f t="shared" si="4"/>
        <v>0.72</v>
      </c>
      <c r="N7" s="22" t="s">
        <v>16</v>
      </c>
      <c r="O7" s="23">
        <f>O6/O2</f>
        <v>0.44549958074094059</v>
      </c>
      <c r="P7" s="23">
        <f>P6/P2</f>
        <v>0.44549958074094059</v>
      </c>
      <c r="Q7" s="24">
        <f>Q6/Q2</f>
        <v>0.44549958074094059</v>
      </c>
    </row>
    <row r="8" spans="1:17" ht="13.5" thickBot="1" x14ac:dyDescent="0.25">
      <c r="A8" s="14">
        <v>6</v>
      </c>
      <c r="B8" s="25">
        <v>568</v>
      </c>
      <c r="C8" s="26">
        <v>249</v>
      </c>
      <c r="D8" s="27">
        <v>412</v>
      </c>
      <c r="F8" s="18" t="str">
        <f t="shared" si="1"/>
        <v>700 - 800</v>
      </c>
      <c r="G8" s="19">
        <f t="shared" si="5"/>
        <v>700</v>
      </c>
      <c r="H8" s="19">
        <f t="shared" si="2"/>
        <v>800</v>
      </c>
      <c r="I8" s="8">
        <f t="shared" si="0"/>
        <v>61</v>
      </c>
      <c r="J8" s="19">
        <f t="shared" si="6"/>
        <v>7</v>
      </c>
      <c r="K8" s="20">
        <f t="shared" si="3"/>
        <v>9.3333333333333338E-2</v>
      </c>
      <c r="L8" s="21">
        <f t="shared" si="4"/>
        <v>0.81333333333333335</v>
      </c>
      <c r="N8" s="22" t="s">
        <v>17</v>
      </c>
      <c r="O8" s="23">
        <f>O5/O2</f>
        <v>2.099454214675561</v>
      </c>
      <c r="P8" s="23">
        <f>P5/P2</f>
        <v>2.099454214675561</v>
      </c>
      <c r="Q8" s="24">
        <f>Q5/Q2</f>
        <v>2.099454214675561</v>
      </c>
    </row>
    <row r="9" spans="1:17" ht="13.5" thickBot="1" x14ac:dyDescent="0.25">
      <c r="A9" s="14">
        <v>7</v>
      </c>
      <c r="B9" s="25">
        <v>372</v>
      </c>
      <c r="C9" s="26">
        <v>227</v>
      </c>
      <c r="D9" s="27">
        <v>926</v>
      </c>
      <c r="F9" s="18" t="str">
        <f t="shared" si="1"/>
        <v>800 - 900</v>
      </c>
      <c r="G9" s="19">
        <f t="shared" si="5"/>
        <v>800</v>
      </c>
      <c r="H9" s="19">
        <f t="shared" si="2"/>
        <v>900</v>
      </c>
      <c r="I9" s="8">
        <f t="shared" si="0"/>
        <v>69</v>
      </c>
      <c r="J9" s="19">
        <f t="shared" si="6"/>
        <v>8</v>
      </c>
      <c r="K9" s="20">
        <f t="shared" si="3"/>
        <v>0.10666666666666667</v>
      </c>
      <c r="L9" s="21">
        <f t="shared" si="4"/>
        <v>0.92</v>
      </c>
      <c r="N9" s="28" t="s">
        <v>18</v>
      </c>
      <c r="O9" s="29">
        <f>SKEW(B$3:B$77)</f>
        <v>0.77576152004140142</v>
      </c>
      <c r="P9" s="29">
        <f>SKEW(C$3:C$77)</f>
        <v>0.77576152004140153</v>
      </c>
      <c r="Q9" s="30">
        <f>SKEW(D$3:D$77)</f>
        <v>0.77576152004140153</v>
      </c>
    </row>
    <row r="10" spans="1:17" ht="13.5" thickBot="1" x14ac:dyDescent="0.25">
      <c r="A10" s="14">
        <v>8</v>
      </c>
      <c r="B10" s="25">
        <v>281</v>
      </c>
      <c r="C10" s="26">
        <v>256</v>
      </c>
      <c r="D10" s="27">
        <v>710</v>
      </c>
      <c r="F10" s="18" t="str">
        <f t="shared" si="1"/>
        <v>900 - 1000</v>
      </c>
      <c r="G10" s="19">
        <f t="shared" si="5"/>
        <v>900</v>
      </c>
      <c r="H10" s="19">
        <f t="shared" si="2"/>
        <v>1000</v>
      </c>
      <c r="I10" s="8">
        <f t="shared" si="0"/>
        <v>71</v>
      </c>
      <c r="J10" s="19">
        <f t="shared" si="6"/>
        <v>2</v>
      </c>
      <c r="K10" s="20">
        <f t="shared" si="3"/>
        <v>2.6666666666666668E-2</v>
      </c>
      <c r="L10" s="21">
        <f t="shared" si="4"/>
        <v>0.94666666666666666</v>
      </c>
    </row>
    <row r="11" spans="1:17" ht="13.5" thickBot="1" x14ac:dyDescent="0.25">
      <c r="A11" s="14">
        <v>9</v>
      </c>
      <c r="B11" s="25">
        <v>676</v>
      </c>
      <c r="C11" s="26">
        <v>304</v>
      </c>
      <c r="D11" s="27">
        <v>514</v>
      </c>
      <c r="F11" s="18" t="str">
        <f t="shared" si="1"/>
        <v>1000 - 1100</v>
      </c>
      <c r="G11" s="19">
        <f t="shared" si="5"/>
        <v>1000</v>
      </c>
      <c r="H11" s="19">
        <f t="shared" si="2"/>
        <v>1100</v>
      </c>
      <c r="I11" s="8">
        <f t="shared" si="0"/>
        <v>73</v>
      </c>
      <c r="J11" s="19">
        <f t="shared" si="6"/>
        <v>2</v>
      </c>
      <c r="K11" s="20">
        <f t="shared" si="3"/>
        <v>2.6666666666666668E-2</v>
      </c>
      <c r="L11" s="21">
        <f t="shared" si="4"/>
        <v>0.97333333333333338</v>
      </c>
    </row>
    <row r="12" spans="1:17" ht="13.5" thickBot="1" x14ac:dyDescent="0.25">
      <c r="A12" s="14">
        <v>10</v>
      </c>
      <c r="B12" s="25">
        <v>755</v>
      </c>
      <c r="C12" s="26">
        <v>354</v>
      </c>
      <c r="D12" s="27">
        <v>281</v>
      </c>
      <c r="F12" s="18" t="str">
        <f t="shared" si="1"/>
        <v>1100 - 1200</v>
      </c>
      <c r="G12" s="19">
        <f t="shared" si="5"/>
        <v>1100</v>
      </c>
      <c r="H12" s="19">
        <f t="shared" si="2"/>
        <v>1200</v>
      </c>
      <c r="I12" s="8">
        <f t="shared" si="0"/>
        <v>74</v>
      </c>
      <c r="J12" s="19">
        <f t="shared" si="6"/>
        <v>1</v>
      </c>
      <c r="K12" s="20">
        <f t="shared" si="3"/>
        <v>1.3333333333333334E-2</v>
      </c>
      <c r="L12" s="21">
        <f t="shared" si="4"/>
        <v>0.98666666666666669</v>
      </c>
    </row>
    <row r="13" spans="1:17" ht="13.5" thickBot="1" x14ac:dyDescent="0.25">
      <c r="A13" s="14">
        <v>11</v>
      </c>
      <c r="B13" s="25">
        <v>503</v>
      </c>
      <c r="C13" s="26">
        <v>289</v>
      </c>
      <c r="D13" s="27">
        <v>412</v>
      </c>
      <c r="F13" s="18" t="str">
        <f t="shared" si="1"/>
        <v>1200 - 1300</v>
      </c>
      <c r="G13" s="19">
        <f t="shared" si="5"/>
        <v>1200</v>
      </c>
      <c r="H13" s="19">
        <f t="shared" si="2"/>
        <v>1300</v>
      </c>
      <c r="I13" s="8">
        <f t="shared" si="0"/>
        <v>74</v>
      </c>
      <c r="J13" s="19">
        <f t="shared" si="6"/>
        <v>0</v>
      </c>
      <c r="K13" s="20">
        <f t="shared" si="3"/>
        <v>0</v>
      </c>
      <c r="L13" s="21">
        <f t="shared" si="4"/>
        <v>0.98666666666666669</v>
      </c>
    </row>
    <row r="14" spans="1:17" ht="13.5" thickBot="1" x14ac:dyDescent="0.25">
      <c r="A14" s="14">
        <v>12</v>
      </c>
      <c r="B14" s="25">
        <v>511</v>
      </c>
      <c r="C14" s="26">
        <v>273</v>
      </c>
      <c r="D14" s="27">
        <v>939</v>
      </c>
      <c r="F14" s="31" t="str">
        <f t="shared" si="1"/>
        <v>1300 - 1400</v>
      </c>
      <c r="G14" s="32">
        <f>H13</f>
        <v>1300</v>
      </c>
      <c r="H14" s="32">
        <f t="shared" si="2"/>
        <v>1400</v>
      </c>
      <c r="I14" s="33">
        <f t="shared" si="0"/>
        <v>75</v>
      </c>
      <c r="J14" s="32">
        <f t="shared" si="6"/>
        <v>1</v>
      </c>
      <c r="K14" s="34">
        <f t="shared" si="3"/>
        <v>1.3333333333333334E-2</v>
      </c>
      <c r="L14" s="35">
        <f t="shared" si="4"/>
        <v>1</v>
      </c>
    </row>
    <row r="15" spans="1:17" x14ac:dyDescent="0.2">
      <c r="A15" s="14">
        <v>13</v>
      </c>
      <c r="B15" s="25">
        <v>229</v>
      </c>
      <c r="C15" s="26">
        <v>315</v>
      </c>
      <c r="D15" s="27">
        <v>718</v>
      </c>
      <c r="J15" s="36">
        <f>SUM(J2:J14)</f>
        <v>75</v>
      </c>
      <c r="K15" s="36">
        <f>SUM(K2:K14)</f>
        <v>0.99999999999999989</v>
      </c>
      <c r="L15" s="36"/>
    </row>
    <row r="16" spans="1:17" x14ac:dyDescent="0.2">
      <c r="A16" s="14">
        <v>14</v>
      </c>
      <c r="B16" s="25">
        <v>439</v>
      </c>
      <c r="C16" s="26">
        <v>346</v>
      </c>
      <c r="D16" s="27">
        <v>520</v>
      </c>
    </row>
    <row r="17" spans="1:4" x14ac:dyDescent="0.2">
      <c r="A17" s="14">
        <v>15</v>
      </c>
      <c r="B17" s="25">
        <v>412</v>
      </c>
      <c r="C17" s="26">
        <v>318</v>
      </c>
      <c r="D17" s="27">
        <v>289</v>
      </c>
    </row>
    <row r="18" spans="1:4" x14ac:dyDescent="0.2">
      <c r="A18" s="14">
        <v>16</v>
      </c>
      <c r="B18" s="25">
        <v>775</v>
      </c>
      <c r="C18" s="26">
        <v>330</v>
      </c>
      <c r="D18" s="27">
        <v>434</v>
      </c>
    </row>
    <row r="19" spans="1:4" x14ac:dyDescent="0.2">
      <c r="A19" s="14">
        <v>17</v>
      </c>
      <c r="B19" s="25">
        <v>330</v>
      </c>
      <c r="C19" s="26">
        <v>359</v>
      </c>
      <c r="D19" s="27">
        <v>1045</v>
      </c>
    </row>
    <row r="20" spans="1:4" x14ac:dyDescent="0.2">
      <c r="A20" s="14">
        <v>18</v>
      </c>
      <c r="B20" s="25">
        <v>289</v>
      </c>
      <c r="C20" s="26">
        <v>370</v>
      </c>
      <c r="D20" s="27">
        <v>719</v>
      </c>
    </row>
    <row r="21" spans="1:4" x14ac:dyDescent="0.2">
      <c r="A21" s="14">
        <v>19</v>
      </c>
      <c r="B21" s="25">
        <v>1045</v>
      </c>
      <c r="C21" s="26">
        <v>348</v>
      </c>
      <c r="D21" s="27">
        <v>529</v>
      </c>
    </row>
    <row r="22" spans="1:4" x14ac:dyDescent="0.2">
      <c r="A22" s="14">
        <v>20</v>
      </c>
      <c r="B22" s="25">
        <v>348</v>
      </c>
      <c r="C22" s="26">
        <v>281</v>
      </c>
      <c r="D22" s="27">
        <v>304</v>
      </c>
    </row>
    <row r="23" spans="1:4" x14ac:dyDescent="0.2">
      <c r="A23" s="14">
        <v>21</v>
      </c>
      <c r="B23" s="25">
        <v>249</v>
      </c>
      <c r="C23" s="26">
        <v>356</v>
      </c>
      <c r="D23" s="27">
        <v>439</v>
      </c>
    </row>
    <row r="24" spans="1:4" x14ac:dyDescent="0.2">
      <c r="A24" s="14">
        <v>22</v>
      </c>
      <c r="B24" s="25">
        <v>218</v>
      </c>
      <c r="C24" s="26">
        <v>372</v>
      </c>
      <c r="D24" s="27">
        <v>1045</v>
      </c>
    </row>
    <row r="25" spans="1:4" x14ac:dyDescent="0.2">
      <c r="A25" s="14">
        <v>23</v>
      </c>
      <c r="B25" s="25">
        <v>603</v>
      </c>
      <c r="C25" s="26">
        <v>377</v>
      </c>
      <c r="D25" s="27">
        <v>730</v>
      </c>
    </row>
    <row r="26" spans="1:4" x14ac:dyDescent="0.2">
      <c r="A26" s="14">
        <v>24</v>
      </c>
      <c r="B26" s="25">
        <v>412</v>
      </c>
      <c r="C26" s="26">
        <v>412</v>
      </c>
      <c r="D26" s="27">
        <v>532</v>
      </c>
    </row>
    <row r="27" spans="1:4" x14ac:dyDescent="0.2">
      <c r="A27" s="14">
        <v>25</v>
      </c>
      <c r="B27" s="25">
        <v>608</v>
      </c>
      <c r="C27" s="26">
        <v>503</v>
      </c>
      <c r="D27" s="27">
        <v>315</v>
      </c>
    </row>
    <row r="28" spans="1:4" x14ac:dyDescent="0.2">
      <c r="A28" s="14">
        <v>26</v>
      </c>
      <c r="B28" s="25">
        <v>540</v>
      </c>
      <c r="C28" s="26">
        <v>381</v>
      </c>
      <c r="D28" s="27">
        <v>446</v>
      </c>
    </row>
    <row r="29" spans="1:4" x14ac:dyDescent="0.2">
      <c r="A29" s="14">
        <v>27</v>
      </c>
      <c r="B29" s="25">
        <v>744</v>
      </c>
      <c r="C29" s="26">
        <v>434</v>
      </c>
      <c r="D29" s="27">
        <v>1133</v>
      </c>
    </row>
    <row r="30" spans="1:4" x14ac:dyDescent="0.2">
      <c r="A30" s="14">
        <v>28</v>
      </c>
      <c r="B30" s="25">
        <v>465</v>
      </c>
      <c r="C30" s="26">
        <v>229</v>
      </c>
      <c r="D30" s="27">
        <v>744</v>
      </c>
    </row>
    <row r="31" spans="1:4" x14ac:dyDescent="0.2">
      <c r="A31" s="14">
        <v>29</v>
      </c>
      <c r="B31" s="25">
        <v>577</v>
      </c>
      <c r="C31" s="26">
        <v>446</v>
      </c>
      <c r="D31" s="27">
        <v>540</v>
      </c>
    </row>
    <row r="32" spans="1:4" x14ac:dyDescent="0.2">
      <c r="A32" s="14">
        <v>30</v>
      </c>
      <c r="B32" s="25">
        <v>576</v>
      </c>
      <c r="C32" s="26">
        <v>450</v>
      </c>
      <c r="D32" s="27">
        <v>318</v>
      </c>
    </row>
    <row r="33" spans="1:4" x14ac:dyDescent="0.2">
      <c r="A33" s="14">
        <v>31</v>
      </c>
      <c r="B33" s="25">
        <v>681</v>
      </c>
      <c r="C33" s="26">
        <v>455</v>
      </c>
      <c r="D33" s="27">
        <v>450</v>
      </c>
    </row>
    <row r="34" spans="1:4" x14ac:dyDescent="0.2">
      <c r="A34" s="14">
        <v>32</v>
      </c>
      <c r="B34" s="25">
        <v>842</v>
      </c>
      <c r="C34" s="26">
        <v>465</v>
      </c>
      <c r="D34" s="27">
        <v>1330</v>
      </c>
    </row>
    <row r="35" spans="1:4" x14ac:dyDescent="0.2">
      <c r="A35" s="14">
        <v>33</v>
      </c>
      <c r="B35" s="25">
        <v>256</v>
      </c>
      <c r="C35" s="26">
        <v>495</v>
      </c>
      <c r="D35" s="27">
        <v>755</v>
      </c>
    </row>
    <row r="36" spans="1:4" x14ac:dyDescent="0.2">
      <c r="A36" s="14">
        <v>34</v>
      </c>
      <c r="B36" s="25">
        <v>851</v>
      </c>
      <c r="C36" s="26">
        <v>500</v>
      </c>
      <c r="D36" s="27">
        <v>568</v>
      </c>
    </row>
    <row r="37" spans="1:4" x14ac:dyDescent="0.2">
      <c r="A37" s="14">
        <v>35</v>
      </c>
      <c r="B37" s="25">
        <v>273</v>
      </c>
      <c r="C37" s="26">
        <v>412</v>
      </c>
      <c r="D37" s="27">
        <v>330</v>
      </c>
    </row>
    <row r="38" spans="1:4" x14ac:dyDescent="0.2">
      <c r="A38" s="14">
        <v>36</v>
      </c>
      <c r="B38" s="25">
        <v>856</v>
      </c>
      <c r="C38" s="26">
        <v>508</v>
      </c>
      <c r="D38" s="27">
        <v>348</v>
      </c>
    </row>
    <row r="39" spans="1:4" x14ac:dyDescent="0.2">
      <c r="A39" s="14">
        <v>37</v>
      </c>
      <c r="B39" s="25">
        <v>532</v>
      </c>
      <c r="C39" s="26">
        <v>511</v>
      </c>
      <c r="D39" s="27">
        <v>802</v>
      </c>
    </row>
    <row r="40" spans="1:4" x14ac:dyDescent="0.2">
      <c r="A40" s="14">
        <v>38</v>
      </c>
      <c r="B40" s="25">
        <v>508</v>
      </c>
      <c r="C40" s="26">
        <v>612</v>
      </c>
      <c r="D40" s="27">
        <v>576</v>
      </c>
    </row>
    <row r="41" spans="1:4" x14ac:dyDescent="0.2">
      <c r="A41" s="14">
        <v>39</v>
      </c>
      <c r="B41" s="25">
        <v>434</v>
      </c>
      <c r="C41" s="26">
        <v>511</v>
      </c>
      <c r="D41" s="27">
        <v>465</v>
      </c>
    </row>
    <row r="42" spans="1:4" x14ac:dyDescent="0.2">
      <c r="A42" s="14">
        <v>40</v>
      </c>
      <c r="B42" s="25">
        <v>597</v>
      </c>
      <c r="C42" s="26">
        <v>514</v>
      </c>
      <c r="D42" s="27">
        <v>204</v>
      </c>
    </row>
    <row r="43" spans="1:4" x14ac:dyDescent="0.2">
      <c r="A43" s="14">
        <v>41</v>
      </c>
      <c r="B43" s="25">
        <v>315</v>
      </c>
      <c r="C43" s="26">
        <v>520</v>
      </c>
      <c r="D43" s="27">
        <v>354</v>
      </c>
    </row>
    <row r="44" spans="1:4" x14ac:dyDescent="0.2">
      <c r="A44" s="14">
        <v>42</v>
      </c>
      <c r="B44" s="25">
        <v>1045</v>
      </c>
      <c r="C44" s="26">
        <v>710</v>
      </c>
      <c r="D44" s="27">
        <v>836</v>
      </c>
    </row>
    <row r="45" spans="1:4" x14ac:dyDescent="0.2">
      <c r="A45" s="14">
        <v>43</v>
      </c>
      <c r="B45" s="25">
        <v>370</v>
      </c>
      <c r="C45" s="26">
        <v>532</v>
      </c>
      <c r="D45" s="27">
        <v>577</v>
      </c>
    </row>
    <row r="46" spans="1:4" x14ac:dyDescent="0.2">
      <c r="A46" s="14">
        <v>44</v>
      </c>
      <c r="B46" s="25">
        <v>354</v>
      </c>
      <c r="C46" s="26">
        <v>540</v>
      </c>
      <c r="D46" s="27">
        <v>495</v>
      </c>
    </row>
    <row r="47" spans="1:4" x14ac:dyDescent="0.2">
      <c r="A47" s="14">
        <v>45</v>
      </c>
      <c r="B47" s="25">
        <v>500</v>
      </c>
      <c r="C47" s="26">
        <v>568</v>
      </c>
      <c r="D47" s="27">
        <v>218</v>
      </c>
    </row>
    <row r="48" spans="1:4" x14ac:dyDescent="0.2">
      <c r="A48" s="14">
        <v>46</v>
      </c>
      <c r="B48" s="25">
        <v>520</v>
      </c>
      <c r="C48" s="26">
        <v>572</v>
      </c>
      <c r="D48" s="27">
        <v>356</v>
      </c>
    </row>
    <row r="49" spans="1:4" x14ac:dyDescent="0.2">
      <c r="A49" s="14">
        <v>47</v>
      </c>
      <c r="B49" s="25">
        <v>356</v>
      </c>
      <c r="C49" s="26">
        <v>576</v>
      </c>
      <c r="D49" s="27">
        <v>842</v>
      </c>
    </row>
    <row r="50" spans="1:4" x14ac:dyDescent="0.2">
      <c r="A50" s="14">
        <v>48</v>
      </c>
      <c r="B50" s="25">
        <v>572</v>
      </c>
      <c r="C50" s="26">
        <v>577</v>
      </c>
      <c r="D50" s="27">
        <v>597</v>
      </c>
    </row>
    <row r="51" spans="1:4" x14ac:dyDescent="0.2">
      <c r="A51" s="14">
        <v>49</v>
      </c>
      <c r="B51" s="25">
        <v>514</v>
      </c>
      <c r="C51" s="26">
        <v>836</v>
      </c>
      <c r="D51" s="27">
        <v>500</v>
      </c>
    </row>
    <row r="52" spans="1:4" x14ac:dyDescent="0.2">
      <c r="A52" s="14">
        <v>50</v>
      </c>
      <c r="B52" s="25">
        <v>842</v>
      </c>
      <c r="C52" s="26">
        <v>603</v>
      </c>
      <c r="D52" s="27">
        <v>227</v>
      </c>
    </row>
    <row r="53" spans="1:4" x14ac:dyDescent="0.2">
      <c r="A53" s="14">
        <v>51</v>
      </c>
      <c r="B53" s="25">
        <v>176</v>
      </c>
      <c r="C53" s="26">
        <v>608</v>
      </c>
      <c r="D53" s="27">
        <v>359</v>
      </c>
    </row>
    <row r="54" spans="1:4" x14ac:dyDescent="0.2">
      <c r="A54" s="14">
        <v>52</v>
      </c>
      <c r="B54" s="25">
        <v>730</v>
      </c>
      <c r="C54" s="26">
        <v>511</v>
      </c>
      <c r="D54" s="27">
        <v>842</v>
      </c>
    </row>
    <row r="55" spans="1:4" x14ac:dyDescent="0.2">
      <c r="A55" s="14">
        <v>53</v>
      </c>
      <c r="B55" s="25">
        <v>377</v>
      </c>
      <c r="C55" s="26">
        <v>676</v>
      </c>
      <c r="D55" s="27">
        <v>603</v>
      </c>
    </row>
    <row r="56" spans="1:4" x14ac:dyDescent="0.2">
      <c r="A56" s="14">
        <v>54</v>
      </c>
      <c r="B56" s="25">
        <v>866</v>
      </c>
      <c r="C56" s="26">
        <v>681</v>
      </c>
      <c r="D56" s="27">
        <v>503</v>
      </c>
    </row>
    <row r="57" spans="1:4" x14ac:dyDescent="0.2">
      <c r="A57" s="14">
        <v>55</v>
      </c>
      <c r="B57" s="25">
        <v>939</v>
      </c>
      <c r="C57" s="26">
        <v>529</v>
      </c>
      <c r="D57" s="27">
        <v>229</v>
      </c>
    </row>
    <row r="58" spans="1:4" x14ac:dyDescent="0.2">
      <c r="A58" s="14">
        <v>56</v>
      </c>
      <c r="B58" s="25">
        <v>926</v>
      </c>
      <c r="C58" s="26">
        <v>718</v>
      </c>
      <c r="D58" s="27">
        <v>370</v>
      </c>
    </row>
    <row r="59" spans="1:4" x14ac:dyDescent="0.2">
      <c r="A59" s="14">
        <v>57</v>
      </c>
      <c r="B59" s="25">
        <v>229</v>
      </c>
      <c r="C59" s="26">
        <v>719</v>
      </c>
      <c r="D59" s="27">
        <v>843</v>
      </c>
    </row>
    <row r="60" spans="1:4" x14ac:dyDescent="0.2">
      <c r="A60" s="14">
        <v>58</v>
      </c>
      <c r="B60" s="25">
        <v>304</v>
      </c>
      <c r="C60" s="26">
        <v>730</v>
      </c>
      <c r="D60" s="27">
        <v>608</v>
      </c>
    </row>
    <row r="61" spans="1:4" x14ac:dyDescent="0.2">
      <c r="A61" s="14">
        <v>59</v>
      </c>
      <c r="B61" s="25">
        <v>450</v>
      </c>
      <c r="C61" s="26">
        <v>866</v>
      </c>
      <c r="D61" s="27">
        <v>508</v>
      </c>
    </row>
    <row r="62" spans="1:4" x14ac:dyDescent="0.2">
      <c r="A62" s="14">
        <v>60</v>
      </c>
      <c r="B62" s="25">
        <v>843</v>
      </c>
      <c r="C62" s="26">
        <v>755</v>
      </c>
      <c r="D62" s="27">
        <v>229</v>
      </c>
    </row>
    <row r="63" spans="1:4" x14ac:dyDescent="0.2">
      <c r="A63" s="14">
        <v>61</v>
      </c>
      <c r="B63" s="25">
        <v>1330</v>
      </c>
      <c r="C63" s="26">
        <v>775</v>
      </c>
      <c r="D63" s="27">
        <v>372</v>
      </c>
    </row>
    <row r="64" spans="1:4" x14ac:dyDescent="0.2">
      <c r="A64" s="14">
        <v>62</v>
      </c>
      <c r="B64" s="25">
        <v>455</v>
      </c>
      <c r="C64" s="26">
        <v>802</v>
      </c>
      <c r="D64" s="27">
        <v>851</v>
      </c>
    </row>
    <row r="65" spans="1:5" x14ac:dyDescent="0.2">
      <c r="A65" s="14">
        <v>63</v>
      </c>
      <c r="B65" s="25">
        <v>359</v>
      </c>
      <c r="C65" s="26">
        <v>597</v>
      </c>
      <c r="D65" s="27">
        <v>612</v>
      </c>
    </row>
    <row r="66" spans="1:5" x14ac:dyDescent="0.2">
      <c r="A66" s="14">
        <v>64</v>
      </c>
      <c r="B66" s="25">
        <v>1133</v>
      </c>
      <c r="C66" s="26">
        <v>842</v>
      </c>
      <c r="D66" s="27">
        <v>511</v>
      </c>
    </row>
    <row r="67" spans="1:5" x14ac:dyDescent="0.2">
      <c r="A67" s="14">
        <v>65</v>
      </c>
      <c r="B67" s="25">
        <v>710</v>
      </c>
      <c r="C67" s="26">
        <v>851</v>
      </c>
      <c r="D67" s="27">
        <v>249</v>
      </c>
    </row>
    <row r="68" spans="1:5" x14ac:dyDescent="0.2">
      <c r="A68" s="14">
        <v>66</v>
      </c>
      <c r="B68" s="25">
        <v>719</v>
      </c>
      <c r="C68" s="26">
        <v>843</v>
      </c>
      <c r="D68" s="27">
        <v>377</v>
      </c>
    </row>
    <row r="69" spans="1:5" x14ac:dyDescent="0.2">
      <c r="A69" s="14">
        <v>67</v>
      </c>
      <c r="B69" s="25">
        <v>346</v>
      </c>
      <c r="C69" s="26">
        <v>842</v>
      </c>
      <c r="D69" s="27">
        <v>856</v>
      </c>
    </row>
    <row r="70" spans="1:5" x14ac:dyDescent="0.2">
      <c r="A70" s="14">
        <v>68</v>
      </c>
      <c r="B70" s="25">
        <v>511</v>
      </c>
      <c r="C70" s="26">
        <v>856</v>
      </c>
      <c r="D70" s="27">
        <v>676</v>
      </c>
    </row>
    <row r="71" spans="1:5" x14ac:dyDescent="0.2">
      <c r="A71" s="14">
        <v>69</v>
      </c>
      <c r="B71" s="25">
        <v>718</v>
      </c>
      <c r="C71" s="26">
        <v>744</v>
      </c>
      <c r="D71" s="27">
        <v>511</v>
      </c>
    </row>
    <row r="72" spans="1:5" x14ac:dyDescent="0.2">
      <c r="A72" s="14">
        <v>70</v>
      </c>
      <c r="B72" s="25">
        <v>381</v>
      </c>
      <c r="C72" s="26">
        <v>926</v>
      </c>
      <c r="D72" s="27">
        <v>256</v>
      </c>
    </row>
    <row r="73" spans="1:5" x14ac:dyDescent="0.2">
      <c r="A73" s="14">
        <v>71</v>
      </c>
      <c r="B73" s="25">
        <v>529</v>
      </c>
      <c r="C73" s="26">
        <v>939</v>
      </c>
      <c r="D73" s="27">
        <v>381</v>
      </c>
    </row>
    <row r="74" spans="1:5" x14ac:dyDescent="0.2">
      <c r="A74" s="14">
        <v>72</v>
      </c>
      <c r="B74" s="25">
        <v>227</v>
      </c>
      <c r="C74" s="26">
        <v>1045</v>
      </c>
      <c r="D74" s="27">
        <v>866</v>
      </c>
    </row>
    <row r="75" spans="1:5" x14ac:dyDescent="0.2">
      <c r="A75" s="14">
        <v>73</v>
      </c>
      <c r="B75" s="25">
        <v>612</v>
      </c>
      <c r="C75" s="26">
        <v>1330</v>
      </c>
      <c r="D75" s="27">
        <v>681</v>
      </c>
    </row>
    <row r="76" spans="1:5" x14ac:dyDescent="0.2">
      <c r="A76" s="14">
        <v>74</v>
      </c>
      <c r="B76" s="25">
        <v>836</v>
      </c>
      <c r="C76" s="26">
        <v>1133</v>
      </c>
      <c r="D76" s="27">
        <v>511</v>
      </c>
    </row>
    <row r="77" spans="1:5" x14ac:dyDescent="0.2">
      <c r="A77" s="14">
        <v>75</v>
      </c>
      <c r="B77" s="25">
        <v>511</v>
      </c>
      <c r="C77" s="26">
        <v>1045</v>
      </c>
      <c r="D77" s="27">
        <v>273</v>
      </c>
    </row>
    <row r="80" spans="1:5" x14ac:dyDescent="0.2">
      <c r="E80" s="37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0A20-BCCC-4403-9EE5-D3400097DC62}">
  <sheetPr>
    <tabColor rgb="FF92D050"/>
  </sheetPr>
  <dimension ref="A1:P24"/>
  <sheetViews>
    <sheetView zoomScale="160" zoomScaleNormal="160" workbookViewId="0">
      <selection activeCell="M1" sqref="M1"/>
    </sheetView>
  </sheetViews>
  <sheetFormatPr defaultRowHeight="16.5" x14ac:dyDescent="0.3"/>
  <cols>
    <col min="1" max="3" width="9.140625" style="92" customWidth="1"/>
    <col min="4" max="4" width="5.140625" style="92" customWidth="1"/>
    <col min="5" max="5" width="16.140625" style="92" customWidth="1"/>
    <col min="6" max="6" width="12" style="92" customWidth="1"/>
    <col min="7" max="7" width="14.7109375" style="92" bestFit="1" customWidth="1"/>
    <col min="8" max="8" width="11.28515625" style="92" bestFit="1" customWidth="1"/>
    <col min="9" max="10" width="14" style="92" bestFit="1" customWidth="1"/>
    <col min="11" max="11" width="11.140625" style="92" bestFit="1" customWidth="1"/>
    <col min="12" max="12" width="11.42578125" style="92" customWidth="1"/>
    <col min="13" max="13" width="4.42578125" style="92" customWidth="1"/>
    <col min="14" max="14" width="30.5703125" style="92" bestFit="1" customWidth="1"/>
    <col min="15" max="15" width="9.140625" style="92"/>
    <col min="16" max="16" width="5.5703125" style="92" bestFit="1" customWidth="1"/>
    <col min="17" max="16384" width="9.140625" style="92"/>
  </cols>
  <sheetData>
    <row r="1" spans="1:16" x14ac:dyDescent="0.3">
      <c r="A1" s="92" t="str">
        <f>'1.LALB23TrendLine'!A1</f>
        <v>Year (Real)</v>
      </c>
      <c r="B1" s="92" t="str">
        <f>'1.LALB23TrendLine'!B1</f>
        <v>Year (from 1)</v>
      </c>
      <c r="C1" s="92" t="str">
        <f>'1.LALB23TrendLine'!C1</f>
        <v>TEUs</v>
      </c>
      <c r="E1" s="193" t="s">
        <v>31</v>
      </c>
      <c r="F1" s="193"/>
      <c r="G1" s="193"/>
      <c r="H1" s="193"/>
      <c r="I1" s="193"/>
      <c r="J1" s="193"/>
      <c r="K1" s="193"/>
      <c r="L1" s="193"/>
      <c r="M1" s="193"/>
    </row>
    <row r="2" spans="1:16" ht="17.25" thickBot="1" x14ac:dyDescent="0.35">
      <c r="A2" s="190" t="str">
        <f>'1.LALB23TrendLine'!A2</f>
        <v>1997</v>
      </c>
      <c r="B2" s="190">
        <f>'1.LALB23TrendLine'!B2</f>
        <v>1</v>
      </c>
      <c r="C2" s="190">
        <f>'1.LALB23TrendLine'!C2</f>
        <v>6464</v>
      </c>
      <c r="D2" s="191"/>
      <c r="E2" s="193"/>
      <c r="F2" s="193"/>
      <c r="G2" s="193"/>
      <c r="H2" s="193"/>
      <c r="I2" s="193"/>
      <c r="J2" s="193"/>
      <c r="K2" s="193"/>
      <c r="L2" s="193"/>
      <c r="M2" s="193"/>
    </row>
    <row r="3" spans="1:16" x14ac:dyDescent="0.3">
      <c r="A3" s="190" t="str">
        <f>'1.LALB23TrendLine'!A3</f>
        <v>1998</v>
      </c>
      <c r="B3" s="190">
        <f>'1.LALB23TrendLine'!B3</f>
        <v>2</v>
      </c>
      <c r="C3" s="190">
        <f>'1.LALB23TrendLine'!C3</f>
        <v>7475</v>
      </c>
      <c r="D3" s="191"/>
      <c r="E3" s="203" t="s">
        <v>32</v>
      </c>
      <c r="F3" s="203"/>
      <c r="G3" s="193"/>
      <c r="H3" s="193"/>
      <c r="I3" s="193"/>
      <c r="J3" s="193"/>
      <c r="K3" s="193"/>
      <c r="L3" s="193"/>
      <c r="M3" s="193"/>
    </row>
    <row r="4" spans="1:16" x14ac:dyDescent="0.3">
      <c r="A4" s="190" t="str">
        <f>'1.LALB23TrendLine'!A4</f>
        <v>1999</v>
      </c>
      <c r="B4" s="190">
        <f>'1.LALB23TrendLine'!B4</f>
        <v>3</v>
      </c>
      <c r="C4" s="190">
        <f>'1.LALB23TrendLine'!C4</f>
        <v>8237</v>
      </c>
      <c r="D4" s="191"/>
      <c r="E4" s="169" t="s">
        <v>34</v>
      </c>
      <c r="F4" s="201">
        <f>SQRT(F5)</f>
        <v>0.87946894163603284</v>
      </c>
      <c r="G4" s="192" t="s">
        <v>142</v>
      </c>
      <c r="H4" s="193"/>
      <c r="I4" s="193"/>
      <c r="J4" s="193"/>
      <c r="K4" s="193"/>
      <c r="L4" s="193"/>
      <c r="M4" s="193"/>
      <c r="N4" s="192" t="s">
        <v>141</v>
      </c>
      <c r="O4" s="192"/>
      <c r="P4" s="192"/>
    </row>
    <row r="5" spans="1:16" x14ac:dyDescent="0.3">
      <c r="A5" s="190" t="str">
        <f>'1.LALB23TrendLine'!A5</f>
        <v>2000</v>
      </c>
      <c r="B5" s="190">
        <f>'1.LALB23TrendLine'!B5</f>
        <v>4</v>
      </c>
      <c r="C5" s="190">
        <f>'1.LALB23TrendLine'!C5</f>
        <v>9480</v>
      </c>
      <c r="D5" s="191"/>
      <c r="E5" s="169" t="s">
        <v>36</v>
      </c>
      <c r="F5" s="201">
        <f>RSQ($C$2:$C$24,$B$2:$B$24)</f>
        <v>0.77346561930240376</v>
      </c>
      <c r="G5" s="192" t="s">
        <v>140</v>
      </c>
      <c r="H5" s="193"/>
      <c r="I5" s="193"/>
      <c r="J5" s="193"/>
      <c r="K5" s="193"/>
      <c r="L5" s="193"/>
      <c r="M5" s="193"/>
      <c r="N5" s="192" t="s">
        <v>139</v>
      </c>
      <c r="O5" s="192"/>
      <c r="P5" s="192"/>
    </row>
    <row r="6" spans="1:16" x14ac:dyDescent="0.3">
      <c r="A6" s="190" t="str">
        <f>'1.LALB23TrendLine'!A6</f>
        <v>2001</v>
      </c>
      <c r="B6" s="190">
        <f>'1.LALB23TrendLine'!B6</f>
        <v>5</v>
      </c>
      <c r="C6" s="190">
        <f>'1.LALB23TrendLine'!C6</f>
        <v>11642</v>
      </c>
      <c r="D6" s="191"/>
      <c r="E6" s="193" t="s">
        <v>37</v>
      </c>
      <c r="F6" s="200">
        <v>0.76267826784061332</v>
      </c>
      <c r="G6" s="192" t="s">
        <v>138</v>
      </c>
      <c r="H6" s="193"/>
      <c r="I6" s="193"/>
      <c r="J6" s="193"/>
      <c r="K6" s="193"/>
      <c r="L6" s="193"/>
      <c r="M6" s="193"/>
      <c r="N6" s="192" t="s">
        <v>137</v>
      </c>
      <c r="O6" s="192"/>
      <c r="P6" s="192"/>
    </row>
    <row r="7" spans="1:16" x14ac:dyDescent="0.3">
      <c r="A7" s="190" t="str">
        <f>'1.LALB23TrendLine'!A7</f>
        <v>2002</v>
      </c>
      <c r="B7" s="190">
        <f>'1.LALB23TrendLine'!B7</f>
        <v>6</v>
      </c>
      <c r="C7" s="190">
        <f>'1.LALB23TrendLine'!C7</f>
        <v>11705</v>
      </c>
      <c r="D7" s="191"/>
      <c r="E7" s="169" t="s">
        <v>38</v>
      </c>
      <c r="F7" s="201">
        <f>STEYX($C$2:$C$24,$B$2:$B$24)</f>
        <v>1490.5824274708484</v>
      </c>
      <c r="G7" s="192" t="s">
        <v>136</v>
      </c>
      <c r="H7" s="193"/>
      <c r="I7" s="193"/>
      <c r="J7" s="193"/>
      <c r="K7" s="193"/>
      <c r="L7" s="193"/>
      <c r="M7" s="193"/>
      <c r="N7" s="192" t="str">
        <f>"F24="&amp;ROUND(F17,3)&amp;"+"&amp;ROUND(F18,3)&amp;"*24"</f>
        <v>F24=8552.043+396.761*24</v>
      </c>
      <c r="O7" s="192"/>
      <c r="P7" s="192"/>
    </row>
    <row r="8" spans="1:16" ht="17.25" thickBot="1" x14ac:dyDescent="0.35">
      <c r="A8" s="190" t="str">
        <f>'1.LALB23TrendLine'!A8</f>
        <v>2003</v>
      </c>
      <c r="B8" s="190">
        <f>'1.LALB23TrendLine'!B8</f>
        <v>7</v>
      </c>
      <c r="C8" s="190">
        <f>'1.LALB23TrendLine'!C8</f>
        <v>11837</v>
      </c>
      <c r="D8" s="191"/>
      <c r="E8" s="198" t="s">
        <v>39</v>
      </c>
      <c r="F8" s="201">
        <f>COUNT($B$2:$B$24)</f>
        <v>23</v>
      </c>
      <c r="G8" s="192" t="s">
        <v>135</v>
      </c>
      <c r="H8" s="193"/>
      <c r="I8" s="193"/>
      <c r="J8" s="193"/>
      <c r="K8" s="193"/>
      <c r="L8" s="193"/>
      <c r="M8" s="193"/>
      <c r="N8" s="192" t="s">
        <v>134</v>
      </c>
      <c r="O8" s="192"/>
      <c r="P8" s="192"/>
    </row>
    <row r="9" spans="1:16" x14ac:dyDescent="0.3">
      <c r="A9" s="190" t="str">
        <f>'1.LALB23TrendLine'!A9</f>
        <v>2004</v>
      </c>
      <c r="B9" s="190">
        <f>'1.LALB23TrendLine'!B9</f>
        <v>8</v>
      </c>
      <c r="C9" s="190">
        <f>'1.LALB23TrendLine'!C9</f>
        <v>13101</v>
      </c>
      <c r="D9" s="191"/>
      <c r="E9" s="193"/>
      <c r="F9" s="193"/>
      <c r="G9" s="192" t="s">
        <v>133</v>
      </c>
      <c r="H9" s="193"/>
      <c r="I9" s="193"/>
      <c r="J9" s="193"/>
      <c r="K9" s="193"/>
      <c r="L9" s="193"/>
      <c r="M9" s="193"/>
      <c r="N9" s="192" t="s">
        <v>132</v>
      </c>
      <c r="O9" s="192"/>
      <c r="P9" s="192"/>
    </row>
    <row r="10" spans="1:16" ht="17.25" thickBot="1" x14ac:dyDescent="0.35">
      <c r="A10" s="190" t="str">
        <f>'1.LALB23TrendLine'!A10</f>
        <v>2005</v>
      </c>
      <c r="B10" s="190">
        <f>'1.LALB23TrendLine'!B10</f>
        <v>9</v>
      </c>
      <c r="C10" s="190">
        <f>'1.LALB23TrendLine'!C10</f>
        <v>14194</v>
      </c>
      <c r="D10" s="191"/>
      <c r="E10" s="193" t="s">
        <v>40</v>
      </c>
      <c r="F10" s="193"/>
      <c r="G10" s="192" t="s">
        <v>131</v>
      </c>
      <c r="H10" s="193"/>
      <c r="I10" s="193"/>
      <c r="J10" s="193"/>
      <c r="K10" s="193"/>
      <c r="L10" s="193"/>
      <c r="M10" s="193"/>
      <c r="N10" s="192" t="s">
        <v>130</v>
      </c>
      <c r="O10" s="192"/>
      <c r="P10" s="192"/>
    </row>
    <row r="11" spans="1:16" x14ac:dyDescent="0.3">
      <c r="A11" s="190" t="str">
        <f>'1.LALB23TrendLine'!A11</f>
        <v>2006</v>
      </c>
      <c r="B11" s="190">
        <f>'1.LALB23TrendLine'!B11</f>
        <v>10</v>
      </c>
      <c r="C11" s="190">
        <f>'1.LALB23TrendLine'!C11</f>
        <v>15760</v>
      </c>
      <c r="D11" s="191"/>
      <c r="E11" s="202"/>
      <c r="F11" s="202" t="s">
        <v>41</v>
      </c>
      <c r="G11" s="202" t="s">
        <v>42</v>
      </c>
      <c r="H11" s="202" t="s">
        <v>43</v>
      </c>
      <c r="I11" s="202" t="s">
        <v>44</v>
      </c>
      <c r="J11" s="202" t="s">
        <v>45</v>
      </c>
      <c r="K11" s="193"/>
      <c r="L11" s="193"/>
      <c r="M11" s="193"/>
    </row>
    <row r="12" spans="1:16" x14ac:dyDescent="0.3">
      <c r="A12" s="190" t="str">
        <f>'1.LALB23TrendLine'!A12</f>
        <v>2007</v>
      </c>
      <c r="B12" s="190">
        <f>'1.LALB23TrendLine'!B12</f>
        <v>11</v>
      </c>
      <c r="C12" s="190">
        <f>'1.LALB23TrendLine'!C12</f>
        <v>15667</v>
      </c>
      <c r="D12" s="191"/>
      <c r="E12" s="193" t="s">
        <v>46</v>
      </c>
      <c r="F12" s="193">
        <v>1</v>
      </c>
      <c r="G12" s="199">
        <v>159308217.86956519</v>
      </c>
      <c r="H12" s="199">
        <v>159308217.86956519</v>
      </c>
      <c r="I12" s="200">
        <v>71.701160571441818</v>
      </c>
      <c r="J12" s="193">
        <v>3.2731884293452792E-8</v>
      </c>
      <c r="K12" s="193"/>
      <c r="L12" s="193"/>
      <c r="M12" s="193"/>
      <c r="N12" s="192" t="s">
        <v>129</v>
      </c>
    </row>
    <row r="13" spans="1:16" x14ac:dyDescent="0.3">
      <c r="A13" s="190" t="str">
        <f>'1.LALB23TrendLine'!A13</f>
        <v>2008</v>
      </c>
      <c r="B13" s="190">
        <f>'1.LALB23TrendLine'!B13</f>
        <v>12</v>
      </c>
      <c r="C13" s="190">
        <f>'1.LALB23TrendLine'!C13</f>
        <v>14338</v>
      </c>
      <c r="D13" s="191"/>
      <c r="E13" s="193" t="s">
        <v>47</v>
      </c>
      <c r="F13" s="193">
        <v>21</v>
      </c>
      <c r="G13" s="199">
        <v>46658555.434782639</v>
      </c>
      <c r="H13" s="199">
        <v>2221835.9730848875</v>
      </c>
      <c r="I13" s="193"/>
      <c r="J13" s="193"/>
      <c r="K13" s="193"/>
      <c r="L13" s="193"/>
      <c r="M13" s="193"/>
      <c r="N13" s="192" t="s">
        <v>128</v>
      </c>
    </row>
    <row r="14" spans="1:16" ht="17.25" thickBot="1" x14ac:dyDescent="0.35">
      <c r="A14" s="190" t="str">
        <f>'1.LALB23TrendLine'!A14</f>
        <v>2009</v>
      </c>
      <c r="B14" s="190">
        <f>'1.LALB23TrendLine'!B14</f>
        <v>13</v>
      </c>
      <c r="C14" s="190">
        <f>'1.LALB23TrendLine'!C14</f>
        <v>11816</v>
      </c>
      <c r="D14" s="191"/>
      <c r="E14" s="196" t="s">
        <v>48</v>
      </c>
      <c r="F14" s="196">
        <v>22</v>
      </c>
      <c r="G14" s="194">
        <v>205966773.30434781</v>
      </c>
      <c r="H14" s="196"/>
      <c r="I14" s="196"/>
      <c r="J14" s="196"/>
      <c r="K14" s="193"/>
      <c r="L14" s="193"/>
      <c r="M14" s="193"/>
      <c r="N14" s="192" t="s">
        <v>127</v>
      </c>
    </row>
    <row r="15" spans="1:16" ht="17.25" thickBot="1" x14ac:dyDescent="0.35">
      <c r="A15" s="190" t="str">
        <f>'1.LALB23TrendLine'!A15</f>
        <v>2010</v>
      </c>
      <c r="B15" s="190">
        <f>'1.LALB23TrendLine'!B15</f>
        <v>14</v>
      </c>
      <c r="C15" s="190">
        <f>'1.LALB23TrendLine'!C15</f>
        <v>14095</v>
      </c>
      <c r="D15" s="191"/>
      <c r="E15" s="193"/>
      <c r="F15" s="193"/>
      <c r="G15" s="193"/>
      <c r="H15" s="193"/>
      <c r="I15" s="193"/>
      <c r="J15" s="193"/>
      <c r="K15" s="193"/>
      <c r="L15" s="193"/>
      <c r="M15" s="193"/>
    </row>
    <row r="16" spans="1:16" x14ac:dyDescent="0.3">
      <c r="A16" s="190" t="str">
        <f>'1.LALB23TrendLine'!A16</f>
        <v>2011</v>
      </c>
      <c r="B16" s="190">
        <f>'1.LALB23TrendLine'!B16</f>
        <v>15</v>
      </c>
      <c r="C16" s="190">
        <f>'1.LALB23TrendLine'!C16</f>
        <v>14001</v>
      </c>
      <c r="D16" s="191"/>
      <c r="E16" s="202"/>
      <c r="F16" s="202" t="s">
        <v>49</v>
      </c>
      <c r="G16" s="202" t="s">
        <v>38</v>
      </c>
      <c r="H16" s="202" t="s">
        <v>50</v>
      </c>
      <c r="I16" s="202" t="s">
        <v>51</v>
      </c>
      <c r="J16" s="202" t="s">
        <v>52</v>
      </c>
      <c r="K16" s="202" t="s">
        <v>53</v>
      </c>
      <c r="L16" s="193"/>
      <c r="M16" s="193"/>
      <c r="N16" s="192"/>
    </row>
    <row r="17" spans="1:13" x14ac:dyDescent="0.3">
      <c r="A17" s="190" t="str">
        <f>'1.LALB23TrendLine'!A17</f>
        <v>2012</v>
      </c>
      <c r="B17" s="190">
        <f>'1.LALB23TrendLine'!B17</f>
        <v>16</v>
      </c>
      <c r="C17" s="190">
        <f>'1.LALB23TrendLine'!C17</f>
        <v>14123</v>
      </c>
      <c r="D17" s="191"/>
      <c r="E17" s="169" t="s">
        <v>55</v>
      </c>
      <c r="F17" s="201">
        <f>INTERCEPT($C$2:$C$24,$B$2:$B$24)</f>
        <v>8552.04347826087</v>
      </c>
      <c r="G17" s="193">
        <v>642.45788756341801</v>
      </c>
      <c r="H17" s="200">
        <v>13.311446001068333</v>
      </c>
      <c r="I17" s="193">
        <v>1.0510156739290253E-11</v>
      </c>
      <c r="J17" s="199">
        <v>7215.9791606294866</v>
      </c>
      <c r="K17" s="199">
        <v>9888.1077958922542</v>
      </c>
      <c r="L17" s="193"/>
      <c r="M17" s="193"/>
    </row>
    <row r="18" spans="1:13" ht="17.25" thickBot="1" x14ac:dyDescent="0.35">
      <c r="A18" s="190" t="str">
        <f>'1.LALB23TrendLine'!A18</f>
        <v>2013</v>
      </c>
      <c r="B18" s="190">
        <f>'1.LALB23TrendLine'!B18</f>
        <v>17</v>
      </c>
      <c r="C18" s="190">
        <f>'1.LALB23TrendLine'!C18</f>
        <v>14599</v>
      </c>
      <c r="D18" s="191"/>
      <c r="E18" s="198" t="s">
        <v>57</v>
      </c>
      <c r="F18" s="197">
        <f>SLOPE($C$2:$C$24,$B$2:$B$24)</f>
        <v>396.76086956521738</v>
      </c>
      <c r="G18" s="196">
        <v>46.85605715359663</v>
      </c>
      <c r="H18" s="195">
        <v>8.4676537819777327</v>
      </c>
      <c r="I18" s="179">
        <v>3.2731884293452905E-8</v>
      </c>
      <c r="J18" s="194">
        <v>299.31836439924632</v>
      </c>
      <c r="K18" s="194">
        <v>494.20337473118832</v>
      </c>
      <c r="L18" s="193"/>
      <c r="M18" s="193"/>
    </row>
    <row r="19" spans="1:13" x14ac:dyDescent="0.3">
      <c r="A19" s="190" t="str">
        <f>'1.LALB23TrendLine'!A19</f>
        <v>2014</v>
      </c>
      <c r="B19" s="190">
        <f>'1.LALB23TrendLine'!B19</f>
        <v>18</v>
      </c>
      <c r="C19" s="190">
        <f>'1.LALB23TrendLine'!C19</f>
        <v>15160</v>
      </c>
      <c r="D19" s="191"/>
      <c r="F19" s="92" t="s">
        <v>126</v>
      </c>
      <c r="I19" s="192" t="s">
        <v>125</v>
      </c>
    </row>
    <row r="20" spans="1:13" x14ac:dyDescent="0.3">
      <c r="A20" s="190" t="str">
        <f>'1.LALB23TrendLine'!A20</f>
        <v>2015</v>
      </c>
      <c r="B20" s="190">
        <f>'1.LALB23TrendLine'!B20</f>
        <v>19</v>
      </c>
      <c r="C20" s="190">
        <f>'1.LALB23TrendLine'!C20</f>
        <v>15352</v>
      </c>
      <c r="D20" s="191"/>
      <c r="F20" s="192" t="s">
        <v>124</v>
      </c>
      <c r="I20" s="192" t="s">
        <v>123</v>
      </c>
    </row>
    <row r="21" spans="1:13" x14ac:dyDescent="0.3">
      <c r="A21" s="190" t="str">
        <f>'1.LALB23TrendLine'!A21</f>
        <v>2016</v>
      </c>
      <c r="B21" s="190">
        <f>'1.LALB23TrendLine'!B21</f>
        <v>20</v>
      </c>
      <c r="C21" s="190">
        <f>'1.LALB23TrendLine'!C21</f>
        <v>15631</v>
      </c>
      <c r="D21" s="191"/>
      <c r="I21" s="192" t="s">
        <v>122</v>
      </c>
    </row>
    <row r="22" spans="1:13" x14ac:dyDescent="0.3">
      <c r="A22" s="190" t="str">
        <f>'1.LALB23TrendLine'!A22</f>
        <v>2017</v>
      </c>
      <c r="B22" s="190">
        <f>'1.LALB23TrendLine'!B22</f>
        <v>21</v>
      </c>
      <c r="C22" s="190">
        <f>'1.LALB23TrendLine'!C22</f>
        <v>16887</v>
      </c>
      <c r="D22" s="191"/>
    </row>
    <row r="23" spans="1:13" x14ac:dyDescent="0.3">
      <c r="A23" s="190" t="str">
        <f>'1.LALB23TrendLine'!A23</f>
        <v>2018</v>
      </c>
      <c r="B23" s="190">
        <f>'1.LALB23TrendLine'!B23</f>
        <v>22</v>
      </c>
      <c r="C23" s="190">
        <f>'1.LALB23TrendLine'!C23</f>
        <v>17549</v>
      </c>
      <c r="D23" s="191"/>
    </row>
    <row r="24" spans="1:13" x14ac:dyDescent="0.3">
      <c r="A24" s="190" t="str">
        <f>'1.LALB23TrendLine'!A24</f>
        <v>2019</v>
      </c>
      <c r="B24" s="190">
        <f>'1.LALB23TrendLine'!B24</f>
        <v>23</v>
      </c>
      <c r="C24" s="190">
        <f>'1.LALB23TrendLine'!C24</f>
        <v>17090</v>
      </c>
      <c r="D24" s="191"/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4A59-96E5-4CFB-8DBF-36D63C17F9B8}">
  <dimension ref="A1:L50"/>
  <sheetViews>
    <sheetView zoomScale="150" zoomScaleNormal="150" workbookViewId="0">
      <selection activeCell="M1" sqref="M1"/>
    </sheetView>
  </sheetViews>
  <sheetFormatPr defaultRowHeight="15" x14ac:dyDescent="0.25"/>
  <cols>
    <col min="2" max="2" width="12.42578125" bestFit="1" customWidth="1"/>
    <col min="3" max="3" width="6.140625" bestFit="1" customWidth="1"/>
    <col min="5" max="5" width="14.140625" bestFit="1" customWidth="1"/>
    <col min="6" max="6" width="12" bestFit="1" customWidth="1"/>
    <col min="7" max="7" width="13.85546875" bestFit="1" customWidth="1"/>
  </cols>
  <sheetData>
    <row r="1" spans="1:12" x14ac:dyDescent="0.25">
      <c r="A1" s="204" t="str">
        <f>'1.LALB23TrendLine'!A1</f>
        <v>Year (Real)</v>
      </c>
      <c r="B1" s="204" t="str">
        <f>'1.LALB23TrendLine'!B1</f>
        <v>Year (from 1)</v>
      </c>
      <c r="C1" s="204" t="str">
        <f>'1.LALB23TrendLine'!C1</f>
        <v>TEUs</v>
      </c>
      <c r="D1" t="s">
        <v>94</v>
      </c>
      <c r="E1" t="s">
        <v>149</v>
      </c>
      <c r="F1" t="s">
        <v>148</v>
      </c>
      <c r="G1" t="s">
        <v>38</v>
      </c>
      <c r="H1">
        <f>$H$5</f>
        <v>2221835.9730848852</v>
      </c>
      <c r="J1" t="s">
        <v>54</v>
      </c>
      <c r="K1">
        <v>8552.0434779681691</v>
      </c>
    </row>
    <row r="2" spans="1:12" x14ac:dyDescent="0.25">
      <c r="A2" s="204" t="str">
        <f>'1.LALB23TrendLine'!A2</f>
        <v>1997</v>
      </c>
      <c r="B2" s="204">
        <f>'1.LALB23TrendLine'!B2</f>
        <v>1</v>
      </c>
      <c r="C2" s="204">
        <f>'1.LALB23TrendLine'!C2</f>
        <v>6464</v>
      </c>
      <c r="D2" s="204">
        <f>$K$1+$K$2*B2</f>
        <v>8948.8043476009498</v>
      </c>
      <c r="E2" s="204">
        <f>(C2-D2)^2</f>
        <v>6174252.6458565816</v>
      </c>
      <c r="F2" s="205">
        <f>(B2-$B$25)^2</f>
        <v>1</v>
      </c>
      <c r="G2" t="s">
        <v>147</v>
      </c>
      <c r="H2">
        <f>SUM(E2:E24)</f>
        <v>46658555.434782587</v>
      </c>
      <c r="J2" t="s">
        <v>56</v>
      </c>
      <c r="K2">
        <v>396.76086963278146</v>
      </c>
    </row>
    <row r="3" spans="1:12" x14ac:dyDescent="0.25">
      <c r="A3" s="204" t="str">
        <f>'1.LALB23TrendLine'!A3</f>
        <v>1998</v>
      </c>
      <c r="B3" s="204">
        <f>'1.LALB23TrendLine'!B3</f>
        <v>2</v>
      </c>
      <c r="C3" s="204">
        <f>'1.LALB23TrendLine'!C3</f>
        <v>7475</v>
      </c>
      <c r="D3" s="204">
        <f>$K$1+$K$2*B3</f>
        <v>9345.5652172337323</v>
      </c>
      <c r="E3" s="204">
        <f>(C3-D3)^2</f>
        <v>3499014.2319246801</v>
      </c>
      <c r="F3" s="205">
        <f>(B3-$B$25)^2</f>
        <v>4</v>
      </c>
      <c r="G3" t="s">
        <v>146</v>
      </c>
      <c r="H3">
        <f>$H$2/COUNT($E$2:$E$24)</f>
        <v>2028632.8449905473</v>
      </c>
      <c r="J3" s="69" t="s">
        <v>38</v>
      </c>
      <c r="L3">
        <f>SQRT(H5)</f>
        <v>1490.5824274708477</v>
      </c>
    </row>
    <row r="4" spans="1:12" x14ac:dyDescent="0.25">
      <c r="A4" s="204" t="str">
        <f>'1.LALB23TrendLine'!A4</f>
        <v>1999</v>
      </c>
      <c r="B4" s="204">
        <f>'1.LALB23TrendLine'!B4</f>
        <v>3</v>
      </c>
      <c r="C4" s="204">
        <f>'1.LALB23TrendLine'!C4</f>
        <v>8237</v>
      </c>
      <c r="D4" s="204">
        <f>$K$1+$K$2*B4</f>
        <v>9742.3260868665129</v>
      </c>
      <c r="E4" s="204">
        <f>(C4-D4)^2</f>
        <v>2266006.6278008483</v>
      </c>
      <c r="F4" s="205">
        <f>(B4-$B$25)^2</f>
        <v>9</v>
      </c>
      <c r="G4" t="s">
        <v>145</v>
      </c>
      <c r="H4">
        <f>$H$2/(COUNT($E$2:$E$24)-1)</f>
        <v>2120843.428853754</v>
      </c>
      <c r="J4" t="s">
        <v>144</v>
      </c>
      <c r="L4">
        <f>1-E25/F25</f>
        <v>-10789.600239311421</v>
      </c>
    </row>
    <row r="5" spans="1:12" x14ac:dyDescent="0.25">
      <c r="A5" s="204" t="str">
        <f>'1.LALB23TrendLine'!A5</f>
        <v>2000</v>
      </c>
      <c r="B5" s="204">
        <f>'1.LALB23TrendLine'!B5</f>
        <v>4</v>
      </c>
      <c r="C5" s="204">
        <f>'1.LALB23TrendLine'!C5</f>
        <v>9480</v>
      </c>
      <c r="D5" s="204">
        <f>$K$1+$K$2*B5</f>
        <v>10139.086956499295</v>
      </c>
      <c r="E5" s="204">
        <f>(C5-D5)^2</f>
        <v>434395.6162275041</v>
      </c>
      <c r="F5" s="205">
        <f>(B5-$B$25)^2</f>
        <v>16</v>
      </c>
      <c r="G5" t="s">
        <v>143</v>
      </c>
      <c r="H5">
        <f>$H$2/(COUNT($E$2:$E$24)-2)</f>
        <v>2221835.9730848852</v>
      </c>
    </row>
    <row r="6" spans="1:12" x14ac:dyDescent="0.25">
      <c r="A6" s="204" t="str">
        <f>'1.LALB23TrendLine'!A6</f>
        <v>2001</v>
      </c>
      <c r="B6" s="204">
        <f>'1.LALB23TrendLine'!B6</f>
        <v>5</v>
      </c>
      <c r="C6" s="204">
        <f>'1.LALB23TrendLine'!C6</f>
        <v>11642</v>
      </c>
      <c r="D6" s="204">
        <f>$K$1+$K$2*B6</f>
        <v>10535.847826132076</v>
      </c>
      <c r="E6" s="204">
        <f>(C6-D6)^2</f>
        <v>1223572.6317527338</v>
      </c>
      <c r="F6" s="205">
        <f>(B6-$B$25)^2</f>
        <v>25</v>
      </c>
    </row>
    <row r="7" spans="1:12" x14ac:dyDescent="0.25">
      <c r="A7" s="204" t="str">
        <f>'1.LALB23TrendLine'!A7</f>
        <v>2002</v>
      </c>
      <c r="B7" s="204">
        <f>'1.LALB23TrendLine'!B7</f>
        <v>6</v>
      </c>
      <c r="C7" s="204">
        <f>'1.LALB23TrendLine'!C7</f>
        <v>11705</v>
      </c>
      <c r="D7" s="204">
        <f>$K$1+$K$2*B7</f>
        <v>10932.608695764859</v>
      </c>
      <c r="E7" s="204">
        <f>(C7-D7)^2</f>
        <v>596588.32685806276</v>
      </c>
      <c r="F7" s="205">
        <f>(B7-$B$25)^2</f>
        <v>36</v>
      </c>
    </row>
    <row r="8" spans="1:12" x14ac:dyDescent="0.25">
      <c r="A8" s="204" t="str">
        <f>'1.LALB23TrendLine'!A8</f>
        <v>2003</v>
      </c>
      <c r="B8" s="204">
        <f>'1.LALB23TrendLine'!B8</f>
        <v>7</v>
      </c>
      <c r="C8" s="204">
        <f>'1.LALB23TrendLine'!C8</f>
        <v>11837</v>
      </c>
      <c r="D8" s="204">
        <f>$K$1+$K$2*B8</f>
        <v>11329.369565397639</v>
      </c>
      <c r="E8" s="204">
        <f>(C8-D8)^2</f>
        <v>257688.65813458167</v>
      </c>
      <c r="F8" s="205">
        <f>(B8-$B$25)^2</f>
        <v>49</v>
      </c>
    </row>
    <row r="9" spans="1:12" x14ac:dyDescent="0.25">
      <c r="A9" s="204" t="str">
        <f>'1.LALB23TrendLine'!A9</f>
        <v>2004</v>
      </c>
      <c r="B9" s="204">
        <f>'1.LALB23TrendLine'!B9</f>
        <v>8</v>
      </c>
      <c r="C9" s="204">
        <f>'1.LALB23TrendLine'!C9</f>
        <v>13101</v>
      </c>
      <c r="D9" s="204">
        <f>$K$1+$K$2*B9</f>
        <v>11726.13043503042</v>
      </c>
      <c r="E9" s="204">
        <f>(C9-D9)^2</f>
        <v>1890266.3206796425</v>
      </c>
      <c r="F9" s="205">
        <f>(B9-$B$25)^2</f>
        <v>64</v>
      </c>
    </row>
    <row r="10" spans="1:12" x14ac:dyDescent="0.25">
      <c r="A10" s="204" t="str">
        <f>'1.LALB23TrendLine'!A10</f>
        <v>2005</v>
      </c>
      <c r="B10" s="204">
        <f>'1.LALB23TrendLine'!B10</f>
        <v>9</v>
      </c>
      <c r="C10" s="204">
        <f>'1.LALB23TrendLine'!C10</f>
        <v>14194</v>
      </c>
      <c r="D10" s="204">
        <f>$K$1+$K$2*B10</f>
        <v>12122.891304663202</v>
      </c>
      <c r="E10" s="204">
        <f>(C10-D10)^2</f>
        <v>4289491.227899692</v>
      </c>
      <c r="F10" s="205">
        <f>(B10-$B$25)^2</f>
        <v>81</v>
      </c>
    </row>
    <row r="11" spans="1:12" x14ac:dyDescent="0.25">
      <c r="A11" s="204" t="str">
        <f>'1.LALB23TrendLine'!A11</f>
        <v>2006</v>
      </c>
      <c r="B11" s="204">
        <f>'1.LALB23TrendLine'!B11</f>
        <v>10</v>
      </c>
      <c r="C11" s="204">
        <f>'1.LALB23TrendLine'!C11</f>
        <v>15760</v>
      </c>
      <c r="D11" s="204">
        <f>$K$1+$K$2*B11</f>
        <v>12519.652174295985</v>
      </c>
      <c r="E11" s="204">
        <f>(C11-D11)^2</f>
        <v>10499854.031544738</v>
      </c>
      <c r="F11" s="205">
        <f>(B11-$B$25)^2</f>
        <v>100</v>
      </c>
    </row>
    <row r="12" spans="1:12" x14ac:dyDescent="0.25">
      <c r="A12" s="204" t="str">
        <f>'1.LALB23TrendLine'!A12</f>
        <v>2007</v>
      </c>
      <c r="B12" s="204">
        <f>'1.LALB23TrendLine'!B12</f>
        <v>11</v>
      </c>
      <c r="C12" s="204">
        <f>'1.LALB23TrendLine'!C12</f>
        <v>15667</v>
      </c>
      <c r="D12" s="204">
        <f>$K$1+$K$2*B12</f>
        <v>12916.413043928766</v>
      </c>
      <c r="E12" s="204">
        <f>(C12-D12)^2</f>
        <v>7565728.6029092195</v>
      </c>
      <c r="F12" s="205">
        <f>(B12-$B$25)^2</f>
        <v>121</v>
      </c>
    </row>
    <row r="13" spans="1:12" x14ac:dyDescent="0.25">
      <c r="A13" s="204" t="str">
        <f>'1.LALB23TrendLine'!A13</f>
        <v>2008</v>
      </c>
      <c r="B13" s="204">
        <f>'1.LALB23TrendLine'!B13</f>
        <v>12</v>
      </c>
      <c r="C13" s="204">
        <f>'1.LALB23TrendLine'!C13</f>
        <v>14338</v>
      </c>
      <c r="D13" s="204">
        <f>$K$1+$K$2*B13</f>
        <v>13313.173913561546</v>
      </c>
      <c r="E13" s="204">
        <f>(C13-D13)^2</f>
        <v>1050268.507444757</v>
      </c>
      <c r="F13" s="205">
        <f>(B13-$B$25)^2</f>
        <v>144</v>
      </c>
    </row>
    <row r="14" spans="1:12" x14ac:dyDescent="0.25">
      <c r="A14" s="204" t="str">
        <f>'1.LALB23TrendLine'!A14</f>
        <v>2009</v>
      </c>
      <c r="B14" s="204">
        <f>'1.LALB23TrendLine'!B14</f>
        <v>13</v>
      </c>
      <c r="C14" s="204">
        <f>'1.LALB23TrendLine'!C14</f>
        <v>11816</v>
      </c>
      <c r="D14" s="204">
        <f>$K$1+$K$2*B14</f>
        <v>13709.934783194327</v>
      </c>
      <c r="E14" s="204">
        <f>(C14-D14)^2</f>
        <v>3586988.962993342</v>
      </c>
      <c r="F14" s="205">
        <f>(B14-$B$25)^2</f>
        <v>169</v>
      </c>
    </row>
    <row r="15" spans="1:12" x14ac:dyDescent="0.25">
      <c r="A15" s="204" t="str">
        <f>'1.LALB23TrendLine'!A15</f>
        <v>2010</v>
      </c>
      <c r="B15" s="204">
        <f>'1.LALB23TrendLine'!B15</f>
        <v>14</v>
      </c>
      <c r="C15" s="204">
        <f>'1.LALB23TrendLine'!C15</f>
        <v>14095</v>
      </c>
      <c r="D15" s="204">
        <f>$K$1+$K$2*B15</f>
        <v>14106.695652827109</v>
      </c>
      <c r="E15" s="204">
        <f>(C15-D15)^2</f>
        <v>136.78829505227139</v>
      </c>
      <c r="F15" s="205">
        <f>(B15-$B$25)^2</f>
        <v>196</v>
      </c>
    </row>
    <row r="16" spans="1:12" x14ac:dyDescent="0.25">
      <c r="A16" s="204" t="str">
        <f>'1.LALB23TrendLine'!A16</f>
        <v>2011</v>
      </c>
      <c r="B16" s="204">
        <f>'1.LALB23TrendLine'!B16</f>
        <v>15</v>
      </c>
      <c r="C16" s="204">
        <f>'1.LALB23TrendLine'!C16</f>
        <v>14001</v>
      </c>
      <c r="D16" s="204">
        <f>$K$1+$K$2*B16</f>
        <v>14503.456522459892</v>
      </c>
      <c r="E16" s="204">
        <f>(C16-D16)^2</f>
        <v>252462.55696248781</v>
      </c>
      <c r="F16" s="205">
        <f>(B16-$B$25)^2</f>
        <v>225</v>
      </c>
    </row>
    <row r="17" spans="1:6" x14ac:dyDescent="0.25">
      <c r="A17" s="204" t="str">
        <f>'1.LALB23TrendLine'!A17</f>
        <v>2012</v>
      </c>
      <c r="B17" s="204">
        <f>'1.LALB23TrendLine'!B17</f>
        <v>16</v>
      </c>
      <c r="C17" s="204">
        <f>'1.LALB23TrendLine'!C17</f>
        <v>14123</v>
      </c>
      <c r="D17" s="204">
        <f>$K$1+$K$2*B17</f>
        <v>14900.217392092673</v>
      </c>
      <c r="E17" s="204">
        <f>(C17-D17)^2</f>
        <v>604066.87457133504</v>
      </c>
      <c r="F17" s="205">
        <f>(B17-$B$25)^2</f>
        <v>256</v>
      </c>
    </row>
    <row r="18" spans="1:6" x14ac:dyDescent="0.25">
      <c r="A18" s="204" t="str">
        <f>'1.LALB23TrendLine'!A18</f>
        <v>2013</v>
      </c>
      <c r="B18" s="204">
        <f>'1.LALB23TrendLine'!B18</f>
        <v>17</v>
      </c>
      <c r="C18" s="204">
        <f>'1.LALB23TrendLine'!C18</f>
        <v>14599</v>
      </c>
      <c r="D18" s="204">
        <f>$K$1+$K$2*B18</f>
        <v>15296.978261725453</v>
      </c>
      <c r="E18" s="204">
        <f>(C18-D18)^2</f>
        <v>487173.65384128527</v>
      </c>
      <c r="F18" s="205">
        <f>(B18-$B$25)^2</f>
        <v>289</v>
      </c>
    </row>
    <row r="19" spans="1:6" x14ac:dyDescent="0.25">
      <c r="A19" s="204" t="str">
        <f>'1.LALB23TrendLine'!A19</f>
        <v>2014</v>
      </c>
      <c r="B19" s="204">
        <f>'1.LALB23TrendLine'!B19</f>
        <v>18</v>
      </c>
      <c r="C19" s="204">
        <f>'1.LALB23TrendLine'!C19</f>
        <v>15160</v>
      </c>
      <c r="D19" s="204">
        <f>$K$1+$K$2*B19</f>
        <v>15693.739131358236</v>
      </c>
      <c r="E19" s="204">
        <f>(C19-D19)^2</f>
        <v>284877.46034304396</v>
      </c>
      <c r="F19" s="205">
        <f>(B19-$B$25)^2</f>
        <v>324</v>
      </c>
    </row>
    <row r="20" spans="1:6" x14ac:dyDescent="0.25">
      <c r="A20" s="204" t="str">
        <f>'1.LALB23TrendLine'!A20</f>
        <v>2015</v>
      </c>
      <c r="B20" s="204">
        <f>'1.LALB23TrendLine'!B20</f>
        <v>19</v>
      </c>
      <c r="C20" s="204">
        <f>'1.LALB23TrendLine'!C20</f>
        <v>15352</v>
      </c>
      <c r="D20" s="204">
        <f>$K$1+$K$2*B20</f>
        <v>16090.500000991018</v>
      </c>
      <c r="E20" s="204">
        <f>(C20-D20)^2</f>
        <v>545382.25146373385</v>
      </c>
      <c r="F20" s="205">
        <f>(B20-$B$25)^2</f>
        <v>361</v>
      </c>
    </row>
    <row r="21" spans="1:6" x14ac:dyDescent="0.25">
      <c r="A21" s="204" t="str">
        <f>'1.LALB23TrendLine'!A21</f>
        <v>2016</v>
      </c>
      <c r="B21" s="204">
        <f>'1.LALB23TrendLine'!B21</f>
        <v>20</v>
      </c>
      <c r="C21" s="204">
        <f>'1.LALB23TrendLine'!C21</f>
        <v>15631</v>
      </c>
      <c r="D21" s="204">
        <f>$K$1+$K$2*B21</f>
        <v>16487.260870623799</v>
      </c>
      <c r="E21" s="204">
        <f>(C21-D21)^2</f>
        <v>733182.678561426</v>
      </c>
      <c r="F21" s="205">
        <f>(B21-$B$25)^2</f>
        <v>400</v>
      </c>
    </row>
    <row r="22" spans="1:6" x14ac:dyDescent="0.25">
      <c r="A22" s="204" t="str">
        <f>'1.LALB23TrendLine'!A22</f>
        <v>2017</v>
      </c>
      <c r="B22" s="204">
        <f>'1.LALB23TrendLine'!B22</f>
        <v>21</v>
      </c>
      <c r="C22" s="204">
        <f>'1.LALB23TrendLine'!C22</f>
        <v>16887</v>
      </c>
      <c r="D22" s="204">
        <f>$K$1+$K$2*B22</f>
        <v>16884.02174025658</v>
      </c>
      <c r="E22" s="204">
        <f>(C22-D22)^2</f>
        <v>8.8700310992791103</v>
      </c>
      <c r="F22" s="205">
        <f>(B22-$B$25)^2</f>
        <v>441</v>
      </c>
    </row>
    <row r="23" spans="1:6" x14ac:dyDescent="0.25">
      <c r="A23" s="204" t="str">
        <f>'1.LALB23TrendLine'!A23</f>
        <v>2018</v>
      </c>
      <c r="B23" s="204">
        <f>'1.LALB23TrendLine'!B23</f>
        <v>22</v>
      </c>
      <c r="C23" s="204">
        <f>'1.LALB23TrendLine'!C23</f>
        <v>17549</v>
      </c>
      <c r="D23" s="204">
        <f>$K$1+$K$2*B23</f>
        <v>17280.782609889364</v>
      </c>
      <c r="E23" s="204">
        <f>(C23-D23)^2</f>
        <v>71940.568357761193</v>
      </c>
      <c r="F23" s="205">
        <f>(B23-$B$25)^2</f>
        <v>484</v>
      </c>
    </row>
    <row r="24" spans="1:6" x14ac:dyDescent="0.25">
      <c r="A24" s="204" t="str">
        <f>'1.LALB23TrendLine'!A24</f>
        <v>2019</v>
      </c>
      <c r="B24" s="204">
        <f>'1.LALB23TrendLine'!B24</f>
        <v>23</v>
      </c>
      <c r="C24" s="204">
        <f>'1.LALB23TrendLine'!C24</f>
        <v>17090</v>
      </c>
      <c r="D24" s="204">
        <f>$K$1+$K$2*B24</f>
        <v>17677.543479522144</v>
      </c>
      <c r="E24" s="204">
        <f>(C24-D24)^2</f>
        <v>345207.34032898862</v>
      </c>
      <c r="F24" s="205">
        <f>(B24-$B$25)^2</f>
        <v>529</v>
      </c>
    </row>
    <row r="25" spans="1:6" x14ac:dyDescent="0.25">
      <c r="A25" s="204"/>
      <c r="B25" s="204"/>
      <c r="C25" s="204">
        <f>AVERAGE(C2:C24)</f>
        <v>13313.173913043478</v>
      </c>
      <c r="E25" s="205">
        <f>SUM(E2:E24)</f>
        <v>46658555.434782587</v>
      </c>
      <c r="F25" s="205">
        <f>SUM(F2:F24)</f>
        <v>4324</v>
      </c>
    </row>
    <row r="26" spans="1:6" x14ac:dyDescent="0.25">
      <c r="A26" s="204"/>
      <c r="B26" s="204"/>
      <c r="C26" s="204"/>
    </row>
    <row r="27" spans="1:6" x14ac:dyDescent="0.25">
      <c r="A27" s="204"/>
      <c r="B27" s="204"/>
      <c r="C27" s="204"/>
    </row>
    <row r="28" spans="1:6" x14ac:dyDescent="0.25">
      <c r="A28" s="204"/>
      <c r="B28" s="204"/>
      <c r="C28" s="204"/>
    </row>
    <row r="29" spans="1:6" x14ac:dyDescent="0.25">
      <c r="A29" s="204"/>
      <c r="B29" s="204"/>
      <c r="C29" s="204"/>
    </row>
    <row r="30" spans="1:6" x14ac:dyDescent="0.25">
      <c r="A30" s="204"/>
      <c r="B30" s="204"/>
      <c r="C30" s="204"/>
    </row>
    <row r="31" spans="1:6" x14ac:dyDescent="0.25">
      <c r="A31" s="204"/>
      <c r="B31" s="204"/>
      <c r="C31" s="204"/>
    </row>
    <row r="32" spans="1:6" x14ac:dyDescent="0.25">
      <c r="A32" s="204"/>
      <c r="B32" s="204"/>
      <c r="C32" s="204"/>
    </row>
    <row r="33" spans="1:3" x14ac:dyDescent="0.25">
      <c r="A33" s="204"/>
      <c r="B33" s="204"/>
      <c r="C33" s="204"/>
    </row>
    <row r="34" spans="1:3" x14ac:dyDescent="0.25">
      <c r="A34" s="204"/>
      <c r="B34" s="204"/>
      <c r="C34" s="204"/>
    </row>
    <row r="35" spans="1:3" x14ac:dyDescent="0.25">
      <c r="A35" s="204"/>
      <c r="B35" s="204"/>
      <c r="C35" s="204"/>
    </row>
    <row r="36" spans="1:3" x14ac:dyDescent="0.25">
      <c r="A36" s="204"/>
      <c r="B36" s="204"/>
      <c r="C36" s="204"/>
    </row>
    <row r="37" spans="1:3" x14ac:dyDescent="0.25">
      <c r="A37" s="204"/>
      <c r="B37" s="204"/>
      <c r="C37" s="204"/>
    </row>
    <row r="38" spans="1:3" x14ac:dyDescent="0.25">
      <c r="A38" s="204"/>
      <c r="B38" s="204"/>
      <c r="C38" s="204"/>
    </row>
    <row r="39" spans="1:3" x14ac:dyDescent="0.25">
      <c r="A39" s="204"/>
      <c r="B39" s="204"/>
      <c r="C39" s="204"/>
    </row>
    <row r="40" spans="1:3" x14ac:dyDescent="0.25">
      <c r="A40" s="204"/>
      <c r="B40" s="204"/>
      <c r="C40" s="204"/>
    </row>
    <row r="41" spans="1:3" x14ac:dyDescent="0.25">
      <c r="A41" s="204"/>
      <c r="B41" s="204"/>
      <c r="C41" s="204"/>
    </row>
    <row r="42" spans="1:3" x14ac:dyDescent="0.25">
      <c r="A42" s="204"/>
      <c r="B42" s="204"/>
      <c r="C42" s="204"/>
    </row>
    <row r="43" spans="1:3" x14ac:dyDescent="0.25">
      <c r="A43" s="204"/>
      <c r="B43" s="204"/>
      <c r="C43" s="204"/>
    </row>
    <row r="44" spans="1:3" x14ac:dyDescent="0.25">
      <c r="A44" s="204"/>
      <c r="B44" s="204"/>
      <c r="C44" s="204"/>
    </row>
    <row r="45" spans="1:3" x14ac:dyDescent="0.25">
      <c r="A45" s="204"/>
      <c r="B45" s="204"/>
      <c r="C45" s="204"/>
    </row>
    <row r="46" spans="1:3" x14ac:dyDescent="0.25">
      <c r="A46" s="204"/>
      <c r="B46" s="204"/>
      <c r="C46" s="204"/>
    </row>
    <row r="47" spans="1:3" x14ac:dyDescent="0.25">
      <c r="A47" s="204"/>
      <c r="B47" s="204"/>
      <c r="C47" s="204"/>
    </row>
    <row r="48" spans="1:3" x14ac:dyDescent="0.25">
      <c r="A48" s="204"/>
      <c r="B48" s="204"/>
      <c r="C48" s="204"/>
    </row>
    <row r="49" spans="1:3" x14ac:dyDescent="0.25">
      <c r="A49" s="204"/>
      <c r="B49" s="204"/>
      <c r="C49" s="204"/>
    </row>
    <row r="50" spans="1:3" x14ac:dyDescent="0.25">
      <c r="A50" s="204"/>
      <c r="B50" s="204"/>
      <c r="C50" s="20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787B-2F86-4B03-84C7-639B4BA289DB}">
  <sheetPr>
    <tabColor rgb="FFFFFF00"/>
  </sheetPr>
  <dimension ref="A1:Q61"/>
  <sheetViews>
    <sheetView zoomScale="73" zoomScaleNormal="73" workbookViewId="0">
      <selection activeCell="M1" sqref="M1"/>
    </sheetView>
  </sheetViews>
  <sheetFormatPr defaultColWidth="9.140625" defaultRowHeight="15.75" x14ac:dyDescent="0.25"/>
  <cols>
    <col min="1" max="1" width="9.140625" style="93"/>
    <col min="2" max="2" width="6.7109375" style="93" bestFit="1" customWidth="1"/>
    <col min="3" max="3" width="20" style="93" bestFit="1" customWidth="1"/>
    <col min="4" max="4" width="9.28515625" style="93" bestFit="1" customWidth="1"/>
    <col min="5" max="5" width="8" style="163" bestFit="1" customWidth="1"/>
    <col min="6" max="6" width="5.5703125" style="163" bestFit="1" customWidth="1"/>
    <col min="7" max="7" width="12.7109375" style="163" bestFit="1" customWidth="1"/>
    <col min="8" max="8" width="9" style="163" bestFit="1" customWidth="1"/>
    <col min="9" max="9" width="12.42578125" style="163" bestFit="1" customWidth="1"/>
    <col min="10" max="10" width="8" style="163" bestFit="1" customWidth="1"/>
    <col min="11" max="12" width="11.42578125" style="163" customWidth="1"/>
    <col min="13" max="13" width="15.42578125" style="93" bestFit="1" customWidth="1"/>
    <col min="14" max="16384" width="9.140625" style="93"/>
  </cols>
  <sheetData>
    <row r="1" spans="1:17" ht="16.5" thickBot="1" x14ac:dyDescent="0.3">
      <c r="A1" s="93" t="s">
        <v>166</v>
      </c>
      <c r="E1" s="93"/>
      <c r="F1" s="93"/>
      <c r="G1" s="93"/>
      <c r="H1" s="93"/>
      <c r="I1" s="93"/>
      <c r="J1" s="165">
        <v>1</v>
      </c>
      <c r="K1"/>
      <c r="L1" s="93" t="s">
        <v>165</v>
      </c>
      <c r="M1" s="214">
        <v>800</v>
      </c>
      <c r="N1" s="163"/>
      <c r="O1" s="93" t="s">
        <v>164</v>
      </c>
      <c r="P1" s="163" t="s">
        <v>163</v>
      </c>
      <c r="Q1" s="163" t="s">
        <v>162</v>
      </c>
    </row>
    <row r="2" spans="1:17" x14ac:dyDescent="0.25">
      <c r="A2" s="93" t="s">
        <v>161</v>
      </c>
      <c r="E2" s="93"/>
      <c r="F2" s="93"/>
      <c r="G2" s="93"/>
      <c r="H2" s="93"/>
      <c r="I2" s="93"/>
      <c r="J2" s="93"/>
      <c r="K2"/>
      <c r="L2" s="93"/>
      <c r="N2" s="163">
        <v>0</v>
      </c>
      <c r="O2" s="93">
        <v>0</v>
      </c>
      <c r="P2" s="163">
        <v>5</v>
      </c>
      <c r="Q2" s="163">
        <v>-5</v>
      </c>
    </row>
    <row r="3" spans="1:17" x14ac:dyDescent="0.25">
      <c r="A3" s="93" t="s">
        <v>160</v>
      </c>
      <c r="E3" s="93"/>
      <c r="F3" s="93"/>
      <c r="G3" s="93"/>
      <c r="H3" s="93"/>
      <c r="I3" s="93"/>
      <c r="J3" s="93"/>
      <c r="K3" s="93"/>
      <c r="L3" s="93"/>
      <c r="N3" s="163">
        <v>50</v>
      </c>
      <c r="O3" s="93">
        <v>0</v>
      </c>
      <c r="P3" s="163">
        <v>5</v>
      </c>
      <c r="Q3" s="163">
        <v>-5</v>
      </c>
    </row>
    <row r="4" spans="1:17" x14ac:dyDescent="0.25">
      <c r="A4" s="93" t="s">
        <v>159</v>
      </c>
      <c r="E4" s="93"/>
      <c r="F4" s="93"/>
      <c r="G4" s="93"/>
      <c r="H4" s="93"/>
      <c r="I4" s="93"/>
      <c r="J4" s="93"/>
      <c r="K4" s="93"/>
      <c r="L4"/>
      <c r="N4"/>
    </row>
    <row r="5" spans="1:17" x14ac:dyDescent="0.25">
      <c r="E5" s="93"/>
      <c r="F5" s="93"/>
      <c r="G5" s="93"/>
      <c r="H5" s="93"/>
      <c r="I5" s="93"/>
      <c r="J5" s="93"/>
      <c r="K5" s="93"/>
      <c r="L5" s="93"/>
    </row>
    <row r="6" spans="1:17" x14ac:dyDescent="0.25">
      <c r="K6" s="93"/>
      <c r="M6" s="163"/>
    </row>
    <row r="7" spans="1:17" ht="16.5" x14ac:dyDescent="0.3">
      <c r="A7" s="163" t="s">
        <v>95</v>
      </c>
      <c r="B7" s="213" t="s">
        <v>0</v>
      </c>
      <c r="C7" s="212" t="s">
        <v>158</v>
      </c>
      <c r="D7" s="212" t="s">
        <v>157</v>
      </c>
      <c r="E7" s="212" t="s">
        <v>156</v>
      </c>
      <c r="F7" s="212" t="s">
        <v>155</v>
      </c>
      <c r="G7" s="212" t="s">
        <v>154</v>
      </c>
      <c r="H7" s="212" t="s">
        <v>153</v>
      </c>
      <c r="I7" s="212" t="s">
        <v>152</v>
      </c>
      <c r="J7" s="212" t="s">
        <v>151</v>
      </c>
      <c r="K7" s="163" t="s">
        <v>150</v>
      </c>
      <c r="L7" s="212"/>
      <c r="M7" s="212"/>
    </row>
    <row r="8" spans="1:17" ht="16.5" x14ac:dyDescent="0.3">
      <c r="A8" s="211">
        <v>1</v>
      </c>
      <c r="B8" s="210">
        <v>6464</v>
      </c>
      <c r="C8" s="209">
        <f>B8+$M$1</f>
        <v>7264</v>
      </c>
      <c r="D8" s="209">
        <f>B8-C8</f>
        <v>-800</v>
      </c>
      <c r="E8" s="206">
        <f>ABS(D8)</f>
        <v>800</v>
      </c>
      <c r="F8" s="206">
        <f>D8^2</f>
        <v>640000</v>
      </c>
      <c r="G8" s="206">
        <f>IFERROR(E8/B8,"")</f>
        <v>0.12376237623762376</v>
      </c>
      <c r="H8" s="206">
        <f>AVERAGE(E$8:E8)</f>
        <v>800</v>
      </c>
      <c r="I8" s="206">
        <f>AVERAGE(F$8:F8)</f>
        <v>640000</v>
      </c>
      <c r="J8" s="208">
        <f>AVERAGE(G$8:G8)</f>
        <v>0.12376237623762376</v>
      </c>
      <c r="K8" s="207">
        <f>SUM(D$8:D8)</f>
        <v>-800</v>
      </c>
      <c r="L8" s="206"/>
      <c r="M8" s="206"/>
      <c r="O8"/>
      <c r="P8"/>
      <c r="Q8"/>
    </row>
    <row r="9" spans="1:17" ht="16.5" x14ac:dyDescent="0.3">
      <c r="A9" s="211">
        <v>2</v>
      </c>
      <c r="B9" s="210">
        <v>7475</v>
      </c>
      <c r="C9" s="209">
        <f>(1-$J$1)*C8+$J$1*B8+$M$1</f>
        <v>7264</v>
      </c>
      <c r="D9" s="209">
        <f>B9-C9</f>
        <v>211</v>
      </c>
      <c r="E9" s="206">
        <f>ABS(D9)</f>
        <v>211</v>
      </c>
      <c r="F9" s="206">
        <f>D9^2</f>
        <v>44521</v>
      </c>
      <c r="G9" s="206">
        <f>IFERROR(E9/B9,"")</f>
        <v>2.8227424749163881E-2</v>
      </c>
      <c r="H9" s="206">
        <f>AVERAGE(E$8:E9)</f>
        <v>505.5</v>
      </c>
      <c r="I9" s="206">
        <f>AVERAGE(F$8:F9)</f>
        <v>342260.5</v>
      </c>
      <c r="J9" s="208">
        <f>AVERAGE(G$8:G9)</f>
        <v>7.5994900493393816E-2</v>
      </c>
      <c r="K9" s="207">
        <f>SUM(D$8:D9)</f>
        <v>-589</v>
      </c>
      <c r="L9" s="206"/>
      <c r="M9" s="206"/>
      <c r="O9"/>
      <c r="P9"/>
      <c r="Q9"/>
    </row>
    <row r="10" spans="1:17" ht="16.5" x14ac:dyDescent="0.3">
      <c r="A10" s="211">
        <v>3</v>
      </c>
      <c r="B10" s="210">
        <v>8237</v>
      </c>
      <c r="C10" s="209">
        <f>(1-$J$1)*C9+$J$1*B9+$M$1</f>
        <v>8275</v>
      </c>
      <c r="D10" s="209">
        <f>B10-C10</f>
        <v>-38</v>
      </c>
      <c r="E10" s="206">
        <f>ABS(D10)</f>
        <v>38</v>
      </c>
      <c r="F10" s="206">
        <f>D10^2</f>
        <v>1444</v>
      </c>
      <c r="G10" s="206">
        <f>IFERROR(E10/B10,"")</f>
        <v>4.6133300959087043E-3</v>
      </c>
      <c r="H10" s="206">
        <f>AVERAGE(E$8:E10)</f>
        <v>349.66666666666669</v>
      </c>
      <c r="I10" s="206">
        <f>AVERAGE(F$8:F10)</f>
        <v>228655</v>
      </c>
      <c r="J10" s="208">
        <f>AVERAGE(G$8:G10)</f>
        <v>5.2201043694232112E-2</v>
      </c>
      <c r="K10" s="207">
        <f>SUM(D$8:D10)</f>
        <v>-627</v>
      </c>
      <c r="L10" s="206"/>
      <c r="M10" s="206"/>
      <c r="O10"/>
      <c r="P10"/>
      <c r="Q10"/>
    </row>
    <row r="11" spans="1:17" ht="16.5" x14ac:dyDescent="0.3">
      <c r="A11" s="211">
        <v>4</v>
      </c>
      <c r="B11" s="210">
        <v>9480</v>
      </c>
      <c r="C11" s="209">
        <f>(1-$J$1)*C10+$J$1*B10+$M$1</f>
        <v>9037</v>
      </c>
      <c r="D11" s="209">
        <f>B11-C11</f>
        <v>443</v>
      </c>
      <c r="E11" s="206">
        <f>ABS(D11)</f>
        <v>443</v>
      </c>
      <c r="F11" s="206">
        <f>D11^2</f>
        <v>196249</v>
      </c>
      <c r="G11" s="206">
        <f>IFERROR(E11/B11,"")</f>
        <v>4.672995780590717E-2</v>
      </c>
      <c r="H11" s="206">
        <f>AVERAGE(E$8:E11)</f>
        <v>373</v>
      </c>
      <c r="I11" s="206">
        <f>AVERAGE(F$8:F11)</f>
        <v>220553.5</v>
      </c>
      <c r="J11" s="208">
        <f>AVERAGE(G$8:G11)</f>
        <v>5.0833272222150873E-2</v>
      </c>
      <c r="K11" s="207">
        <f>SUM(D$8:D11)</f>
        <v>-184</v>
      </c>
      <c r="L11" s="206"/>
      <c r="M11" s="206"/>
      <c r="O11"/>
      <c r="P11"/>
      <c r="Q11"/>
    </row>
    <row r="12" spans="1:17" ht="16.5" x14ac:dyDescent="0.3">
      <c r="A12" s="211">
        <v>5</v>
      </c>
      <c r="B12" s="210">
        <v>11642</v>
      </c>
      <c r="C12" s="209">
        <f>(1-$J$1)*C11+$J$1*B11+$M$1</f>
        <v>10280</v>
      </c>
      <c r="D12" s="209">
        <f>B12-C12</f>
        <v>1362</v>
      </c>
      <c r="E12" s="206">
        <f>ABS(D12)</f>
        <v>1362</v>
      </c>
      <c r="F12" s="206">
        <f>D12^2</f>
        <v>1855044</v>
      </c>
      <c r="G12" s="206">
        <f>IFERROR(E12/B12,"")</f>
        <v>0.11699020786806391</v>
      </c>
      <c r="H12" s="206">
        <f>AVERAGE(E$8:E12)</f>
        <v>570.79999999999995</v>
      </c>
      <c r="I12" s="206">
        <f>AVERAGE(F$8:F12)</f>
        <v>547451.6</v>
      </c>
      <c r="J12" s="208">
        <f>AVERAGE(G$8:G12)</f>
        <v>6.4064659351333472E-2</v>
      </c>
      <c r="K12" s="207">
        <f>SUM(D$8:D12)</f>
        <v>1178</v>
      </c>
      <c r="L12" s="206"/>
      <c r="M12" s="206"/>
      <c r="O12"/>
      <c r="P12"/>
      <c r="Q12"/>
    </row>
    <row r="13" spans="1:17" ht="16.5" x14ac:dyDescent="0.3">
      <c r="A13" s="211">
        <v>6</v>
      </c>
      <c r="B13" s="210">
        <v>11705</v>
      </c>
      <c r="C13" s="209">
        <f>(1-$J$1)*C12+$J$1*B12+$M$1</f>
        <v>12442</v>
      </c>
      <c r="D13" s="209">
        <f>B13-C13</f>
        <v>-737</v>
      </c>
      <c r="E13" s="206">
        <f>ABS(D13)</f>
        <v>737</v>
      </c>
      <c r="F13" s="206">
        <f>D13^2</f>
        <v>543169</v>
      </c>
      <c r="G13" s="206">
        <f>IFERROR(E13/B13,"")</f>
        <v>6.296454506621102E-2</v>
      </c>
      <c r="H13" s="206">
        <f>AVERAGE(E$8:E13)</f>
        <v>598.5</v>
      </c>
      <c r="I13" s="206">
        <f>AVERAGE(F$8:F13)</f>
        <v>546737.83333333337</v>
      </c>
      <c r="J13" s="208">
        <f>AVERAGE(G$8:G13)</f>
        <v>6.3881306970479737E-2</v>
      </c>
      <c r="K13" s="207">
        <f>SUM(D$8:D13)</f>
        <v>441</v>
      </c>
      <c r="L13" s="206"/>
      <c r="M13" s="206"/>
      <c r="O13"/>
      <c r="P13"/>
      <c r="Q13"/>
    </row>
    <row r="14" spans="1:17" ht="16.5" x14ac:dyDescent="0.3">
      <c r="A14" s="211">
        <v>7</v>
      </c>
      <c r="B14" s="210">
        <v>11837</v>
      </c>
      <c r="C14" s="209">
        <f>(1-$J$1)*C13+$J$1*B13+$M$1</f>
        <v>12505</v>
      </c>
      <c r="D14" s="209">
        <f>B14-C14</f>
        <v>-668</v>
      </c>
      <c r="E14" s="206">
        <f>ABS(D14)</f>
        <v>668</v>
      </c>
      <c r="F14" s="206">
        <f>D14^2</f>
        <v>446224</v>
      </c>
      <c r="G14" s="206">
        <f>IFERROR(E14/B14,"")</f>
        <v>5.6433217876151048E-2</v>
      </c>
      <c r="H14" s="206">
        <f>AVERAGE(E$8:E14)</f>
        <v>608.42857142857144</v>
      </c>
      <c r="I14" s="206">
        <f>AVERAGE(F$8:F14)</f>
        <v>532378.71428571432</v>
      </c>
      <c r="J14" s="208">
        <f>AVERAGE(G$8:G14)</f>
        <v>6.2817294242718494E-2</v>
      </c>
      <c r="K14" s="207">
        <f>SUM(D$8:D14)</f>
        <v>-227</v>
      </c>
      <c r="L14" s="206"/>
      <c r="M14" s="206"/>
      <c r="O14"/>
      <c r="P14"/>
      <c r="Q14"/>
    </row>
    <row r="15" spans="1:17" ht="16.5" x14ac:dyDescent="0.3">
      <c r="A15" s="211">
        <v>8</v>
      </c>
      <c r="B15" s="210">
        <v>13101</v>
      </c>
      <c r="C15" s="209">
        <f>(1-$J$1)*C14+$J$1*B14+$M$1</f>
        <v>12637</v>
      </c>
      <c r="D15" s="209">
        <f>B15-C15</f>
        <v>464</v>
      </c>
      <c r="E15" s="206">
        <f>ABS(D15)</f>
        <v>464</v>
      </c>
      <c r="F15" s="206">
        <f>D15^2</f>
        <v>215296</v>
      </c>
      <c r="G15" s="206">
        <f>IFERROR(E15/B15,"")</f>
        <v>3.5417143729486296E-2</v>
      </c>
      <c r="H15" s="206">
        <f>AVERAGE(E$8:E15)</f>
        <v>590.375</v>
      </c>
      <c r="I15" s="206">
        <f>AVERAGE(F$8:F15)</f>
        <v>492743.375</v>
      </c>
      <c r="J15" s="208">
        <f>AVERAGE(G$8:G15)</f>
        <v>5.9392275428564463E-2</v>
      </c>
      <c r="K15" s="207">
        <f>SUM(D$8:D15)</f>
        <v>237</v>
      </c>
      <c r="L15" s="206"/>
      <c r="M15" s="206"/>
      <c r="O15"/>
      <c r="P15"/>
      <c r="Q15"/>
    </row>
    <row r="16" spans="1:17" ht="16.5" x14ac:dyDescent="0.3">
      <c r="A16" s="211">
        <v>9</v>
      </c>
      <c r="B16" s="210">
        <v>14194</v>
      </c>
      <c r="C16" s="209">
        <f>(1-$J$1)*C15+$J$1*B15+$M$1</f>
        <v>13901</v>
      </c>
      <c r="D16" s="209">
        <f>B16-C16</f>
        <v>293</v>
      </c>
      <c r="E16" s="206">
        <f>ABS(D16)</f>
        <v>293</v>
      </c>
      <c r="F16" s="206">
        <f>D16^2</f>
        <v>85849</v>
      </c>
      <c r="G16" s="206">
        <f>IFERROR(E16/B16,"")</f>
        <v>2.0642525010567847E-2</v>
      </c>
      <c r="H16" s="206">
        <f>AVERAGE(E$8:E16)</f>
        <v>557.33333333333337</v>
      </c>
      <c r="I16" s="206">
        <f>AVERAGE(F$8:F16)</f>
        <v>447532.88888888888</v>
      </c>
      <c r="J16" s="208">
        <f>AVERAGE(G$8:G16)</f>
        <v>5.5086747604342616E-2</v>
      </c>
      <c r="K16" s="207">
        <f>SUM(D$8:D16)</f>
        <v>530</v>
      </c>
      <c r="L16" s="206"/>
      <c r="M16" s="206"/>
      <c r="O16"/>
      <c r="P16"/>
      <c r="Q16"/>
    </row>
    <row r="17" spans="1:17" ht="16.5" x14ac:dyDescent="0.3">
      <c r="A17" s="211">
        <v>10</v>
      </c>
      <c r="B17" s="210">
        <v>15760</v>
      </c>
      <c r="C17" s="209">
        <f>(1-$J$1)*C16+$J$1*B16+$M$1</f>
        <v>14994</v>
      </c>
      <c r="D17" s="209">
        <f>B17-C17</f>
        <v>766</v>
      </c>
      <c r="E17" s="206">
        <f>ABS(D17)</f>
        <v>766</v>
      </c>
      <c r="F17" s="206">
        <f>D17^2</f>
        <v>586756</v>
      </c>
      <c r="G17" s="206">
        <f>IFERROR(E17/B17,"")</f>
        <v>4.8604060913705581E-2</v>
      </c>
      <c r="H17" s="206">
        <f>AVERAGE(E$8:E17)</f>
        <v>578.20000000000005</v>
      </c>
      <c r="I17" s="206">
        <f>AVERAGE(F$8:F17)</f>
        <v>461455.2</v>
      </c>
      <c r="J17" s="208">
        <f>AVERAGE(G$8:G17)</f>
        <v>5.4438478935278908E-2</v>
      </c>
      <c r="K17" s="207">
        <f>SUM(D$8:D17)</f>
        <v>1296</v>
      </c>
      <c r="L17" s="206"/>
      <c r="M17" s="206"/>
      <c r="O17"/>
      <c r="P17"/>
      <c r="Q17"/>
    </row>
    <row r="18" spans="1:17" ht="16.5" x14ac:dyDescent="0.3">
      <c r="A18" s="211">
        <v>11</v>
      </c>
      <c r="B18" s="210">
        <v>15667</v>
      </c>
      <c r="C18" s="209">
        <f>(1-$J$1)*C17+$J$1*B17+$M$1</f>
        <v>16560</v>
      </c>
      <c r="D18" s="209">
        <f>B18-C18</f>
        <v>-893</v>
      </c>
      <c r="E18" s="206">
        <f>ABS(D18)</f>
        <v>893</v>
      </c>
      <c r="F18" s="206">
        <f>D18^2</f>
        <v>797449</v>
      </c>
      <c r="G18" s="206">
        <f>IFERROR(E18/B18,"")</f>
        <v>5.6998787259845536E-2</v>
      </c>
      <c r="H18" s="206">
        <f>AVERAGE(E$8:E18)</f>
        <v>606.81818181818187</v>
      </c>
      <c r="I18" s="206">
        <f>AVERAGE(F$8:F18)</f>
        <v>492000.09090909088</v>
      </c>
      <c r="J18" s="208">
        <f>AVERAGE(G$8:G18)</f>
        <v>5.4671234237512238E-2</v>
      </c>
      <c r="K18" s="207">
        <f>SUM(D$8:D18)</f>
        <v>403</v>
      </c>
      <c r="L18" s="206"/>
      <c r="M18" s="206"/>
      <c r="O18"/>
      <c r="P18"/>
      <c r="Q18"/>
    </row>
    <row r="19" spans="1:17" ht="16.5" x14ac:dyDescent="0.3">
      <c r="A19" s="211">
        <v>12</v>
      </c>
      <c r="B19" s="210">
        <v>14338</v>
      </c>
      <c r="C19" s="209">
        <f>(1-$J$1)*C18+$J$1*B18+$M$1</f>
        <v>16467</v>
      </c>
      <c r="D19" s="209">
        <f>B19-C19</f>
        <v>-2129</v>
      </c>
      <c r="E19" s="206">
        <f>ABS(D19)</f>
        <v>2129</v>
      </c>
      <c r="F19" s="206">
        <f>D19^2</f>
        <v>4532641</v>
      </c>
      <c r="G19" s="206">
        <f>IFERROR(E19/B19,"")</f>
        <v>0.14848653926628538</v>
      </c>
      <c r="H19" s="206">
        <f>AVERAGE(E$8:E19)</f>
        <v>733.66666666666663</v>
      </c>
      <c r="I19" s="206">
        <f>AVERAGE(F$8:F19)</f>
        <v>828720.16666666663</v>
      </c>
      <c r="J19" s="208">
        <f>AVERAGE(G$8:G19)</f>
        <v>6.2489176323243335E-2</v>
      </c>
      <c r="K19" s="207">
        <f>SUM(D$8:D19)</f>
        <v>-1726</v>
      </c>
      <c r="L19" s="206"/>
      <c r="M19" s="206"/>
      <c r="O19"/>
      <c r="P19"/>
      <c r="Q19"/>
    </row>
    <row r="20" spans="1:17" ht="16.5" x14ac:dyDescent="0.3">
      <c r="A20" s="211">
        <v>13</v>
      </c>
      <c r="B20" s="210">
        <v>11816</v>
      </c>
      <c r="C20" s="209">
        <f>(1-$J$1)*C19+$J$1*B19+$M$1</f>
        <v>15138</v>
      </c>
      <c r="D20" s="209">
        <f>B20-C20</f>
        <v>-3322</v>
      </c>
      <c r="E20" s="206">
        <f>ABS(D20)</f>
        <v>3322</v>
      </c>
      <c r="F20" s="206">
        <f>D20^2</f>
        <v>11035684</v>
      </c>
      <c r="G20" s="206">
        <f>IFERROR(E20/B20,"")</f>
        <v>0.28114421123899797</v>
      </c>
      <c r="H20" s="206">
        <f>AVERAGE(E$8:E20)</f>
        <v>932.76923076923072</v>
      </c>
      <c r="I20" s="206">
        <f>AVERAGE(F$8:F20)</f>
        <v>1613871.2307692308</v>
      </c>
      <c r="J20" s="208">
        <f>AVERAGE(G$8:G20)</f>
        <v>7.9308794393686002E-2</v>
      </c>
      <c r="K20" s="207">
        <f>SUM(D$8:D20)</f>
        <v>-5048</v>
      </c>
      <c r="L20" s="206"/>
      <c r="M20" s="206"/>
      <c r="O20"/>
      <c r="P20"/>
      <c r="Q20"/>
    </row>
    <row r="21" spans="1:17" ht="16.5" x14ac:dyDescent="0.3">
      <c r="A21" s="211">
        <v>14</v>
      </c>
      <c r="B21" s="210">
        <v>14095</v>
      </c>
      <c r="C21" s="209">
        <f>(1-$J$1)*C20+$J$1*B20+$M$1</f>
        <v>12616</v>
      </c>
      <c r="D21" s="209">
        <f>B21-C21</f>
        <v>1479</v>
      </c>
      <c r="E21" s="206">
        <f>ABS(D21)</f>
        <v>1479</v>
      </c>
      <c r="F21" s="206">
        <f>D21^2</f>
        <v>2187441</v>
      </c>
      <c r="G21" s="206">
        <f>IFERROR(E21/B21,"")</f>
        <v>0.104930826534232</v>
      </c>
      <c r="H21" s="206">
        <f>AVERAGE(E$8:E21)</f>
        <v>971.78571428571433</v>
      </c>
      <c r="I21" s="206">
        <f>AVERAGE(F$8:F21)</f>
        <v>1654840.5</v>
      </c>
      <c r="J21" s="208">
        <f>AVERAGE(G$8:G21)</f>
        <v>8.1138939546582134E-2</v>
      </c>
      <c r="K21" s="207">
        <f>SUM(D$8:D21)</f>
        <v>-3569</v>
      </c>
      <c r="L21" s="206"/>
      <c r="M21" s="206"/>
      <c r="O21"/>
      <c r="P21"/>
      <c r="Q21"/>
    </row>
    <row r="22" spans="1:17" ht="16.5" x14ac:dyDescent="0.3">
      <c r="A22" s="211">
        <v>15</v>
      </c>
      <c r="B22" s="210">
        <v>14001</v>
      </c>
      <c r="C22" s="209">
        <f>(1-$J$1)*C21+$J$1*B21+$M$1</f>
        <v>14895</v>
      </c>
      <c r="D22" s="209">
        <f>B22-C22</f>
        <v>-894</v>
      </c>
      <c r="E22" s="206">
        <f>ABS(D22)</f>
        <v>894</v>
      </c>
      <c r="F22" s="206">
        <f>D22^2</f>
        <v>799236</v>
      </c>
      <c r="G22" s="206">
        <f>IFERROR(E22/B22,"")</f>
        <v>6.3852581958431534E-2</v>
      </c>
      <c r="H22" s="206">
        <f>AVERAGE(E$8:E22)</f>
        <v>966.6</v>
      </c>
      <c r="I22" s="206">
        <f>AVERAGE(F$8:F22)</f>
        <v>1597800.2</v>
      </c>
      <c r="J22" s="208">
        <f>AVERAGE(G$8:G22)</f>
        <v>7.9986515707372086E-2</v>
      </c>
      <c r="K22" s="207">
        <f>SUM(D$8:D22)</f>
        <v>-4463</v>
      </c>
      <c r="L22" s="206"/>
      <c r="M22" s="206"/>
      <c r="O22"/>
      <c r="P22"/>
      <c r="Q22"/>
    </row>
    <row r="23" spans="1:17" ht="16.5" x14ac:dyDescent="0.3">
      <c r="A23" s="211">
        <v>16</v>
      </c>
      <c r="B23" s="210">
        <v>14123</v>
      </c>
      <c r="C23" s="209">
        <f>(1-$J$1)*C22+$J$1*B22+$M$1</f>
        <v>14801</v>
      </c>
      <c r="D23" s="209">
        <f>B23-C23</f>
        <v>-678</v>
      </c>
      <c r="E23" s="206">
        <f>ABS(D23)</f>
        <v>678</v>
      </c>
      <c r="F23" s="206">
        <f>D23^2</f>
        <v>459684</v>
      </c>
      <c r="G23" s="206">
        <f>IFERROR(E23/B23,"")</f>
        <v>4.8006797422643917E-2</v>
      </c>
      <c r="H23" s="206">
        <f>AVERAGE(E$8:E23)</f>
        <v>948.5625</v>
      </c>
      <c r="I23" s="206">
        <f>AVERAGE(F$8:F23)</f>
        <v>1526667.9375</v>
      </c>
      <c r="J23" s="208">
        <f>AVERAGE(G$8:G23)</f>
        <v>7.7987783314576578E-2</v>
      </c>
      <c r="K23" s="207">
        <f>SUM(D$8:D23)</f>
        <v>-5141</v>
      </c>
      <c r="L23" s="206"/>
      <c r="M23" s="206"/>
      <c r="O23"/>
      <c r="P23"/>
      <c r="Q23"/>
    </row>
    <row r="24" spans="1:17" ht="16.5" x14ac:dyDescent="0.3">
      <c r="A24" s="211">
        <v>17</v>
      </c>
      <c r="B24" s="210">
        <v>14599</v>
      </c>
      <c r="C24" s="209">
        <f>(1-$J$1)*C23+$J$1*B23+$M$1</f>
        <v>14923</v>
      </c>
      <c r="D24" s="209">
        <f>B24-C24</f>
        <v>-324</v>
      </c>
      <c r="E24" s="206">
        <f>ABS(D24)</f>
        <v>324</v>
      </c>
      <c r="F24" s="206">
        <f>D24^2</f>
        <v>104976</v>
      </c>
      <c r="G24" s="206">
        <f>IFERROR(E24/B24,"")</f>
        <v>2.2193300911021303E-2</v>
      </c>
      <c r="H24" s="206">
        <f>AVERAGE(E$8:E24)</f>
        <v>911.82352941176475</v>
      </c>
      <c r="I24" s="206">
        <f>AVERAGE(F$8:F24)</f>
        <v>1443039</v>
      </c>
      <c r="J24" s="208">
        <f>AVERAGE(G$8:G24)</f>
        <v>7.4705754937896857E-2</v>
      </c>
      <c r="K24" s="207">
        <f>SUM(D$8:D24)</f>
        <v>-5465</v>
      </c>
      <c r="L24" s="206"/>
      <c r="M24" s="206"/>
      <c r="O24"/>
      <c r="P24"/>
      <c r="Q24"/>
    </row>
    <row r="25" spans="1:17" ht="16.5" x14ac:dyDescent="0.3">
      <c r="A25" s="211">
        <v>18</v>
      </c>
      <c r="B25" s="210">
        <v>15160</v>
      </c>
      <c r="C25" s="209">
        <f>(1-$J$1)*C24+$J$1*B24+$M$1</f>
        <v>15399</v>
      </c>
      <c r="D25" s="209">
        <f>B25-C25</f>
        <v>-239</v>
      </c>
      <c r="E25" s="206">
        <f>ABS(D25)</f>
        <v>239</v>
      </c>
      <c r="F25" s="206">
        <f>D25^2</f>
        <v>57121</v>
      </c>
      <c r="G25" s="206">
        <f>IFERROR(E25/B25,"")</f>
        <v>1.5765171503957783E-2</v>
      </c>
      <c r="H25" s="206">
        <f>AVERAGE(E$8:E25)</f>
        <v>874.44444444444446</v>
      </c>
      <c r="I25" s="206">
        <f>AVERAGE(F$8:F25)</f>
        <v>1366043.5555555555</v>
      </c>
      <c r="J25" s="208">
        <f>AVERAGE(G$8:G25)</f>
        <v>7.1431278080455796E-2</v>
      </c>
      <c r="K25" s="207">
        <f>SUM(D$8:D25)</f>
        <v>-5704</v>
      </c>
      <c r="L25" s="206"/>
      <c r="M25" s="206"/>
    </row>
    <row r="26" spans="1:17" ht="16.5" x14ac:dyDescent="0.3">
      <c r="A26" s="211">
        <v>19</v>
      </c>
      <c r="B26" s="210">
        <v>15352</v>
      </c>
      <c r="C26" s="209">
        <f>(1-$J$1)*C25+$J$1*B25+$M$1</f>
        <v>15960</v>
      </c>
      <c r="D26" s="209">
        <f>B26-C26</f>
        <v>-608</v>
      </c>
      <c r="E26" s="206">
        <f>ABS(D26)</f>
        <v>608</v>
      </c>
      <c r="F26" s="206">
        <f>D26^2</f>
        <v>369664</v>
      </c>
      <c r="G26" s="206">
        <f>IFERROR(E26/B26,"")</f>
        <v>3.9603960396039604E-2</v>
      </c>
      <c r="H26" s="206">
        <f>AVERAGE(E$8:E26)</f>
        <v>860.42105263157896</v>
      </c>
      <c r="I26" s="206">
        <f>AVERAGE(F$8:F26)</f>
        <v>1313602.5263157894</v>
      </c>
      <c r="J26" s="208">
        <f>AVERAGE(G$8:G26)</f>
        <v>6.9756156097065466E-2</v>
      </c>
      <c r="K26" s="207">
        <f>SUM(D$8:D26)</f>
        <v>-6312</v>
      </c>
      <c r="L26" s="206"/>
      <c r="M26" s="206"/>
    </row>
    <row r="27" spans="1:17" ht="16.5" x14ac:dyDescent="0.3">
      <c r="A27" s="211">
        <v>20</v>
      </c>
      <c r="B27" s="210">
        <v>15631</v>
      </c>
      <c r="C27" s="209">
        <f>(1-$J$1)*C26+$J$1*B26+$M$1</f>
        <v>16152</v>
      </c>
      <c r="D27" s="209">
        <f>B27-C27</f>
        <v>-521</v>
      </c>
      <c r="E27" s="206">
        <f>ABS(D27)</f>
        <v>521</v>
      </c>
      <c r="F27" s="206">
        <f>D27^2</f>
        <v>271441</v>
      </c>
      <c r="G27" s="206">
        <f>IFERROR(E27/B27,"")</f>
        <v>3.3331200818885548E-2</v>
      </c>
      <c r="H27" s="206">
        <f>AVERAGE(E$8:E27)</f>
        <v>843.45</v>
      </c>
      <c r="I27" s="206">
        <f>AVERAGE(F$8:F27)</f>
        <v>1261494.45</v>
      </c>
      <c r="J27" s="208">
        <f>AVERAGE(G$8:G27)</f>
        <v>6.7934908333156477E-2</v>
      </c>
      <c r="K27" s="207">
        <f>SUM(D$8:D27)</f>
        <v>-6833</v>
      </c>
      <c r="L27" s="206"/>
      <c r="M27" s="206"/>
    </row>
    <row r="28" spans="1:17" ht="16.5" x14ac:dyDescent="0.3">
      <c r="A28" s="211">
        <v>21</v>
      </c>
      <c r="B28" s="210">
        <v>16887</v>
      </c>
      <c r="C28" s="209">
        <f>(1-$J$1)*C27+$J$1*B27+$M$1</f>
        <v>16431</v>
      </c>
      <c r="D28" s="209">
        <f>B28-C28</f>
        <v>456</v>
      </c>
      <c r="E28" s="206">
        <f>ABS(D28)</f>
        <v>456</v>
      </c>
      <c r="F28" s="206">
        <f>D28^2</f>
        <v>207936</v>
      </c>
      <c r="G28" s="206">
        <f>IFERROR(E28/B28,"")</f>
        <v>2.700302007461361E-2</v>
      </c>
      <c r="H28" s="206">
        <f>AVERAGE(E$8:E28)</f>
        <v>825</v>
      </c>
      <c r="I28" s="206">
        <f>AVERAGE(F$8:F28)</f>
        <v>1211325</v>
      </c>
      <c r="J28" s="208">
        <f>AVERAGE(G$8:G28)</f>
        <v>6.5985770797035381E-2</v>
      </c>
      <c r="K28" s="207">
        <f>SUM(D$8:D28)</f>
        <v>-6377</v>
      </c>
      <c r="L28" s="206"/>
      <c r="M28" s="206"/>
    </row>
    <row r="29" spans="1:17" ht="16.5" x14ac:dyDescent="0.3">
      <c r="A29" s="211">
        <v>22</v>
      </c>
      <c r="B29" s="210">
        <v>17549</v>
      </c>
      <c r="C29" s="209">
        <f>(1-$J$1)*C28+$J$1*B28+$M$1</f>
        <v>17687</v>
      </c>
      <c r="D29" s="209">
        <f>B29-C29</f>
        <v>-138</v>
      </c>
      <c r="E29" s="206">
        <f>ABS(D29)</f>
        <v>138</v>
      </c>
      <c r="F29" s="206">
        <f>D29^2</f>
        <v>19044</v>
      </c>
      <c r="G29" s="206">
        <f>IFERROR(E29/B29,"")</f>
        <v>7.8636959370904317E-3</v>
      </c>
      <c r="H29" s="206">
        <f>AVERAGE(E$8:E29)</f>
        <v>793.77272727272725</v>
      </c>
      <c r="I29" s="206">
        <f>AVERAGE(F$8:F29)</f>
        <v>1157130.4090909092</v>
      </c>
      <c r="J29" s="208">
        <f>AVERAGE(G$8:G29)</f>
        <v>6.3343858303401515E-2</v>
      </c>
      <c r="K29" s="207">
        <f>SUM(D$8:D29)</f>
        <v>-6515</v>
      </c>
      <c r="L29" s="206"/>
      <c r="M29" s="206"/>
    </row>
    <row r="30" spans="1:17" ht="16.5" x14ac:dyDescent="0.3">
      <c r="A30" s="211">
        <v>23</v>
      </c>
      <c r="B30" s="210">
        <v>17090</v>
      </c>
      <c r="C30" s="209">
        <f>(1-$J$1)*C29+$J$1*B29+$M$1</f>
        <v>18349</v>
      </c>
      <c r="D30" s="209">
        <f>B30-C30</f>
        <v>-1259</v>
      </c>
      <c r="E30" s="206">
        <f>ABS(D30)</f>
        <v>1259</v>
      </c>
      <c r="F30" s="206">
        <f>D30^2</f>
        <v>1585081</v>
      </c>
      <c r="G30" s="206">
        <f>IFERROR(E30/B30,"")</f>
        <v>7.3668812170860146E-2</v>
      </c>
      <c r="H30" s="206">
        <f>AVERAGE(E$8:E30)</f>
        <v>814</v>
      </c>
      <c r="I30" s="206">
        <f>AVERAGE(F$8:F30)</f>
        <v>1175736.956521739</v>
      </c>
      <c r="J30" s="208">
        <f>AVERAGE(G$8:G30)</f>
        <v>6.379276934111712E-2</v>
      </c>
      <c r="K30" s="207">
        <f>SUM(D$8:D30)</f>
        <v>-7774</v>
      </c>
      <c r="L30" s="206"/>
      <c r="M30" s="206"/>
    </row>
    <row r="31" spans="1:17" customFormat="1" ht="15" x14ac:dyDescent="0.25">
      <c r="H31" s="86"/>
      <c r="I31" s="86"/>
      <c r="J31" s="86"/>
    </row>
    <row r="32" spans="1:17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.75" customHeight="1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</sheetData>
  <pageMargins left="0.7" right="0.7" top="0.75" bottom="0.75" header="0.3" footer="0.3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9"/>
  <sheetViews>
    <sheetView topLeftCell="A17" zoomScaleNormal="100" workbookViewId="0">
      <selection activeCell="B11" sqref="B11"/>
    </sheetView>
  </sheetViews>
  <sheetFormatPr defaultRowHeight="15" x14ac:dyDescent="0.25"/>
  <cols>
    <col min="1" max="1" width="4.85546875" customWidth="1"/>
    <col min="2" max="2" width="7.5703125" customWidth="1"/>
    <col min="3" max="3" width="11.7109375" bestFit="1" customWidth="1"/>
    <col min="4" max="4" width="14" customWidth="1"/>
    <col min="6" max="6" width="11.7109375" bestFit="1" customWidth="1"/>
    <col min="8" max="8" width="17" customWidth="1"/>
    <col min="9" max="9" width="30" customWidth="1"/>
    <col min="10" max="10" width="10.85546875" customWidth="1"/>
    <col min="11" max="11" width="18" bestFit="1" customWidth="1"/>
    <col min="12" max="12" width="18.28515625" customWidth="1"/>
    <col min="13" max="13" width="11.140625" customWidth="1"/>
  </cols>
  <sheetData>
    <row r="1" spans="1:17" ht="16.5" thickBot="1" x14ac:dyDescent="0.3">
      <c r="A1" s="94" t="s">
        <v>74</v>
      </c>
      <c r="J1" s="93"/>
      <c r="K1" t="s">
        <v>31</v>
      </c>
    </row>
    <row r="2" spans="1:17" ht="16.5" thickBot="1" x14ac:dyDescent="0.3">
      <c r="A2" s="94" t="s">
        <v>73</v>
      </c>
      <c r="F2" s="168">
        <f>M5</f>
        <v>0.33557415837466753</v>
      </c>
      <c r="J2" s="93"/>
    </row>
    <row r="3" spans="1:17" ht="16.5" thickBot="1" x14ac:dyDescent="0.3">
      <c r="A3" s="93" t="s">
        <v>72</v>
      </c>
      <c r="F3" s="168">
        <f>C49</f>
        <v>3.4425087108013939</v>
      </c>
      <c r="J3" s="93"/>
      <c r="K3" s="65" t="s">
        <v>32</v>
      </c>
      <c r="L3" s="65"/>
    </row>
    <row r="4" spans="1:17" ht="16.5" thickBot="1" x14ac:dyDescent="0.3">
      <c r="A4" s="93" t="s">
        <v>71</v>
      </c>
      <c r="F4" s="168">
        <f>L7</f>
        <v>1.7600971052614571</v>
      </c>
      <c r="K4" s="70" t="s">
        <v>34</v>
      </c>
      <c r="L4" s="70">
        <v>0.33557415837466764</v>
      </c>
    </row>
    <row r="5" spans="1:17" ht="15.75" thickBot="1" x14ac:dyDescent="0.3">
      <c r="K5" s="70" t="s">
        <v>36</v>
      </c>
      <c r="L5" s="70">
        <v>0.11261001576886653</v>
      </c>
      <c r="M5" s="168">
        <f>CORREL(B7:B48,A7:A48)</f>
        <v>0.33557415837466753</v>
      </c>
    </row>
    <row r="6" spans="1:17" ht="16.5" thickBot="1" x14ac:dyDescent="0.3">
      <c r="A6" s="93" t="s">
        <v>28</v>
      </c>
      <c r="B6" s="163" t="s">
        <v>0</v>
      </c>
      <c r="C6" s="163" t="s">
        <v>29</v>
      </c>
      <c r="K6" s="70" t="s">
        <v>37</v>
      </c>
      <c r="L6" s="70">
        <v>9.0425266163088186E-2</v>
      </c>
      <c r="M6" s="168">
        <f>M5^2</f>
        <v>0.11261001576886645</v>
      </c>
    </row>
    <row r="7" spans="1:17" ht="16.5" x14ac:dyDescent="0.3">
      <c r="A7" s="165">
        <v>1</v>
      </c>
      <c r="B7" s="167">
        <v>2</v>
      </c>
      <c r="C7" s="164">
        <f t="shared" ref="C7:C49" si="0">$J$17+$J$18*A7</f>
        <v>1.3222591362126246</v>
      </c>
      <c r="K7" s="70" t="s">
        <v>38</v>
      </c>
      <c r="L7" s="70">
        <v>1.7600971052614571</v>
      </c>
    </row>
    <row r="8" spans="1:17" ht="17.25" thickBot="1" x14ac:dyDescent="0.35">
      <c r="A8" s="165">
        <v>2</v>
      </c>
      <c r="B8" s="167">
        <v>2</v>
      </c>
      <c r="C8" s="164">
        <f t="shared" si="0"/>
        <v>1.3727412689409286</v>
      </c>
      <c r="K8" s="74" t="s">
        <v>39</v>
      </c>
      <c r="L8" s="74">
        <v>42</v>
      </c>
    </row>
    <row r="9" spans="1:17" ht="16.5" x14ac:dyDescent="0.3">
      <c r="A9" s="165">
        <v>3</v>
      </c>
      <c r="B9" s="167">
        <v>1</v>
      </c>
      <c r="C9" s="164">
        <f t="shared" si="0"/>
        <v>1.4232234016692327</v>
      </c>
    </row>
    <row r="10" spans="1:17" ht="17.25" thickBot="1" x14ac:dyDescent="0.35">
      <c r="A10" s="165">
        <v>4</v>
      </c>
      <c r="B10" s="167">
        <v>0</v>
      </c>
      <c r="C10" s="164">
        <f t="shared" si="0"/>
        <v>1.4737055343975367</v>
      </c>
      <c r="H10" s="93"/>
      <c r="I10" s="93"/>
      <c r="J10" s="93"/>
      <c r="K10" t="s">
        <v>40</v>
      </c>
    </row>
    <row r="11" spans="1:17" ht="16.5" x14ac:dyDescent="0.3">
      <c r="A11" s="165">
        <v>5</v>
      </c>
      <c r="B11" s="167">
        <v>2</v>
      </c>
      <c r="C11" s="164">
        <f t="shared" si="0"/>
        <v>1.5241876671258408</v>
      </c>
      <c r="D11" s="93"/>
      <c r="E11" s="93"/>
      <c r="F11" s="93"/>
      <c r="G11" s="93"/>
      <c r="K11" s="73"/>
      <c r="L11" s="73" t="s">
        <v>41</v>
      </c>
      <c r="M11" s="73" t="s">
        <v>42</v>
      </c>
      <c r="N11" s="73" t="s">
        <v>43</v>
      </c>
      <c r="O11" s="73" t="s">
        <v>44</v>
      </c>
      <c r="P11" s="73" t="s">
        <v>45</v>
      </c>
    </row>
    <row r="12" spans="1:17" ht="16.5" x14ac:dyDescent="0.3">
      <c r="A12" s="165">
        <v>6</v>
      </c>
      <c r="B12" s="167">
        <v>1</v>
      </c>
      <c r="C12" s="164">
        <f t="shared" si="0"/>
        <v>1.5746697998541448</v>
      </c>
      <c r="K12" s="70" t="s">
        <v>46</v>
      </c>
      <c r="L12" s="70">
        <v>1</v>
      </c>
      <c r="M12" s="70">
        <v>15.725184344866719</v>
      </c>
      <c r="N12" s="70">
        <v>15.725184344866719</v>
      </c>
      <c r="O12" s="70">
        <v>5.0760102218839389</v>
      </c>
      <c r="P12" s="70">
        <v>2.9812598505862674E-2</v>
      </c>
    </row>
    <row r="13" spans="1:17" ht="16.5" x14ac:dyDescent="0.3">
      <c r="A13" s="165">
        <v>7</v>
      </c>
      <c r="B13" s="167">
        <v>0</v>
      </c>
      <c r="C13" s="164">
        <f t="shared" si="0"/>
        <v>1.6251519325824488</v>
      </c>
      <c r="K13" s="70" t="s">
        <v>47</v>
      </c>
      <c r="L13" s="70">
        <v>40</v>
      </c>
      <c r="M13" s="70">
        <v>123.91767279799042</v>
      </c>
      <c r="N13" s="70">
        <v>3.0979418199497606</v>
      </c>
      <c r="O13" s="70"/>
      <c r="P13" s="70"/>
    </row>
    <row r="14" spans="1:17" ht="17.25" thickBot="1" x14ac:dyDescent="0.35">
      <c r="A14" s="165">
        <v>8</v>
      </c>
      <c r="B14" s="167">
        <v>0</v>
      </c>
      <c r="C14" s="164">
        <f t="shared" si="0"/>
        <v>1.6756340653107529</v>
      </c>
      <c r="K14" s="74" t="s">
        <v>48</v>
      </c>
      <c r="L14" s="74">
        <v>41</v>
      </c>
      <c r="M14" s="74">
        <v>139.64285714285714</v>
      </c>
      <c r="N14" s="74"/>
      <c r="O14" s="74"/>
      <c r="P14" s="74"/>
    </row>
    <row r="15" spans="1:17" ht="17.25" thickBot="1" x14ac:dyDescent="0.35">
      <c r="A15" s="165">
        <v>9</v>
      </c>
      <c r="B15" s="167">
        <v>3</v>
      </c>
      <c r="C15" s="164">
        <f t="shared" si="0"/>
        <v>1.7261161980390569</v>
      </c>
    </row>
    <row r="16" spans="1:17" ht="17.25" thickBot="1" x14ac:dyDescent="0.35">
      <c r="A16" s="165">
        <v>10</v>
      </c>
      <c r="B16" s="167">
        <v>4</v>
      </c>
      <c r="C16" s="164">
        <f t="shared" si="0"/>
        <v>1.776598330767361</v>
      </c>
      <c r="K16" s="73"/>
      <c r="L16" s="73" t="s">
        <v>49</v>
      </c>
      <c r="M16" s="73" t="s">
        <v>38</v>
      </c>
      <c r="N16" s="73" t="s">
        <v>50</v>
      </c>
      <c r="O16" s="73" t="s">
        <v>51</v>
      </c>
      <c r="P16" s="73" t="s">
        <v>52</v>
      </c>
      <c r="Q16" s="73" t="s">
        <v>53</v>
      </c>
    </row>
    <row r="17" spans="1:17" ht="17.25" thickBot="1" x14ac:dyDescent="0.35">
      <c r="A17" s="165">
        <v>11</v>
      </c>
      <c r="B17" s="167">
        <v>0</v>
      </c>
      <c r="C17" s="164">
        <f t="shared" si="0"/>
        <v>1.827080463495665</v>
      </c>
      <c r="J17" s="168">
        <f>INTERCEPT(B7:B48,A7:A48)</f>
        <v>1.2717770034843205</v>
      </c>
      <c r="K17" s="70" t="s">
        <v>55</v>
      </c>
      <c r="L17" s="70">
        <v>1.2717770034843201</v>
      </c>
      <c r="M17" s="70">
        <v>0.55302468340899247</v>
      </c>
      <c r="N17" s="70">
        <v>2.2996749361072739</v>
      </c>
      <c r="O17" s="70">
        <v>2.6765107173762532E-2</v>
      </c>
      <c r="P17" s="70">
        <v>0.1540724256144872</v>
      </c>
      <c r="Q17" s="70">
        <v>2.3894815813541532</v>
      </c>
    </row>
    <row r="18" spans="1:17" ht="17.25" thickBot="1" x14ac:dyDescent="0.35">
      <c r="A18" s="165">
        <v>12</v>
      </c>
      <c r="B18" s="167">
        <v>1</v>
      </c>
      <c r="C18" s="164">
        <f t="shared" si="0"/>
        <v>1.8775625962239688</v>
      </c>
      <c r="I18" s="93"/>
      <c r="J18" s="168">
        <f>SLOPE(B7:B48,A7:A48)</f>
        <v>5.0482132728304027E-2</v>
      </c>
      <c r="K18" s="74" t="s">
        <v>57</v>
      </c>
      <c r="L18" s="74">
        <v>5.0482132728304048E-2</v>
      </c>
      <c r="M18" s="74">
        <v>2.2406625234061266E-2</v>
      </c>
      <c r="N18" s="74">
        <v>2.2530002711681902</v>
      </c>
      <c r="O18" s="168">
        <v>2.981259850586274E-2</v>
      </c>
      <c r="P18" s="74">
        <v>5.1966538879272758E-3</v>
      </c>
      <c r="Q18" s="74">
        <v>9.5767611568680827E-2</v>
      </c>
    </row>
    <row r="19" spans="1:17" ht="16.5" x14ac:dyDescent="0.3">
      <c r="A19" s="165">
        <v>13</v>
      </c>
      <c r="B19" s="167">
        <v>3</v>
      </c>
      <c r="C19" s="164">
        <f t="shared" si="0"/>
        <v>1.9280447289522729</v>
      </c>
      <c r="I19" s="93"/>
      <c r="J19" s="93"/>
    </row>
    <row r="20" spans="1:17" ht="16.5" x14ac:dyDescent="0.3">
      <c r="A20" s="165">
        <v>14</v>
      </c>
      <c r="B20" s="167">
        <v>3</v>
      </c>
      <c r="C20" s="164">
        <f t="shared" si="0"/>
        <v>1.9785268616805769</v>
      </c>
      <c r="I20" s="93"/>
      <c r="J20" s="93"/>
    </row>
    <row r="21" spans="1:17" ht="16.5" x14ac:dyDescent="0.3">
      <c r="A21" s="165">
        <v>15</v>
      </c>
      <c r="B21" s="167">
        <v>2</v>
      </c>
      <c r="C21" s="164">
        <f t="shared" si="0"/>
        <v>2.0290089944088807</v>
      </c>
      <c r="I21" s="93"/>
      <c r="J21" s="93"/>
    </row>
    <row r="22" spans="1:17" ht="16.5" x14ac:dyDescent="0.3">
      <c r="A22" s="165">
        <v>16</v>
      </c>
      <c r="B22" s="167">
        <v>1</v>
      </c>
      <c r="C22" s="164">
        <f t="shared" si="0"/>
        <v>2.0794911271371852</v>
      </c>
      <c r="I22" s="93"/>
      <c r="J22" s="93"/>
    </row>
    <row r="23" spans="1:17" ht="16.5" x14ac:dyDescent="0.3">
      <c r="A23" s="165">
        <v>17</v>
      </c>
      <c r="B23" s="167">
        <v>6</v>
      </c>
      <c r="C23" s="164">
        <f t="shared" si="0"/>
        <v>2.1299732598654888</v>
      </c>
      <c r="I23" s="93"/>
      <c r="J23" s="93"/>
    </row>
    <row r="24" spans="1:17" ht="16.5" x14ac:dyDescent="0.3">
      <c r="A24" s="165">
        <v>18</v>
      </c>
      <c r="B24" s="167">
        <v>1</v>
      </c>
      <c r="C24" s="164">
        <f t="shared" si="0"/>
        <v>2.1804553925937933</v>
      </c>
      <c r="I24" s="93"/>
      <c r="J24" s="93"/>
    </row>
    <row r="25" spans="1:17" ht="16.5" x14ac:dyDescent="0.3">
      <c r="A25" s="165">
        <v>19</v>
      </c>
      <c r="B25" s="167">
        <v>2</v>
      </c>
      <c r="C25" s="164">
        <f t="shared" si="0"/>
        <v>2.2309375253220969</v>
      </c>
      <c r="I25" s="93"/>
      <c r="J25" s="93"/>
    </row>
    <row r="26" spans="1:17" ht="16.5" x14ac:dyDescent="0.3">
      <c r="A26" s="165">
        <v>20</v>
      </c>
      <c r="B26" s="167">
        <v>1</v>
      </c>
      <c r="C26" s="164">
        <f t="shared" si="0"/>
        <v>2.2814196580504014</v>
      </c>
      <c r="I26" s="93"/>
      <c r="J26" s="93"/>
    </row>
    <row r="27" spans="1:17" ht="16.5" x14ac:dyDescent="0.3">
      <c r="A27" s="165">
        <v>21</v>
      </c>
      <c r="B27" s="167">
        <v>2</v>
      </c>
      <c r="C27" s="164">
        <f t="shared" si="0"/>
        <v>2.331901790778705</v>
      </c>
      <c r="I27" s="93"/>
      <c r="J27" s="93"/>
    </row>
    <row r="28" spans="1:17" ht="16.5" x14ac:dyDescent="0.3">
      <c r="A28" s="165">
        <v>22</v>
      </c>
      <c r="B28" s="167">
        <v>3</v>
      </c>
      <c r="C28" s="164">
        <f t="shared" si="0"/>
        <v>2.3823839235070094</v>
      </c>
      <c r="I28" s="93"/>
      <c r="J28" s="93"/>
    </row>
    <row r="29" spans="1:17" ht="16.5" x14ac:dyDescent="0.3">
      <c r="A29" s="165">
        <v>23</v>
      </c>
      <c r="B29" s="167">
        <v>3</v>
      </c>
      <c r="C29" s="164">
        <f t="shared" si="0"/>
        <v>2.432866056235313</v>
      </c>
      <c r="I29" s="93"/>
      <c r="J29" s="93"/>
    </row>
    <row r="30" spans="1:17" ht="16.5" x14ac:dyDescent="0.3">
      <c r="A30" s="165">
        <v>24</v>
      </c>
      <c r="B30" s="167">
        <v>3</v>
      </c>
      <c r="C30" s="164">
        <f t="shared" si="0"/>
        <v>2.4833481889636171</v>
      </c>
      <c r="I30" s="93"/>
      <c r="J30" s="93"/>
    </row>
    <row r="31" spans="1:17" ht="16.5" x14ac:dyDescent="0.3">
      <c r="A31" s="165">
        <v>25</v>
      </c>
      <c r="B31" s="167">
        <v>3</v>
      </c>
      <c r="C31" s="164">
        <f t="shared" si="0"/>
        <v>2.5338303216919211</v>
      </c>
      <c r="I31" s="93"/>
      <c r="J31" s="93"/>
    </row>
    <row r="32" spans="1:17" ht="16.5" x14ac:dyDescent="0.3">
      <c r="A32" s="165">
        <v>26</v>
      </c>
      <c r="B32" s="167">
        <v>5</v>
      </c>
      <c r="C32" s="164">
        <f t="shared" si="0"/>
        <v>2.5843124544202252</v>
      </c>
      <c r="I32" s="93"/>
      <c r="J32" s="93"/>
    </row>
    <row r="33" spans="1:10" ht="16.5" x14ac:dyDescent="0.3">
      <c r="A33" s="165">
        <v>27</v>
      </c>
      <c r="B33" s="167">
        <v>4</v>
      </c>
      <c r="C33" s="164">
        <f t="shared" si="0"/>
        <v>2.6347945871485292</v>
      </c>
      <c r="I33" s="93"/>
      <c r="J33" s="93"/>
    </row>
    <row r="34" spans="1:10" ht="16.5" x14ac:dyDescent="0.3">
      <c r="A34" s="165">
        <v>28</v>
      </c>
      <c r="B34" s="167">
        <v>2</v>
      </c>
      <c r="C34" s="164">
        <f t="shared" si="0"/>
        <v>2.6852767198768333</v>
      </c>
      <c r="I34" s="93"/>
      <c r="J34" s="93"/>
    </row>
    <row r="35" spans="1:10" ht="16.5" x14ac:dyDescent="0.3">
      <c r="A35" s="165">
        <v>29</v>
      </c>
      <c r="B35" s="167">
        <v>1</v>
      </c>
      <c r="C35" s="164">
        <f t="shared" si="0"/>
        <v>2.7357588526051373</v>
      </c>
      <c r="I35" s="93"/>
      <c r="J35" s="93"/>
    </row>
    <row r="36" spans="1:10" ht="16.5" x14ac:dyDescent="0.3">
      <c r="A36" s="165">
        <v>30</v>
      </c>
      <c r="B36" s="167">
        <v>2</v>
      </c>
      <c r="C36" s="164">
        <f t="shared" si="0"/>
        <v>2.7862409853334413</v>
      </c>
      <c r="I36" s="93"/>
      <c r="J36" s="93"/>
    </row>
    <row r="37" spans="1:10" ht="16.5" x14ac:dyDescent="0.3">
      <c r="A37" s="165">
        <v>31</v>
      </c>
      <c r="B37" s="167">
        <v>2</v>
      </c>
      <c r="C37" s="164">
        <f t="shared" si="0"/>
        <v>2.8367231180617454</v>
      </c>
      <c r="I37" s="93"/>
      <c r="J37" s="93"/>
    </row>
    <row r="38" spans="1:10" ht="16.5" x14ac:dyDescent="0.3">
      <c r="A38" s="165">
        <v>32</v>
      </c>
      <c r="B38" s="167">
        <v>7</v>
      </c>
      <c r="C38" s="164">
        <f t="shared" si="0"/>
        <v>2.8872052507900494</v>
      </c>
      <c r="I38" s="93"/>
      <c r="J38" s="93"/>
    </row>
    <row r="39" spans="1:10" ht="16.5" x14ac:dyDescent="0.3">
      <c r="A39" s="165">
        <v>33</v>
      </c>
      <c r="B39" s="167">
        <v>0</v>
      </c>
      <c r="C39" s="164">
        <f t="shared" si="0"/>
        <v>2.9376873835183535</v>
      </c>
      <c r="I39" s="93"/>
      <c r="J39" s="93"/>
    </row>
    <row r="40" spans="1:10" ht="16.5" x14ac:dyDescent="0.3">
      <c r="A40" s="165">
        <v>34</v>
      </c>
      <c r="B40" s="167">
        <v>3</v>
      </c>
      <c r="C40" s="164">
        <f t="shared" si="0"/>
        <v>2.9881695162466575</v>
      </c>
      <c r="I40" s="93"/>
      <c r="J40" s="93"/>
    </row>
    <row r="41" spans="1:10" ht="16.5" x14ac:dyDescent="0.3">
      <c r="A41" s="165">
        <v>35</v>
      </c>
      <c r="B41" s="167">
        <v>1</v>
      </c>
      <c r="C41" s="164">
        <f t="shared" si="0"/>
        <v>3.0386516489749615</v>
      </c>
      <c r="I41" s="93"/>
      <c r="J41" s="93"/>
    </row>
    <row r="42" spans="1:10" ht="16.5" x14ac:dyDescent="0.3">
      <c r="A42" s="165">
        <v>36</v>
      </c>
      <c r="B42" s="167">
        <v>5</v>
      </c>
      <c r="C42" s="164">
        <f t="shared" si="0"/>
        <v>3.0891337817032656</v>
      </c>
      <c r="I42" s="93"/>
      <c r="J42" s="93"/>
    </row>
    <row r="43" spans="1:10" ht="16.5" x14ac:dyDescent="0.3">
      <c r="A43" s="165">
        <v>37</v>
      </c>
      <c r="B43" s="167">
        <v>2</v>
      </c>
      <c r="C43" s="164">
        <f t="shared" si="0"/>
        <v>3.1396159144315696</v>
      </c>
      <c r="I43" s="93"/>
      <c r="J43" s="93"/>
    </row>
    <row r="44" spans="1:10" ht="16.5" x14ac:dyDescent="0.3">
      <c r="A44" s="165">
        <v>38</v>
      </c>
      <c r="B44" s="167">
        <v>0</v>
      </c>
      <c r="C44" s="164">
        <f t="shared" si="0"/>
        <v>3.1900980471598737</v>
      </c>
      <c r="I44" s="93"/>
      <c r="J44" s="93"/>
    </row>
    <row r="45" spans="1:10" ht="16.5" x14ac:dyDescent="0.3">
      <c r="A45" s="165">
        <v>39</v>
      </c>
      <c r="B45" s="167">
        <v>5</v>
      </c>
      <c r="C45" s="164">
        <f t="shared" si="0"/>
        <v>3.2405801798881777</v>
      </c>
      <c r="I45" s="93"/>
      <c r="J45" s="93"/>
    </row>
    <row r="46" spans="1:10" ht="16.5" x14ac:dyDescent="0.3">
      <c r="A46" s="165">
        <v>40</v>
      </c>
      <c r="B46" s="167">
        <v>5</v>
      </c>
      <c r="C46" s="164">
        <f t="shared" si="0"/>
        <v>3.2910623126164817</v>
      </c>
      <c r="I46" s="93"/>
      <c r="J46" s="93"/>
    </row>
    <row r="47" spans="1:10" ht="16.5" x14ac:dyDescent="0.3">
      <c r="A47" s="165">
        <v>41</v>
      </c>
      <c r="B47" s="167">
        <v>0</v>
      </c>
      <c r="C47" s="164">
        <f t="shared" si="0"/>
        <v>3.3415444453447858</v>
      </c>
      <c r="I47" s="93"/>
      <c r="J47" s="93"/>
    </row>
    <row r="48" spans="1:10" ht="17.25" thickBot="1" x14ac:dyDescent="0.35">
      <c r="A48" s="165">
        <v>42</v>
      </c>
      <c r="B48" s="166">
        <v>6</v>
      </c>
      <c r="C48" s="164">
        <f t="shared" si="0"/>
        <v>3.3920265780730898</v>
      </c>
      <c r="I48" s="93"/>
      <c r="J48" s="93"/>
    </row>
    <row r="49" spans="1:3" ht="15.75" x14ac:dyDescent="0.25">
      <c r="A49" s="165">
        <v>43</v>
      </c>
      <c r="C49" s="164">
        <f t="shared" si="0"/>
        <v>3.4425087108013939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Q53"/>
  <sheetViews>
    <sheetView zoomScale="96" zoomScaleNormal="96" workbookViewId="0">
      <selection activeCell="H36" sqref="H36"/>
    </sheetView>
  </sheetViews>
  <sheetFormatPr defaultRowHeight="15" x14ac:dyDescent="0.25"/>
  <cols>
    <col min="2" max="3" width="4.85546875" customWidth="1"/>
    <col min="4" max="4" width="10" bestFit="1" customWidth="1"/>
    <col min="5" max="6" width="7.85546875" bestFit="1" customWidth="1"/>
    <col min="7" max="9" width="7.85546875" style="63" customWidth="1"/>
    <col min="10" max="10" width="27.140625" bestFit="1" customWidth="1"/>
    <col min="11" max="11" width="18.140625" bestFit="1" customWidth="1"/>
    <col min="12" max="12" width="11.7109375" bestFit="1" customWidth="1"/>
    <col min="13" max="13" width="14.5703125" bestFit="1" customWidth="1"/>
    <col min="14" max="14" width="12" bestFit="1" customWidth="1"/>
    <col min="15" max="15" width="8.85546875" bestFit="1" customWidth="1"/>
    <col min="16" max="16" width="13.42578125" bestFit="1" customWidth="1"/>
    <col min="17" max="17" width="11" bestFit="1" customWidth="1"/>
  </cols>
  <sheetData>
    <row r="1" spans="1:17" ht="15.75" thickBot="1" x14ac:dyDescent="0.3">
      <c r="G1" s="90" t="s">
        <v>62</v>
      </c>
      <c r="H1" s="90" t="s">
        <v>63</v>
      </c>
      <c r="I1" s="90" t="s">
        <v>64</v>
      </c>
      <c r="J1" s="90" t="s">
        <v>65</v>
      </c>
    </row>
    <row r="2" spans="1:17" ht="15.75" thickBot="1" x14ac:dyDescent="0.3">
      <c r="A2" s="62" t="s">
        <v>58</v>
      </c>
      <c r="B2" s="76" t="s">
        <v>28</v>
      </c>
      <c r="C2" s="78" t="s">
        <v>0</v>
      </c>
      <c r="D2" s="78" t="s">
        <v>29</v>
      </c>
      <c r="E2" s="77" t="s">
        <v>30</v>
      </c>
      <c r="F2" s="78" t="s">
        <v>61</v>
      </c>
      <c r="G2" s="1">
        <f>AVERAGE(C3:C52)</f>
        <v>29.88</v>
      </c>
      <c r="H2" s="87">
        <f>SUM(E3:E52)</f>
        <v>15075.296710684273</v>
      </c>
      <c r="I2" s="87">
        <f>SUM(F3:F52)</f>
        <v>16831.280000000006</v>
      </c>
      <c r="J2">
        <f>1-H2/I2</f>
        <v>0.10432856498826781</v>
      </c>
      <c r="K2" t="s">
        <v>31</v>
      </c>
      <c r="Q2" t="s">
        <v>46</v>
      </c>
    </row>
    <row r="3" spans="1:17" ht="15.75" thickBot="1" x14ac:dyDescent="0.3">
      <c r="A3" s="79">
        <f ca="1">'0.ArdiData'!C3</f>
        <v>1779</v>
      </c>
      <c r="B3" s="80">
        <v>1</v>
      </c>
      <c r="C3" s="95">
        <v>26</v>
      </c>
      <c r="D3" s="97">
        <f>$L$20+$L$21*B3</f>
        <v>19.818823529411763</v>
      </c>
      <c r="E3" s="81">
        <f>(C3-D3)^2</f>
        <v>38.206942560553664</v>
      </c>
      <c r="F3" s="98">
        <f>(C3-$G$2)^2</f>
        <v>15.054399999999992</v>
      </c>
      <c r="G3"/>
      <c r="H3"/>
      <c r="I3"/>
    </row>
    <row r="4" spans="1:17" x14ac:dyDescent="0.25">
      <c r="A4" s="79">
        <f ca="1">'0.ArdiData'!C4</f>
        <v>1866</v>
      </c>
      <c r="B4" s="80">
        <v>2</v>
      </c>
      <c r="C4" s="95">
        <v>22</v>
      </c>
      <c r="D4" s="97">
        <f t="shared" ref="D4:D52" si="0">$L$20+$L$21*B4</f>
        <v>20.229483793517407</v>
      </c>
      <c r="E4" s="81">
        <f t="shared" ref="E4:E34" si="1">(C4-D4)^2</f>
        <v>3.1347276374175133</v>
      </c>
      <c r="F4" s="98">
        <f t="shared" ref="F4:F34" si="2">(C4-$G$2)^2</f>
        <v>62.094399999999986</v>
      </c>
      <c r="G4" s="88"/>
      <c r="H4" s="88"/>
      <c r="I4" s="88"/>
      <c r="K4" s="65" t="s">
        <v>32</v>
      </c>
      <c r="L4" s="65"/>
    </row>
    <row r="5" spans="1:17" x14ac:dyDescent="0.25">
      <c r="A5" s="79">
        <f ca="1">'0.ArdiData'!C5</f>
        <v>2209</v>
      </c>
      <c r="B5" s="80">
        <v>3</v>
      </c>
      <c r="C5" s="95">
        <v>11</v>
      </c>
      <c r="D5" s="97">
        <f t="shared" si="0"/>
        <v>20.640144057623047</v>
      </c>
      <c r="E5" s="81">
        <f t="shared" si="1"/>
        <v>92.932377451724946</v>
      </c>
      <c r="F5" s="98">
        <f t="shared" si="2"/>
        <v>356.45439999999996</v>
      </c>
      <c r="G5" s="88"/>
      <c r="H5" s="88"/>
      <c r="I5" s="88"/>
      <c r="J5" s="66" t="s">
        <v>33</v>
      </c>
      <c r="K5" s="67" t="s">
        <v>34</v>
      </c>
      <c r="L5" s="68">
        <v>0.32299932660652342</v>
      </c>
      <c r="M5" s="69">
        <f>CORREL(B3:B52,C3:C52)</f>
        <v>0.32299932660652309</v>
      </c>
    </row>
    <row r="6" spans="1:17" x14ac:dyDescent="0.25">
      <c r="A6" s="79">
        <f ca="1">'0.ArdiData'!C6</f>
        <v>2272</v>
      </c>
      <c r="B6" s="80">
        <v>4</v>
      </c>
      <c r="C6" s="95">
        <v>3</v>
      </c>
      <c r="D6" s="97">
        <f t="shared" si="0"/>
        <v>21.050804321728691</v>
      </c>
      <c r="E6" s="81">
        <f t="shared" si="1"/>
        <v>325.83153666133921</v>
      </c>
      <c r="F6" s="98">
        <f t="shared" si="2"/>
        <v>722.53439999999989</v>
      </c>
      <c r="G6" s="88"/>
      <c r="H6" s="88"/>
      <c r="I6" s="88"/>
      <c r="J6" s="66" t="s">
        <v>35</v>
      </c>
      <c r="K6" s="67" t="s">
        <v>36</v>
      </c>
      <c r="L6" s="68">
        <v>0.10432856498826758</v>
      </c>
      <c r="M6" s="69">
        <f>M5^2</f>
        <v>0.10432856498826737</v>
      </c>
      <c r="N6" s="103">
        <f>1-H2/I2</f>
        <v>0.10432856498826781</v>
      </c>
    </row>
    <row r="7" spans="1:17" x14ac:dyDescent="0.25">
      <c r="A7" s="79">
        <f ca="1">'0.ArdiData'!C7</f>
        <v>2582</v>
      </c>
      <c r="B7" s="80">
        <v>5</v>
      </c>
      <c r="C7" s="95">
        <v>28</v>
      </c>
      <c r="D7" s="97">
        <f t="shared" si="0"/>
        <v>21.461464585834332</v>
      </c>
      <c r="E7" s="81">
        <f t="shared" si="1"/>
        <v>42.752445362298609</v>
      </c>
      <c r="F7" s="98">
        <f t="shared" si="2"/>
        <v>3.5343999999999962</v>
      </c>
      <c r="G7" s="88"/>
      <c r="H7" s="88"/>
      <c r="I7" s="88"/>
      <c r="K7" s="70" t="s">
        <v>37</v>
      </c>
      <c r="L7" s="71">
        <v>8.566874342552315E-2</v>
      </c>
    </row>
    <row r="8" spans="1:17" x14ac:dyDescent="0.25">
      <c r="A8" s="79">
        <f ca="1">'0.ArdiData'!C8</f>
        <v>2791</v>
      </c>
      <c r="B8" s="80">
        <v>6</v>
      </c>
      <c r="C8" s="95">
        <v>13</v>
      </c>
      <c r="D8" s="97">
        <f t="shared" si="0"/>
        <v>21.872124849939976</v>
      </c>
      <c r="E8" s="81">
        <f t="shared" si="1"/>
        <v>78.714599352922434</v>
      </c>
      <c r="F8" s="98">
        <f t="shared" si="2"/>
        <v>284.93439999999998</v>
      </c>
      <c r="G8" s="88"/>
      <c r="H8" s="88"/>
      <c r="I8" s="88"/>
      <c r="K8" s="67" t="s">
        <v>38</v>
      </c>
      <c r="L8" s="68">
        <v>17.721983000572738</v>
      </c>
      <c r="M8" s="69">
        <f>SQRT(SUM(E3:E52)/(COUNT(E3:E52)-2))</f>
        <v>17.721983000572738</v>
      </c>
    </row>
    <row r="9" spans="1:17" ht="15.75" thickBot="1" x14ac:dyDescent="0.3">
      <c r="A9" s="79">
        <f ca="1">'0.ArdiData'!C9</f>
        <v>3067</v>
      </c>
      <c r="B9" s="80">
        <v>7</v>
      </c>
      <c r="C9" s="95">
        <v>8</v>
      </c>
      <c r="D9" s="97">
        <f t="shared" si="0"/>
        <v>22.282785114045616</v>
      </c>
      <c r="E9" s="81">
        <f t="shared" si="1"/>
        <v>203.99795061400303</v>
      </c>
      <c r="F9" s="98">
        <f t="shared" si="2"/>
        <v>478.73439999999994</v>
      </c>
      <c r="G9" s="88"/>
      <c r="H9" s="88"/>
      <c r="I9" s="88"/>
      <c r="K9" s="72" t="s">
        <v>39</v>
      </c>
      <c r="L9" s="72">
        <v>50</v>
      </c>
      <c r="M9" s="69">
        <f>COUNT(C3:C52)</f>
        <v>50</v>
      </c>
    </row>
    <row r="10" spans="1:17" x14ac:dyDescent="0.25">
      <c r="A10" s="79">
        <f ca="1">'0.ArdiData'!C10</f>
        <v>2959</v>
      </c>
      <c r="B10" s="80">
        <v>8</v>
      </c>
      <c r="C10" s="95">
        <v>7</v>
      </c>
      <c r="D10" s="97">
        <f t="shared" si="0"/>
        <v>22.69344537815126</v>
      </c>
      <c r="E10" s="81">
        <f t="shared" si="1"/>
        <v>246.28422783701714</v>
      </c>
      <c r="F10" s="98">
        <f t="shared" si="2"/>
        <v>523.49439999999993</v>
      </c>
      <c r="G10" s="88"/>
      <c r="H10" s="88"/>
      <c r="I10" s="88"/>
    </row>
    <row r="11" spans="1:17" ht="15.75" thickBot="1" x14ac:dyDescent="0.3">
      <c r="A11" s="79">
        <f ca="1">'0.ArdiData'!C11</f>
        <v>4091</v>
      </c>
      <c r="B11" s="80">
        <v>9</v>
      </c>
      <c r="C11" s="95">
        <v>32</v>
      </c>
      <c r="D11" s="97">
        <f t="shared" si="0"/>
        <v>23.104105642256901</v>
      </c>
      <c r="E11" s="81">
        <f t="shared" si="1"/>
        <v>79.136936424125508</v>
      </c>
      <c r="F11" s="98">
        <f t="shared" si="2"/>
        <v>4.4944000000000042</v>
      </c>
      <c r="G11" s="88"/>
      <c r="H11" s="88"/>
      <c r="I11" s="88"/>
      <c r="K11" t="s">
        <v>40</v>
      </c>
    </row>
    <row r="12" spans="1:17" x14ac:dyDescent="0.25">
      <c r="A12" s="79">
        <f ca="1">'0.ArdiData'!C12</f>
        <v>3100</v>
      </c>
      <c r="B12" s="80">
        <v>10</v>
      </c>
      <c r="C12" s="95">
        <v>41</v>
      </c>
      <c r="D12" s="97">
        <f t="shared" si="0"/>
        <v>23.514765906362545</v>
      </c>
      <c r="E12" s="81">
        <f t="shared" si="1"/>
        <v>305.73341130930163</v>
      </c>
      <c r="F12" s="98">
        <f t="shared" si="2"/>
        <v>123.65440000000002</v>
      </c>
      <c r="G12" s="88"/>
      <c r="H12" s="88"/>
      <c r="I12" s="88"/>
      <c r="K12" s="73"/>
      <c r="L12" s="73" t="s">
        <v>41</v>
      </c>
      <c r="M12" s="73" t="s">
        <v>42</v>
      </c>
      <c r="N12" s="73" t="s">
        <v>43</v>
      </c>
      <c r="O12" s="73" t="s">
        <v>44</v>
      </c>
      <c r="P12" s="73" t="s">
        <v>45</v>
      </c>
    </row>
    <row r="13" spans="1:17" x14ac:dyDescent="0.25">
      <c r="A13" s="79">
        <f ca="1">'0.ArdiData'!C13</f>
        <v>3660</v>
      </c>
      <c r="B13" s="80">
        <v>11</v>
      </c>
      <c r="C13" s="95">
        <v>9</v>
      </c>
      <c r="D13" s="97">
        <f t="shared" si="0"/>
        <v>23.925426170468185</v>
      </c>
      <c r="E13" s="81">
        <f t="shared" si="1"/>
        <v>222.76834637009659</v>
      </c>
      <c r="F13" s="98">
        <f t="shared" si="2"/>
        <v>435.97439999999995</v>
      </c>
      <c r="G13" s="88"/>
      <c r="H13" s="88"/>
      <c r="I13" s="88"/>
      <c r="K13" s="70" t="s">
        <v>46</v>
      </c>
      <c r="L13" s="91">
        <v>1</v>
      </c>
      <c r="M13" s="100">
        <v>1755.9832893157291</v>
      </c>
      <c r="N13" s="100">
        <v>1755.9832893157291</v>
      </c>
      <c r="O13" s="100">
        <v>5.5910805276169686</v>
      </c>
      <c r="P13" s="100">
        <v>2.2144150363479678E-2</v>
      </c>
    </row>
    <row r="14" spans="1:17" x14ac:dyDescent="0.25">
      <c r="A14" s="79">
        <f ca="1">'0.ArdiData'!C14</f>
        <v>3946</v>
      </c>
      <c r="B14" s="80">
        <v>12</v>
      </c>
      <c r="C14" s="95">
        <v>14</v>
      </c>
      <c r="D14" s="97">
        <f t="shared" si="0"/>
        <v>24.336086434573829</v>
      </c>
      <c r="E14" s="81">
        <f t="shared" si="1"/>
        <v>106.83468278298113</v>
      </c>
      <c r="F14" s="98">
        <f t="shared" si="2"/>
        <v>252.17439999999996</v>
      </c>
      <c r="G14" s="88"/>
      <c r="H14" s="88"/>
      <c r="I14" s="88"/>
      <c r="K14" s="70" t="s">
        <v>47</v>
      </c>
      <c r="L14" s="91">
        <v>48</v>
      </c>
      <c r="M14" s="100">
        <v>15075.296710684277</v>
      </c>
      <c r="N14" s="100">
        <v>314.06868147258911</v>
      </c>
      <c r="O14" s="100"/>
      <c r="P14" s="100"/>
    </row>
    <row r="15" spans="1:17" ht="15.75" thickBot="1" x14ac:dyDescent="0.3">
      <c r="A15" s="79">
        <f ca="1">'0.ArdiData'!C15</f>
        <v>4383</v>
      </c>
      <c r="B15" s="80">
        <v>13</v>
      </c>
      <c r="C15" s="95">
        <v>35</v>
      </c>
      <c r="D15" s="97">
        <f t="shared" si="0"/>
        <v>24.74674669867947</v>
      </c>
      <c r="E15" s="81">
        <f t="shared" si="1"/>
        <v>105.12920326104035</v>
      </c>
      <c r="F15" s="98">
        <f t="shared" si="2"/>
        <v>26.214400000000012</v>
      </c>
      <c r="G15" s="88"/>
      <c r="H15" s="88"/>
      <c r="I15" s="88"/>
      <c r="K15" s="74" t="s">
        <v>48</v>
      </c>
      <c r="L15" s="101">
        <v>49</v>
      </c>
      <c r="M15" s="102">
        <v>16831.280000000006</v>
      </c>
      <c r="N15" s="102"/>
      <c r="O15" s="102"/>
      <c r="P15" s="102"/>
    </row>
    <row r="16" spans="1:17" ht="15.75" thickBot="1" x14ac:dyDescent="0.3">
      <c r="A16" s="79">
        <f ca="1">'0.ArdiData'!C16</f>
        <v>5245</v>
      </c>
      <c r="B16" s="80">
        <v>14</v>
      </c>
      <c r="C16" s="95">
        <v>39</v>
      </c>
      <c r="D16" s="97">
        <f t="shared" si="0"/>
        <v>25.15740696278511</v>
      </c>
      <c r="E16" s="81">
        <f t="shared" si="1"/>
        <v>191.61738199395015</v>
      </c>
      <c r="F16" s="98">
        <f t="shared" si="2"/>
        <v>83.17440000000002</v>
      </c>
      <c r="G16" s="88"/>
      <c r="H16" s="88"/>
      <c r="I16" s="88"/>
    </row>
    <row r="17" spans="1:17" x14ac:dyDescent="0.25">
      <c r="A17" s="79">
        <f ca="1">'0.ArdiData'!C17</f>
        <v>5403</v>
      </c>
      <c r="B17" s="80">
        <v>15</v>
      </c>
      <c r="C17" s="95">
        <v>28</v>
      </c>
      <c r="D17" s="97">
        <f t="shared" si="0"/>
        <v>25.568067226890754</v>
      </c>
      <c r="E17" s="81">
        <f t="shared" si="1"/>
        <v>5.9142970129228258</v>
      </c>
      <c r="F17" s="98">
        <f t="shared" si="2"/>
        <v>3.5343999999999962</v>
      </c>
      <c r="G17" s="88"/>
      <c r="H17" s="88"/>
      <c r="I17" s="88"/>
      <c r="K17" s="73"/>
      <c r="L17" s="73" t="s">
        <v>49</v>
      </c>
      <c r="M17" s="73" t="s">
        <v>38</v>
      </c>
      <c r="N17" s="73" t="s">
        <v>50</v>
      </c>
      <c r="O17" s="73" t="s">
        <v>51</v>
      </c>
      <c r="P17" s="73" t="s">
        <v>52</v>
      </c>
      <c r="Q17" s="73" t="s">
        <v>53</v>
      </c>
    </row>
    <row r="18" spans="1:17" x14ac:dyDescent="0.25">
      <c r="A18" s="79">
        <f ca="1">'0.ArdiData'!C18</f>
        <v>4219</v>
      </c>
      <c r="B18" s="80">
        <v>16</v>
      </c>
      <c r="C18" s="95">
        <v>19</v>
      </c>
      <c r="D18" s="97">
        <f t="shared" si="0"/>
        <v>25.978727490996398</v>
      </c>
      <c r="E18" s="81">
        <f t="shared" si="1"/>
        <v>48.702637393588887</v>
      </c>
      <c r="F18" s="98">
        <f t="shared" si="2"/>
        <v>118.37439999999998</v>
      </c>
      <c r="G18" s="88"/>
      <c r="H18" s="88"/>
      <c r="I18" s="88"/>
      <c r="J18" s="66" t="s">
        <v>54</v>
      </c>
      <c r="K18" s="67" t="s">
        <v>55</v>
      </c>
      <c r="L18" s="71">
        <v>19.408163265306122</v>
      </c>
      <c r="M18" s="100">
        <v>5.0886778547249945</v>
      </c>
      <c r="N18" s="100">
        <v>3.8139893739363053</v>
      </c>
      <c r="O18" s="100">
        <v>3.9045739200275012E-4</v>
      </c>
      <c r="P18" s="100">
        <v>9.1766907002433395</v>
      </c>
      <c r="Q18" s="100">
        <v>29.639635830368903</v>
      </c>
    </row>
    <row r="19" spans="1:17" ht="15.75" thickBot="1" x14ac:dyDescent="0.3">
      <c r="A19" s="79">
        <f ca="1">'0.ArdiData'!C19</f>
        <v>5303</v>
      </c>
      <c r="B19" s="80">
        <v>17</v>
      </c>
      <c r="C19" s="95">
        <v>68</v>
      </c>
      <c r="D19" s="97">
        <f t="shared" si="0"/>
        <v>26.389387755102039</v>
      </c>
      <c r="E19" s="81">
        <f t="shared" si="1"/>
        <v>1731.4430513952525</v>
      </c>
      <c r="F19" s="98">
        <f t="shared" si="2"/>
        <v>1453.1344000000004</v>
      </c>
      <c r="G19" s="88"/>
      <c r="H19" s="88"/>
      <c r="I19" s="88"/>
      <c r="J19" s="66" t="s">
        <v>56</v>
      </c>
      <c r="K19" s="72" t="s">
        <v>57</v>
      </c>
      <c r="L19" s="75">
        <v>0.41066026410564221</v>
      </c>
      <c r="M19" s="102">
        <v>0.17367400060101817</v>
      </c>
      <c r="N19" s="102">
        <v>2.3645465797097249</v>
      </c>
      <c r="O19" s="104">
        <v>2.2144150363479765E-2</v>
      </c>
      <c r="P19" s="104">
        <v>6.146528200158341E-2</v>
      </c>
      <c r="Q19" s="104">
        <v>0.75985524620970102</v>
      </c>
    </row>
    <row r="20" spans="1:17" x14ac:dyDescent="0.25">
      <c r="A20" s="79">
        <f ca="1">'0.ArdiData'!C20</f>
        <v>4960</v>
      </c>
      <c r="B20" s="80">
        <v>18</v>
      </c>
      <c r="C20" s="95">
        <v>16</v>
      </c>
      <c r="D20" s="97">
        <f t="shared" si="0"/>
        <v>26.800048019207679</v>
      </c>
      <c r="E20" s="81">
        <f t="shared" si="1"/>
        <v>116.64103721719172</v>
      </c>
      <c r="F20" s="98">
        <f t="shared" si="2"/>
        <v>192.65439999999998</v>
      </c>
      <c r="G20" s="88"/>
      <c r="H20" s="88"/>
      <c r="I20" s="88"/>
      <c r="K20" s="69" t="s">
        <v>55</v>
      </c>
      <c r="L20" s="69">
        <f>INTERCEPT(C3:C52,B3:B52)</f>
        <v>19.408163265306122</v>
      </c>
    </row>
    <row r="21" spans="1:17" x14ac:dyDescent="0.25">
      <c r="A21" s="79">
        <f ca="1">'0.ArdiData'!C21</f>
        <v>5617</v>
      </c>
      <c r="B21" s="80">
        <v>19</v>
      </c>
      <c r="C21" s="95">
        <v>27</v>
      </c>
      <c r="D21" s="97">
        <f t="shared" si="0"/>
        <v>27.210708283313323</v>
      </c>
      <c r="E21" s="81">
        <f t="shared" si="1"/>
        <v>4.4397980656847746E-2</v>
      </c>
      <c r="F21" s="98">
        <f t="shared" si="2"/>
        <v>8.2943999999999942</v>
      </c>
      <c r="G21" s="88"/>
      <c r="H21" s="88"/>
      <c r="I21" s="88"/>
      <c r="K21" s="69" t="s">
        <v>57</v>
      </c>
      <c r="L21" s="69">
        <f>SLOPE(C3:C52,B3:B52)</f>
        <v>0.41066026410564216</v>
      </c>
    </row>
    <row r="22" spans="1:17" x14ac:dyDescent="0.25">
      <c r="A22" s="79">
        <f ca="1">'0.ArdiData'!C22</f>
        <v>5797</v>
      </c>
      <c r="B22" s="80">
        <v>20</v>
      </c>
      <c r="C22" s="95">
        <v>10</v>
      </c>
      <c r="D22" s="97">
        <f t="shared" si="0"/>
        <v>27.621368547418967</v>
      </c>
      <c r="E22" s="81">
        <f t="shared" si="1"/>
        <v>310.51262948396646</v>
      </c>
      <c r="F22" s="98">
        <f t="shared" si="2"/>
        <v>395.21439999999996</v>
      </c>
      <c r="G22" s="88"/>
      <c r="H22" s="88"/>
      <c r="I22" s="88"/>
      <c r="M22" s="86">
        <f>H2</f>
        <v>15075.296710684273</v>
      </c>
    </row>
    <row r="23" spans="1:17" x14ac:dyDescent="0.25">
      <c r="A23" s="79">
        <f ca="1">'0.ArdiData'!C23</f>
        <v>6589</v>
      </c>
      <c r="B23" s="80">
        <v>21</v>
      </c>
      <c r="C23" s="95">
        <v>27</v>
      </c>
      <c r="D23" s="97">
        <f t="shared" si="0"/>
        <v>28.032028811524608</v>
      </c>
      <c r="E23" s="81">
        <f t="shared" si="1"/>
        <v>1.0650834678168946</v>
      </c>
      <c r="F23" s="98">
        <f t="shared" si="2"/>
        <v>8.2943999999999942</v>
      </c>
      <c r="G23" s="88"/>
      <c r="H23" s="88"/>
      <c r="I23" s="88"/>
    </row>
    <row r="24" spans="1:17" x14ac:dyDescent="0.25">
      <c r="A24" s="79">
        <f ca="1">'0.ArdiData'!C24</f>
        <v>6020</v>
      </c>
      <c r="B24" s="80">
        <v>22</v>
      </c>
      <c r="C24" s="95">
        <v>38</v>
      </c>
      <c r="D24" s="97">
        <f t="shared" si="0"/>
        <v>28.442689075630248</v>
      </c>
      <c r="E24" s="81">
        <f t="shared" si="1"/>
        <v>91.342192105077402</v>
      </c>
      <c r="F24" s="98">
        <f t="shared" si="2"/>
        <v>65.934400000000011</v>
      </c>
      <c r="G24" s="88"/>
      <c r="H24" s="88"/>
      <c r="I24" s="88"/>
    </row>
    <row r="25" spans="1:17" x14ac:dyDescent="0.25">
      <c r="A25" s="79">
        <f ca="1">'0.ArdiData'!C25</f>
        <v>6357</v>
      </c>
      <c r="B25" s="80">
        <v>23</v>
      </c>
      <c r="C25" s="95">
        <v>38</v>
      </c>
      <c r="D25" s="97">
        <f t="shared" si="0"/>
        <v>28.853349339735892</v>
      </c>
      <c r="E25" s="81">
        <f t="shared" si="1"/>
        <v>83.661218300909837</v>
      </c>
      <c r="F25" s="98">
        <f t="shared" si="2"/>
        <v>65.934400000000011</v>
      </c>
      <c r="G25" s="88"/>
      <c r="H25" s="88"/>
      <c r="I25" s="88"/>
    </row>
    <row r="26" spans="1:17" x14ac:dyDescent="0.25">
      <c r="A26" s="79">
        <f ca="1">'0.ArdiData'!C26</f>
        <v>7111</v>
      </c>
      <c r="B26" s="80">
        <v>24</v>
      </c>
      <c r="C26" s="95">
        <v>32</v>
      </c>
      <c r="D26" s="97">
        <f t="shared" si="0"/>
        <v>29.264009603841533</v>
      </c>
      <c r="E26" s="81">
        <f t="shared" si="1"/>
        <v>7.4856434478713654</v>
      </c>
      <c r="F26" s="98">
        <f t="shared" si="2"/>
        <v>4.4944000000000042</v>
      </c>
      <c r="G26" s="88"/>
      <c r="H26" s="88"/>
      <c r="I26" s="88"/>
    </row>
    <row r="27" spans="1:17" x14ac:dyDescent="0.25">
      <c r="A27" s="79">
        <f ca="1">'0.ArdiData'!C27</f>
        <v>5846</v>
      </c>
      <c r="B27" s="80">
        <v>25</v>
      </c>
      <c r="C27" s="95">
        <v>36</v>
      </c>
      <c r="D27" s="97">
        <f t="shared" si="0"/>
        <v>29.674669867947173</v>
      </c>
      <c r="E27" s="81">
        <f t="shared" si="1"/>
        <v>40.009801279455431</v>
      </c>
      <c r="F27" s="98">
        <f t="shared" si="2"/>
        <v>37.454400000000014</v>
      </c>
      <c r="G27" s="88"/>
      <c r="H27" s="88"/>
      <c r="I27" s="88"/>
    </row>
    <row r="28" spans="1:17" x14ac:dyDescent="0.25">
      <c r="A28" s="79">
        <f ca="1">'0.ArdiData'!C28</f>
        <v>7743</v>
      </c>
      <c r="B28" s="80">
        <v>26</v>
      </c>
      <c r="C28" s="95">
        <v>53</v>
      </c>
      <c r="D28" s="97">
        <f t="shared" si="0"/>
        <v>30.085330132052817</v>
      </c>
      <c r="E28" s="81">
        <f t="shared" si="1"/>
        <v>525.08209515700651</v>
      </c>
      <c r="F28" s="98">
        <f t="shared" si="2"/>
        <v>534.53440000000001</v>
      </c>
      <c r="G28" s="88"/>
      <c r="H28" s="88"/>
      <c r="I28" s="88"/>
    </row>
    <row r="29" spans="1:17" x14ac:dyDescent="0.25">
      <c r="A29" s="79">
        <f ca="1">'0.ArdiData'!C29</f>
        <v>7292</v>
      </c>
      <c r="B29" s="80">
        <v>27</v>
      </c>
      <c r="C29" s="95">
        <v>45</v>
      </c>
      <c r="D29" s="97">
        <f t="shared" si="0"/>
        <v>30.495990396158462</v>
      </c>
      <c r="E29" s="81">
        <f t="shared" si="1"/>
        <v>210.36629458832758</v>
      </c>
      <c r="F29" s="98">
        <f t="shared" si="2"/>
        <v>228.61440000000002</v>
      </c>
      <c r="G29" s="88"/>
      <c r="H29" s="88"/>
      <c r="I29" s="88"/>
    </row>
    <row r="30" spans="1:17" x14ac:dyDescent="0.25">
      <c r="A30" s="79">
        <f ca="1">'0.ArdiData'!C30</f>
        <v>8516</v>
      </c>
      <c r="B30" s="80">
        <v>28</v>
      </c>
      <c r="C30" s="95">
        <v>23</v>
      </c>
      <c r="D30" s="97">
        <f t="shared" si="0"/>
        <v>30.906650660264102</v>
      </c>
      <c r="E30" s="81">
        <f t="shared" si="1"/>
        <v>62.515124663454763</v>
      </c>
      <c r="F30" s="98">
        <f t="shared" si="2"/>
        <v>47.334399999999988</v>
      </c>
      <c r="G30" s="88"/>
      <c r="H30" s="88"/>
      <c r="I30" s="88"/>
    </row>
    <row r="31" spans="1:17" x14ac:dyDescent="0.25">
      <c r="A31" s="79">
        <f ca="1">'0.ArdiData'!C31</f>
        <v>8620</v>
      </c>
      <c r="B31" s="80">
        <v>29</v>
      </c>
      <c r="C31" s="95">
        <v>16</v>
      </c>
      <c r="D31" s="97">
        <f t="shared" si="0"/>
        <v>31.317310924369743</v>
      </c>
      <c r="E31" s="81">
        <f t="shared" si="1"/>
        <v>234.62001395381665</v>
      </c>
      <c r="F31" s="98">
        <f t="shared" si="2"/>
        <v>192.65439999999998</v>
      </c>
      <c r="G31" s="88"/>
      <c r="H31" s="88"/>
      <c r="I31" s="88"/>
    </row>
    <row r="32" spans="1:17" x14ac:dyDescent="0.25">
      <c r="A32" s="79">
        <f ca="1">'0.ArdiData'!C32</f>
        <v>7922</v>
      </c>
      <c r="B32" s="80">
        <v>30</v>
      </c>
      <c r="C32" s="95">
        <v>20</v>
      </c>
      <c r="D32" s="97">
        <f t="shared" si="0"/>
        <v>31.727971188475387</v>
      </c>
      <c r="E32" s="81">
        <f t="shared" si="1"/>
        <v>137.54530819770878</v>
      </c>
      <c r="F32" s="98">
        <f t="shared" si="2"/>
        <v>97.614399999999975</v>
      </c>
      <c r="G32" s="88"/>
      <c r="H32" s="88"/>
      <c r="I32" s="88"/>
    </row>
    <row r="33" spans="1:9" x14ac:dyDescent="0.25">
      <c r="A33" s="79">
        <f ca="1">'0.ArdiData'!C33</f>
        <v>8124</v>
      </c>
      <c r="B33" s="80">
        <v>31</v>
      </c>
      <c r="C33" s="95">
        <v>29</v>
      </c>
      <c r="D33" s="97">
        <f t="shared" si="0"/>
        <v>32.138631452581031</v>
      </c>
      <c r="E33" s="81">
        <f t="shared" si="1"/>
        <v>9.8510073951309103</v>
      </c>
      <c r="F33" s="98">
        <f t="shared" si="2"/>
        <v>0.7743999999999982</v>
      </c>
      <c r="G33" s="88"/>
      <c r="H33" s="88"/>
      <c r="I33" s="88"/>
    </row>
    <row r="34" spans="1:9" x14ac:dyDescent="0.25">
      <c r="A34" s="79">
        <f ca="1">'0.ArdiData'!C34</f>
        <v>8112</v>
      </c>
      <c r="B34" s="80">
        <v>32</v>
      </c>
      <c r="C34" s="95">
        <v>78</v>
      </c>
      <c r="D34" s="97">
        <f t="shared" si="0"/>
        <v>32.549291716686668</v>
      </c>
      <c r="E34" s="81">
        <f t="shared" si="1"/>
        <v>2065.7668834548472</v>
      </c>
      <c r="F34" s="98">
        <f t="shared" si="2"/>
        <v>2315.5344000000005</v>
      </c>
      <c r="G34" s="88"/>
      <c r="H34" s="88"/>
      <c r="I34" s="88"/>
    </row>
    <row r="35" spans="1:9" x14ac:dyDescent="0.25">
      <c r="A35" s="79">
        <f ca="1">'0.ArdiData'!C35</f>
        <v>8190</v>
      </c>
      <c r="B35" s="80">
        <v>33</v>
      </c>
      <c r="C35" s="95">
        <v>3</v>
      </c>
      <c r="D35" s="97">
        <f t="shared" si="0"/>
        <v>32.959951980792312</v>
      </c>
      <c r="E35" s="81">
        <f t="shared" ref="E35:E52" si="3">(C35-D35)^2</f>
        <v>897.59872269138111</v>
      </c>
      <c r="F35" s="98">
        <f t="shared" ref="F35:F52" si="4">(C35-$G$2)^2</f>
        <v>722.53439999999989</v>
      </c>
      <c r="G35" s="88"/>
      <c r="H35" s="88"/>
      <c r="I35" s="88"/>
    </row>
    <row r="36" spans="1:9" x14ac:dyDescent="0.25">
      <c r="A36" s="79">
        <f ca="1">'0.ArdiData'!C36</f>
        <v>8297</v>
      </c>
      <c r="B36" s="80">
        <v>34</v>
      </c>
      <c r="C36" s="95">
        <v>31</v>
      </c>
      <c r="D36" s="97">
        <f t="shared" si="0"/>
        <v>33.370612244897956</v>
      </c>
      <c r="E36" s="81">
        <f t="shared" si="3"/>
        <v>5.619802415660125</v>
      </c>
      <c r="F36" s="98">
        <f t="shared" si="4"/>
        <v>1.2544000000000022</v>
      </c>
      <c r="G36" s="88"/>
      <c r="H36" s="88"/>
      <c r="I36" s="88"/>
    </row>
    <row r="37" spans="1:9" x14ac:dyDescent="0.25">
      <c r="A37" s="79">
        <f ca="1">'0.ArdiData'!C37</f>
        <v>8654</v>
      </c>
      <c r="B37" s="80">
        <v>35</v>
      </c>
      <c r="C37" s="95">
        <v>12</v>
      </c>
      <c r="D37" s="97">
        <f t="shared" si="0"/>
        <v>33.7812725090036</v>
      </c>
      <c r="E37" s="81">
        <f t="shared" si="3"/>
        <v>474.42383211147597</v>
      </c>
      <c r="F37" s="98">
        <f t="shared" si="4"/>
        <v>319.69439999999997</v>
      </c>
      <c r="G37" s="88"/>
      <c r="H37" s="88"/>
      <c r="I37" s="88"/>
    </row>
    <row r="38" spans="1:9" x14ac:dyDescent="0.25">
      <c r="A38" s="79">
        <f ca="1">'0.ArdiData'!C38</f>
        <v>9902</v>
      </c>
      <c r="B38" s="80">
        <v>36</v>
      </c>
      <c r="C38" s="95">
        <v>55</v>
      </c>
      <c r="D38" s="97">
        <f t="shared" si="0"/>
        <v>34.191932773109244</v>
      </c>
      <c r="E38" s="81">
        <f t="shared" si="3"/>
        <v>432.97566171880516</v>
      </c>
      <c r="F38" s="98">
        <f t="shared" si="4"/>
        <v>631.01440000000002</v>
      </c>
      <c r="G38" s="88"/>
      <c r="H38" s="88"/>
      <c r="I38" s="88"/>
    </row>
    <row r="39" spans="1:9" x14ac:dyDescent="0.25">
      <c r="A39" s="79">
        <f ca="1">'0.ArdiData'!C39</f>
        <v>8835</v>
      </c>
      <c r="B39" s="80">
        <v>37</v>
      </c>
      <c r="C39" s="95">
        <v>20</v>
      </c>
      <c r="D39" s="97">
        <f t="shared" si="0"/>
        <v>34.602593037214881</v>
      </c>
      <c r="E39" s="81">
        <f t="shared" si="3"/>
        <v>213.2357234105165</v>
      </c>
      <c r="F39" s="98">
        <f t="shared" si="4"/>
        <v>97.614399999999975</v>
      </c>
      <c r="G39" s="88"/>
      <c r="H39" s="88"/>
      <c r="I39" s="88"/>
    </row>
    <row r="40" spans="1:9" x14ac:dyDescent="0.25">
      <c r="A40" s="79">
        <f ca="1">'0.ArdiData'!C40</f>
        <v>9075</v>
      </c>
      <c r="B40" s="80">
        <v>38</v>
      </c>
      <c r="C40" s="95">
        <v>6</v>
      </c>
      <c r="D40" s="97">
        <f t="shared" si="0"/>
        <v>35.013253301320525</v>
      </c>
      <c r="E40" s="81">
        <f t="shared" si="3"/>
        <v>841.76886712658631</v>
      </c>
      <c r="F40" s="98">
        <f t="shared" si="4"/>
        <v>570.25439999999992</v>
      </c>
      <c r="G40" s="88"/>
      <c r="H40" s="88"/>
      <c r="I40" s="88"/>
    </row>
    <row r="41" spans="1:9" x14ac:dyDescent="0.25">
      <c r="A41" s="79">
        <f ca="1">'0.ArdiData'!C41</f>
        <v>9360</v>
      </c>
      <c r="B41" s="80">
        <v>39</v>
      </c>
      <c r="C41" s="95">
        <v>59</v>
      </c>
      <c r="D41" s="97">
        <f t="shared" si="0"/>
        <v>35.423913565426162</v>
      </c>
      <c r="E41" s="81">
        <f t="shared" si="3"/>
        <v>555.83185157049661</v>
      </c>
      <c r="F41" s="98">
        <f t="shared" si="4"/>
        <v>847.97440000000006</v>
      </c>
      <c r="G41" s="88"/>
      <c r="H41" s="88"/>
      <c r="I41" s="88"/>
    </row>
    <row r="42" spans="1:9" x14ac:dyDescent="0.25">
      <c r="A42" s="79">
        <f ca="1">'0.ArdiData'!C42</f>
        <v>10205</v>
      </c>
      <c r="B42" s="80">
        <v>40</v>
      </c>
      <c r="C42" s="95">
        <v>51</v>
      </c>
      <c r="D42" s="97">
        <f t="shared" si="0"/>
        <v>35.834573829531806</v>
      </c>
      <c r="E42" s="81">
        <f t="shared" si="3"/>
        <v>229.99015093192159</v>
      </c>
      <c r="F42" s="98">
        <f t="shared" si="4"/>
        <v>446.05440000000004</v>
      </c>
      <c r="G42" s="88"/>
      <c r="H42" s="88"/>
      <c r="I42" s="88"/>
    </row>
    <row r="43" spans="1:9" x14ac:dyDescent="0.25">
      <c r="A43" s="79">
        <f ca="1">'0.ArdiData'!C43</f>
        <v>9995</v>
      </c>
      <c r="B43" s="80">
        <v>41</v>
      </c>
      <c r="C43" s="95">
        <v>2</v>
      </c>
      <c r="D43" s="97">
        <f t="shared" si="0"/>
        <v>36.24523409363745</v>
      </c>
      <c r="E43" s="81">
        <f t="shared" si="3"/>
        <v>1172.7360581280288</v>
      </c>
      <c r="F43" s="98">
        <f t="shared" si="4"/>
        <v>777.2944</v>
      </c>
      <c r="G43" s="88"/>
      <c r="H43" s="88"/>
      <c r="I43" s="88"/>
    </row>
    <row r="44" spans="1:9" x14ac:dyDescent="0.25">
      <c r="A44" s="79">
        <f ca="1">'0.ArdiData'!C44</f>
        <v>11226</v>
      </c>
      <c r="B44" s="80">
        <v>42</v>
      </c>
      <c r="C44" s="95">
        <v>67</v>
      </c>
      <c r="D44" s="97">
        <f t="shared" si="0"/>
        <v>36.655894357743094</v>
      </c>
      <c r="E44" s="81">
        <f t="shared" si="3"/>
        <v>920.76474722844739</v>
      </c>
      <c r="F44" s="98">
        <f t="shared" si="4"/>
        <v>1377.8944000000004</v>
      </c>
      <c r="G44" s="88"/>
      <c r="H44" s="88"/>
      <c r="I44" s="88"/>
    </row>
    <row r="45" spans="1:9" x14ac:dyDescent="0.25">
      <c r="A45" s="79">
        <f ca="1">'0.ArdiData'!C45</f>
        <v>11079</v>
      </c>
      <c r="B45" s="80">
        <v>43</v>
      </c>
      <c r="C45" s="95">
        <v>65</v>
      </c>
      <c r="D45" s="97">
        <f t="shared" si="0"/>
        <v>37.066554621848738</v>
      </c>
      <c r="E45" s="81">
        <f t="shared" si="3"/>
        <v>780.27737069416014</v>
      </c>
      <c r="F45" s="98">
        <f t="shared" si="4"/>
        <v>1233.4144000000003</v>
      </c>
      <c r="G45" s="88"/>
      <c r="H45" s="88"/>
      <c r="I45" s="88"/>
    </row>
    <row r="46" spans="1:9" x14ac:dyDescent="0.25">
      <c r="A46" s="79">
        <f ca="1">'0.ArdiData'!C46</f>
        <v>11168</v>
      </c>
      <c r="B46" s="80">
        <v>44</v>
      </c>
      <c r="C46" s="95">
        <v>43</v>
      </c>
      <c r="D46" s="97">
        <f t="shared" si="0"/>
        <v>37.477214885954382</v>
      </c>
      <c r="E46" s="81">
        <f t="shared" si="3"/>
        <v>30.501155415923872</v>
      </c>
      <c r="F46" s="98">
        <f t="shared" si="4"/>
        <v>172.13440000000003</v>
      </c>
      <c r="G46" s="88"/>
      <c r="H46" s="88"/>
      <c r="I46" s="88"/>
    </row>
    <row r="47" spans="1:9" x14ac:dyDescent="0.25">
      <c r="A47" s="79">
        <f ca="1">'0.ArdiData'!C47</f>
        <v>11255</v>
      </c>
      <c r="B47" s="80">
        <v>45</v>
      </c>
      <c r="C47" s="95">
        <v>27</v>
      </c>
      <c r="D47" s="97">
        <f t="shared" si="0"/>
        <v>37.887875150060019</v>
      </c>
      <c r="E47" s="81">
        <f t="shared" si="3"/>
        <v>118.54582528329448</v>
      </c>
      <c r="F47" s="98">
        <f t="shared" si="4"/>
        <v>8.2943999999999942</v>
      </c>
      <c r="G47" s="88"/>
      <c r="H47" s="88"/>
      <c r="I47" s="88"/>
    </row>
    <row r="48" spans="1:9" x14ac:dyDescent="0.25">
      <c r="A48" s="79">
        <f ca="1">'0.ArdiData'!C48</f>
        <v>11500</v>
      </c>
      <c r="B48" s="80">
        <v>46</v>
      </c>
      <c r="C48" s="95">
        <v>31</v>
      </c>
      <c r="D48" s="97">
        <f t="shared" si="0"/>
        <v>38.298535414165663</v>
      </c>
      <c r="E48" s="81">
        <f t="shared" si="3"/>
        <v>53.268619191830346</v>
      </c>
      <c r="F48" s="98">
        <f t="shared" si="4"/>
        <v>1.2544000000000022</v>
      </c>
      <c r="G48" s="88"/>
      <c r="H48" s="88"/>
      <c r="I48" s="88"/>
    </row>
    <row r="49" spans="1:10" x14ac:dyDescent="0.25">
      <c r="A49" s="79">
        <f ca="1">'0.ArdiData'!C49</f>
        <v>10542</v>
      </c>
      <c r="B49" s="80">
        <v>47</v>
      </c>
      <c r="C49" s="95">
        <v>43</v>
      </c>
      <c r="D49" s="97">
        <f t="shared" si="0"/>
        <v>38.7091956782713</v>
      </c>
      <c r="E49" s="81">
        <f t="shared" si="3"/>
        <v>18.41100172736569</v>
      </c>
      <c r="F49" s="98">
        <f t="shared" si="4"/>
        <v>172.13440000000003</v>
      </c>
      <c r="G49" s="88"/>
      <c r="H49" s="88"/>
      <c r="I49" s="88"/>
    </row>
    <row r="50" spans="1:10" x14ac:dyDescent="0.25">
      <c r="A50" s="79">
        <f ca="1">'0.ArdiData'!C50</f>
        <v>10931</v>
      </c>
      <c r="B50" s="80">
        <v>48</v>
      </c>
      <c r="C50" s="95">
        <v>15</v>
      </c>
      <c r="D50" s="97">
        <f t="shared" si="0"/>
        <v>39.119855942376944</v>
      </c>
      <c r="E50" s="81">
        <f t="shared" si="3"/>
        <v>581.76745068101638</v>
      </c>
      <c r="F50" s="98">
        <f t="shared" si="4"/>
        <v>221.41439999999997</v>
      </c>
      <c r="G50" s="88"/>
      <c r="H50" s="88"/>
      <c r="I50" s="88"/>
    </row>
    <row r="51" spans="1:10" x14ac:dyDescent="0.25">
      <c r="A51" s="79">
        <f ca="1">'0.ArdiData'!C51</f>
        <v>12141</v>
      </c>
      <c r="B51" s="80">
        <v>49</v>
      </c>
      <c r="C51" s="95">
        <v>37</v>
      </c>
      <c r="D51" s="97">
        <f t="shared" si="0"/>
        <v>39.530516206482588</v>
      </c>
      <c r="E51" s="81">
        <f t="shared" si="3"/>
        <v>6.4035122712710271</v>
      </c>
      <c r="F51" s="98">
        <f t="shared" si="4"/>
        <v>50.694400000000016</v>
      </c>
      <c r="G51" s="88"/>
      <c r="H51" s="88"/>
      <c r="I51" s="88"/>
    </row>
    <row r="52" spans="1:10" ht="15.75" thickBot="1" x14ac:dyDescent="0.3">
      <c r="A52" s="82">
        <f ca="1">'0.ArdiData'!C52</f>
        <v>11821</v>
      </c>
      <c r="B52" s="83">
        <v>50</v>
      </c>
      <c r="C52" s="96">
        <v>36</v>
      </c>
      <c r="D52" s="97">
        <f t="shared" si="0"/>
        <v>39.941176470588232</v>
      </c>
      <c r="E52" s="84">
        <f t="shared" si="3"/>
        <v>15.532871972318313</v>
      </c>
      <c r="F52" s="99">
        <f t="shared" si="4"/>
        <v>37.454400000000014</v>
      </c>
      <c r="G52" s="88"/>
      <c r="H52" s="88"/>
      <c r="I52" s="88"/>
    </row>
    <row r="53" spans="1:10" ht="15.75" customHeight="1" x14ac:dyDescent="0.25">
      <c r="B53" s="64">
        <v>51</v>
      </c>
      <c r="G53" s="89"/>
      <c r="H53" s="89"/>
      <c r="I53" s="89"/>
      <c r="J53" s="87">
        <f>1-H2/I2</f>
        <v>0.10432856498826781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BA2C-5E7C-4E51-B8A9-DC9AA4B81295}">
  <sheetPr>
    <tabColor rgb="FFFF0000"/>
  </sheetPr>
  <dimension ref="A1:T65"/>
  <sheetViews>
    <sheetView topLeftCell="B1" workbookViewId="0">
      <selection activeCell="T7" sqref="T7"/>
    </sheetView>
  </sheetViews>
  <sheetFormatPr defaultColWidth="8.85546875" defaultRowHeight="16.5" x14ac:dyDescent="0.3"/>
  <cols>
    <col min="1" max="1" width="19.28515625" style="92" bestFit="1" customWidth="1"/>
    <col min="2" max="2" width="4.85546875" style="92" bestFit="1" customWidth="1"/>
    <col min="3" max="3" width="4.7109375" style="169" bestFit="1" customWidth="1"/>
    <col min="4" max="4" width="8.85546875" style="92"/>
    <col min="5" max="5" width="8" style="92" bestFit="1" customWidth="1"/>
    <col min="6" max="6" width="6.140625" style="92" bestFit="1" customWidth="1"/>
    <col min="7" max="7" width="11" style="92" bestFit="1" customWidth="1"/>
    <col min="8" max="8" width="18" style="92" bestFit="1" customWidth="1"/>
    <col min="9" max="9" width="15.5703125" style="92" customWidth="1"/>
    <col min="10" max="11" width="8.85546875" style="92"/>
    <col min="12" max="12" width="17.42578125" style="92" bestFit="1" customWidth="1"/>
    <col min="13" max="16384" width="8.85546875" style="92"/>
  </cols>
  <sheetData>
    <row r="1" spans="2:20" ht="18" x14ac:dyDescent="0.3">
      <c r="B1" s="187" t="s">
        <v>95</v>
      </c>
      <c r="C1" s="186" t="s">
        <v>0</v>
      </c>
      <c r="D1" s="171" t="s">
        <v>94</v>
      </c>
      <c r="E1" s="185" t="s">
        <v>93</v>
      </c>
      <c r="F1" s="92" t="s">
        <v>92</v>
      </c>
      <c r="G1" s="92" t="s">
        <v>91</v>
      </c>
      <c r="H1" s="184" t="s">
        <v>90</v>
      </c>
      <c r="I1" s="184"/>
      <c r="J1" s="171" t="s">
        <v>89</v>
      </c>
      <c r="K1" s="171"/>
      <c r="L1" s="171"/>
      <c r="M1" s="171"/>
      <c r="N1" s="171"/>
      <c r="O1" s="171"/>
      <c r="P1" s="171"/>
      <c r="Q1" s="171"/>
      <c r="R1" s="171"/>
    </row>
    <row r="2" spans="2:20" x14ac:dyDescent="0.3">
      <c r="B2" s="172">
        <v>1</v>
      </c>
      <c r="C2" s="177">
        <v>2</v>
      </c>
      <c r="D2" s="171">
        <f t="shared" ref="D2:D33" si="0">$K$23+$K$24*B2</f>
        <v>1.1882352941176471</v>
      </c>
      <c r="E2" s="176">
        <f t="shared" ref="E2:E33" si="1">C2-D2</f>
        <v>0.81176470588235294</v>
      </c>
      <c r="F2" s="175">
        <f t="shared" ref="F2:F33" si="2">E2^2</f>
        <v>0.65896193771626299</v>
      </c>
      <c r="G2" s="175">
        <f>SUM(F$2:F2)</f>
        <v>0.65896193771626299</v>
      </c>
      <c r="H2" s="174">
        <f t="shared" ref="H2:H33" si="3">IFERROR(G2/(B2-2),"")</f>
        <v>-0.65896193771626299</v>
      </c>
      <c r="I2" s="173"/>
      <c r="J2" s="171" t="s">
        <v>88</v>
      </c>
      <c r="K2" s="171"/>
      <c r="L2" s="171"/>
      <c r="M2" s="171"/>
      <c r="N2" s="171"/>
      <c r="O2" s="171"/>
      <c r="P2" s="171"/>
      <c r="Q2" s="171"/>
      <c r="R2" s="171"/>
    </row>
    <row r="3" spans="2:20" x14ac:dyDescent="0.3">
      <c r="B3" s="172">
        <v>2</v>
      </c>
      <c r="C3" s="177">
        <v>2</v>
      </c>
      <c r="D3" s="171">
        <f t="shared" si="0"/>
        <v>1.2646338535414166</v>
      </c>
      <c r="E3" s="176">
        <f t="shared" si="1"/>
        <v>0.73536614645858345</v>
      </c>
      <c r="F3" s="175">
        <f t="shared" si="2"/>
        <v>0.54076336935734681</v>
      </c>
      <c r="G3" s="175">
        <f>SUM(F$2:F3)</f>
        <v>1.1997253070736098</v>
      </c>
      <c r="H3" s="174" t="str">
        <f t="shared" si="3"/>
        <v/>
      </c>
      <c r="I3" s="173"/>
      <c r="J3" s="171" t="s">
        <v>87</v>
      </c>
      <c r="K3" s="171"/>
      <c r="L3" s="171"/>
      <c r="M3" s="171"/>
      <c r="N3" s="171"/>
      <c r="O3" s="171"/>
      <c r="P3" s="171"/>
      <c r="Q3" s="171"/>
      <c r="R3" s="171"/>
    </row>
    <row r="4" spans="2:20" x14ac:dyDescent="0.3">
      <c r="B4" s="172">
        <v>3</v>
      </c>
      <c r="C4" s="177">
        <v>1</v>
      </c>
      <c r="D4" s="171">
        <f t="shared" si="0"/>
        <v>1.341032412965186</v>
      </c>
      <c r="E4" s="176">
        <f t="shared" si="1"/>
        <v>-0.34103241296518605</v>
      </c>
      <c r="F4" s="175">
        <f t="shared" si="2"/>
        <v>0.11630310669285719</v>
      </c>
      <c r="G4" s="175">
        <f>SUM(F$2:F4)</f>
        <v>1.3160284137664671</v>
      </c>
      <c r="H4" s="174">
        <f t="shared" si="3"/>
        <v>1.3160284137664671</v>
      </c>
      <c r="I4" s="173"/>
    </row>
    <row r="5" spans="2:20" x14ac:dyDescent="0.3">
      <c r="B5" s="172">
        <v>4</v>
      </c>
      <c r="C5" s="177">
        <v>0</v>
      </c>
      <c r="D5" s="171">
        <f t="shared" si="0"/>
        <v>1.4174309723889555</v>
      </c>
      <c r="E5" s="176">
        <f t="shared" si="1"/>
        <v>-1.4174309723889555</v>
      </c>
      <c r="F5" s="175">
        <f t="shared" si="2"/>
        <v>2.0091105614875002</v>
      </c>
      <c r="G5" s="175">
        <f>SUM(F$2:F5)</f>
        <v>3.3251389752539673</v>
      </c>
      <c r="H5" s="174">
        <f t="shared" si="3"/>
        <v>1.6625694876269836</v>
      </c>
      <c r="I5" s="173"/>
      <c r="L5" s="92" t="s">
        <v>86</v>
      </c>
      <c r="M5" s="92">
        <f>D52</f>
        <v>5.0081632653061225</v>
      </c>
    </row>
    <row r="6" spans="2:20" x14ac:dyDescent="0.3">
      <c r="B6" s="172">
        <v>5</v>
      </c>
      <c r="C6" s="177">
        <v>2</v>
      </c>
      <c r="D6" s="171">
        <f t="shared" si="0"/>
        <v>1.493829531812725</v>
      </c>
      <c r="E6" s="176">
        <f t="shared" si="1"/>
        <v>0.50617046818727496</v>
      </c>
      <c r="F6" s="175">
        <f t="shared" si="2"/>
        <v>0.25620854286492512</v>
      </c>
      <c r="G6" s="175">
        <f>SUM(F$2:F6)</f>
        <v>3.5813475181188923</v>
      </c>
      <c r="H6" s="174">
        <f t="shared" si="3"/>
        <v>1.1937825060396308</v>
      </c>
      <c r="I6" s="173"/>
    </row>
    <row r="7" spans="2:20" x14ac:dyDescent="0.3">
      <c r="B7" s="172">
        <v>6</v>
      </c>
      <c r="C7" s="177">
        <v>1</v>
      </c>
      <c r="D7" s="171">
        <f t="shared" si="0"/>
        <v>1.5702280912364945</v>
      </c>
      <c r="E7" s="176">
        <f t="shared" si="1"/>
        <v>-0.57022809123649454</v>
      </c>
      <c r="F7" s="175">
        <f t="shared" si="2"/>
        <v>0.32516007603521596</v>
      </c>
      <c r="G7" s="175">
        <f>SUM(F$2:F7)</f>
        <v>3.9065075941541081</v>
      </c>
      <c r="H7" s="174">
        <f t="shared" si="3"/>
        <v>0.97662689853852702</v>
      </c>
      <c r="I7" s="173"/>
      <c r="L7" s="92" t="s">
        <v>31</v>
      </c>
    </row>
    <row r="8" spans="2:20" ht="17.25" thickBot="1" x14ac:dyDescent="0.35">
      <c r="B8" s="172">
        <v>7</v>
      </c>
      <c r="C8" s="177">
        <v>0</v>
      </c>
      <c r="D8" s="171">
        <f t="shared" si="0"/>
        <v>1.6466266506602643</v>
      </c>
      <c r="E8" s="176">
        <f t="shared" si="1"/>
        <v>-1.6466266506602643</v>
      </c>
      <c r="F8" s="175">
        <f t="shared" si="2"/>
        <v>2.7113793266646398</v>
      </c>
      <c r="G8" s="175">
        <f>SUM(F$2:F8)</f>
        <v>6.6178869208187479</v>
      </c>
      <c r="H8" s="174">
        <f t="shared" si="3"/>
        <v>1.3235773841637495</v>
      </c>
      <c r="I8" s="173"/>
    </row>
    <row r="9" spans="2:20" x14ac:dyDescent="0.3">
      <c r="B9" s="172">
        <v>8</v>
      </c>
      <c r="C9" s="177">
        <v>2</v>
      </c>
      <c r="D9" s="171">
        <f t="shared" si="0"/>
        <v>1.7230252100840335</v>
      </c>
      <c r="E9" s="176">
        <f t="shared" si="1"/>
        <v>0.27697478991596647</v>
      </c>
      <c r="F9" s="175">
        <f t="shared" si="2"/>
        <v>7.6715034248993758E-2</v>
      </c>
      <c r="G9" s="175">
        <f>SUM(F$2:F9)</f>
        <v>6.6946019550677418</v>
      </c>
      <c r="H9" s="174">
        <f t="shared" si="3"/>
        <v>1.1157669925112903</v>
      </c>
      <c r="I9" s="173"/>
      <c r="L9" s="183" t="s">
        <v>32</v>
      </c>
      <c r="M9" s="183"/>
    </row>
    <row r="10" spans="2:20" x14ac:dyDescent="0.3">
      <c r="B10" s="172">
        <v>9</v>
      </c>
      <c r="C10" s="177">
        <v>2</v>
      </c>
      <c r="D10" s="171">
        <f t="shared" si="0"/>
        <v>1.7994237695078033</v>
      </c>
      <c r="E10" s="176">
        <f t="shared" si="1"/>
        <v>0.20057623049219675</v>
      </c>
      <c r="F10" s="175">
        <f t="shared" si="2"/>
        <v>4.0230824238458834E-2</v>
      </c>
      <c r="G10" s="175">
        <f>SUM(F$2:F10)</f>
        <v>6.7348327793062008</v>
      </c>
      <c r="H10" s="174">
        <f t="shared" si="3"/>
        <v>0.96211896847231437</v>
      </c>
      <c r="I10" s="173"/>
      <c r="L10" s="170" t="s">
        <v>34</v>
      </c>
      <c r="M10" s="170">
        <v>0.54472398193086691</v>
      </c>
      <c r="N10" s="171">
        <f>CORREL(C2:C51,B2:B51)</f>
        <v>0.5447239819308668</v>
      </c>
      <c r="O10" s="171">
        <f>SQRT(N11)</f>
        <v>0.5447239819308668</v>
      </c>
      <c r="P10" s="171" t="s">
        <v>85</v>
      </c>
      <c r="Q10" s="171"/>
      <c r="R10" s="171"/>
      <c r="S10" s="171"/>
      <c r="T10" s="182"/>
    </row>
    <row r="11" spans="2:20" x14ac:dyDescent="0.3">
      <c r="B11" s="172">
        <v>10</v>
      </c>
      <c r="C11" s="177">
        <v>3</v>
      </c>
      <c r="D11" s="171">
        <f t="shared" si="0"/>
        <v>1.8758223289315725</v>
      </c>
      <c r="E11" s="176">
        <f t="shared" si="1"/>
        <v>1.1241776710684275</v>
      </c>
      <c r="F11" s="175">
        <f t="shared" si="2"/>
        <v>1.2637754361288336</v>
      </c>
      <c r="G11" s="175">
        <f>SUM(F$2:F11)</f>
        <v>7.9986082154350342</v>
      </c>
      <c r="H11" s="174">
        <f t="shared" si="3"/>
        <v>0.99982602692937927</v>
      </c>
      <c r="I11" s="173"/>
      <c r="L11" s="170" t="s">
        <v>36</v>
      </c>
      <c r="M11" s="170">
        <v>0.29672421649061936</v>
      </c>
      <c r="N11" s="171">
        <f>RSQ(C2:C51,B2:B51)</f>
        <v>0.29672421649061931</v>
      </c>
      <c r="O11" s="171">
        <f>N10^2</f>
        <v>0.29672421649061931</v>
      </c>
      <c r="P11" s="171" t="s">
        <v>35</v>
      </c>
      <c r="Q11" s="171"/>
      <c r="R11" s="171"/>
      <c r="S11" s="171"/>
      <c r="T11" s="182"/>
    </row>
    <row r="12" spans="2:20" x14ac:dyDescent="0.3">
      <c r="B12" s="172">
        <v>11</v>
      </c>
      <c r="C12" s="177">
        <v>1</v>
      </c>
      <c r="D12" s="171">
        <f t="shared" si="0"/>
        <v>1.9522208883553422</v>
      </c>
      <c r="E12" s="176">
        <f t="shared" si="1"/>
        <v>-0.95222088835534224</v>
      </c>
      <c r="F12" s="175">
        <f t="shared" si="2"/>
        <v>0.90672462022023714</v>
      </c>
      <c r="G12" s="175">
        <f>SUM(F$2:F12)</f>
        <v>8.9053328356552708</v>
      </c>
      <c r="H12" s="174">
        <f t="shared" si="3"/>
        <v>0.98948142618391899</v>
      </c>
      <c r="I12" s="173"/>
      <c r="L12" s="92" t="s">
        <v>37</v>
      </c>
      <c r="M12" s="92">
        <v>0.28207263766750729</v>
      </c>
      <c r="N12" s="171"/>
      <c r="O12" s="171"/>
      <c r="P12" s="171" t="s">
        <v>84</v>
      </c>
      <c r="Q12" s="171"/>
      <c r="R12" s="171"/>
      <c r="S12" s="171"/>
      <c r="T12" s="182"/>
    </row>
    <row r="13" spans="2:20" x14ac:dyDescent="0.3">
      <c r="B13" s="172">
        <v>12</v>
      </c>
      <c r="C13" s="177">
        <v>3</v>
      </c>
      <c r="D13" s="171">
        <f t="shared" si="0"/>
        <v>2.0286194477791115</v>
      </c>
      <c r="E13" s="176">
        <f t="shared" si="1"/>
        <v>0.97138055222088848</v>
      </c>
      <c r="F13" s="175">
        <f t="shared" si="2"/>
        <v>0.94358017723295828</v>
      </c>
      <c r="G13" s="175">
        <f>SUM(F$2:F13)</f>
        <v>9.8489130128882287</v>
      </c>
      <c r="H13" s="174">
        <f t="shared" si="3"/>
        <v>0.98489130128882285</v>
      </c>
      <c r="I13" s="173"/>
      <c r="L13" s="170" t="s">
        <v>38</v>
      </c>
      <c r="M13" s="170">
        <v>1.732321094528904</v>
      </c>
      <c r="N13" s="171">
        <f>STEYX(C2:C51,B2:B51)</f>
        <v>1.732321094528904</v>
      </c>
      <c r="O13" s="171">
        <f>H51</f>
        <v>3.0009363745498199</v>
      </c>
      <c r="P13" s="171" t="s">
        <v>83</v>
      </c>
      <c r="Q13" s="171"/>
      <c r="R13" s="171"/>
      <c r="S13" s="171"/>
      <c r="T13" s="182"/>
    </row>
    <row r="14" spans="2:20" ht="17.25" thickBot="1" x14ac:dyDescent="0.35">
      <c r="B14" s="172">
        <v>13</v>
      </c>
      <c r="C14" s="177">
        <v>3</v>
      </c>
      <c r="D14" s="171">
        <f t="shared" si="0"/>
        <v>2.1050180072028812</v>
      </c>
      <c r="E14" s="176">
        <f t="shared" si="1"/>
        <v>0.89498199279711876</v>
      </c>
      <c r="F14" s="175">
        <f t="shared" si="2"/>
        <v>0.80099276743110193</v>
      </c>
      <c r="G14" s="175">
        <f>SUM(F$2:F14)</f>
        <v>10.649905780319331</v>
      </c>
      <c r="H14" s="174">
        <f t="shared" si="3"/>
        <v>0.96817325275630284</v>
      </c>
      <c r="I14" s="173"/>
      <c r="L14" s="178" t="s">
        <v>39</v>
      </c>
      <c r="M14" s="178">
        <v>50</v>
      </c>
      <c r="N14" s="171"/>
      <c r="O14" s="171">
        <f>SQRT(O13)</f>
        <v>1.732321094528904</v>
      </c>
      <c r="P14" s="171" t="s">
        <v>82</v>
      </c>
      <c r="Q14" s="171"/>
      <c r="R14" s="171"/>
      <c r="S14" s="171"/>
      <c r="T14" s="182"/>
    </row>
    <row r="15" spans="2:20" x14ac:dyDescent="0.3">
      <c r="B15" s="172">
        <v>14</v>
      </c>
      <c r="C15" s="177">
        <v>2</v>
      </c>
      <c r="D15" s="171">
        <f t="shared" si="0"/>
        <v>2.181416566626651</v>
      </c>
      <c r="E15" s="176">
        <f t="shared" si="1"/>
        <v>-0.18141656662665095</v>
      </c>
      <c r="F15" s="175">
        <f t="shared" si="2"/>
        <v>3.2911970646602083E-2</v>
      </c>
      <c r="G15" s="175">
        <f>SUM(F$2:F15)</f>
        <v>10.682817750965933</v>
      </c>
      <c r="H15" s="174">
        <f t="shared" si="3"/>
        <v>0.89023481258049442</v>
      </c>
      <c r="I15" s="173"/>
    </row>
    <row r="16" spans="2:20" ht="17.25" thickBot="1" x14ac:dyDescent="0.35">
      <c r="B16" s="172">
        <v>15</v>
      </c>
      <c r="C16" s="177">
        <v>1</v>
      </c>
      <c r="D16" s="171">
        <f t="shared" si="0"/>
        <v>2.2578151260504202</v>
      </c>
      <c r="E16" s="176">
        <f t="shared" si="1"/>
        <v>-1.2578151260504202</v>
      </c>
      <c r="F16" s="175">
        <f t="shared" si="2"/>
        <v>1.5820988913212346</v>
      </c>
      <c r="G16" s="175">
        <f>SUM(F$2:F16)</f>
        <v>12.264916642287167</v>
      </c>
      <c r="H16" s="174">
        <f t="shared" si="3"/>
        <v>0.94345512632978212</v>
      </c>
      <c r="I16" s="173"/>
      <c r="L16" s="92" t="s">
        <v>40</v>
      </c>
    </row>
    <row r="17" spans="2:20" x14ac:dyDescent="0.3">
      <c r="B17" s="172">
        <v>16</v>
      </c>
      <c r="C17" s="177">
        <v>6</v>
      </c>
      <c r="D17" s="171">
        <f t="shared" si="0"/>
        <v>2.3342136854741895</v>
      </c>
      <c r="E17" s="176">
        <f t="shared" si="1"/>
        <v>3.6657863145258105</v>
      </c>
      <c r="F17" s="175">
        <f t="shared" si="2"/>
        <v>13.437989303764724</v>
      </c>
      <c r="G17" s="175">
        <f>SUM(F$2:F17)</f>
        <v>25.702905946051892</v>
      </c>
      <c r="H17" s="174">
        <f t="shared" si="3"/>
        <v>1.8359218532894208</v>
      </c>
      <c r="I17" s="173"/>
      <c r="L17" s="181"/>
      <c r="M17" s="181" t="s">
        <v>41</v>
      </c>
      <c r="N17" s="181" t="s">
        <v>42</v>
      </c>
      <c r="O17" s="181" t="s">
        <v>43</v>
      </c>
      <c r="P17" s="181" t="s">
        <v>44</v>
      </c>
      <c r="Q17" s="181" t="s">
        <v>45</v>
      </c>
    </row>
    <row r="18" spans="2:20" x14ac:dyDescent="0.3">
      <c r="B18" s="172">
        <v>17</v>
      </c>
      <c r="C18" s="177">
        <v>2</v>
      </c>
      <c r="D18" s="171">
        <f t="shared" si="0"/>
        <v>2.4106122448979592</v>
      </c>
      <c r="E18" s="176">
        <f t="shared" si="1"/>
        <v>-0.41061224489795922</v>
      </c>
      <c r="F18" s="175">
        <f t="shared" si="2"/>
        <v>0.16860241566014164</v>
      </c>
      <c r="G18" s="175">
        <f>SUM(F$2:F18)</f>
        <v>25.871508361712035</v>
      </c>
      <c r="H18" s="174">
        <f t="shared" si="3"/>
        <v>1.7247672241141356</v>
      </c>
      <c r="I18" s="173"/>
      <c r="L18" s="92" t="s">
        <v>46</v>
      </c>
      <c r="M18" s="92">
        <v>1</v>
      </c>
      <c r="N18" s="92">
        <v>60.775054021608668</v>
      </c>
      <c r="O18" s="92">
        <v>60.775054021608668</v>
      </c>
      <c r="P18" s="92">
        <v>20.25203017865573</v>
      </c>
      <c r="Q18" s="92">
        <v>4.3176593115365552E-5</v>
      </c>
    </row>
    <row r="19" spans="2:20" x14ac:dyDescent="0.3">
      <c r="B19" s="172">
        <v>18</v>
      </c>
      <c r="C19" s="177">
        <v>1</v>
      </c>
      <c r="D19" s="171">
        <f t="shared" si="0"/>
        <v>2.4870108043217289</v>
      </c>
      <c r="E19" s="176">
        <f t="shared" si="1"/>
        <v>-1.4870108043217289</v>
      </c>
      <c r="F19" s="175">
        <f t="shared" si="2"/>
        <v>2.2112011321695553</v>
      </c>
      <c r="G19" s="175">
        <f>SUM(F$2:F19)</f>
        <v>28.082709493881591</v>
      </c>
      <c r="H19" s="174">
        <f t="shared" si="3"/>
        <v>1.7551693433675994</v>
      </c>
      <c r="I19" s="173"/>
      <c r="L19" s="92" t="s">
        <v>47</v>
      </c>
      <c r="M19" s="92">
        <v>48</v>
      </c>
      <c r="N19" s="92">
        <v>144.04494597839135</v>
      </c>
      <c r="O19" s="92">
        <v>3.0009363745498199</v>
      </c>
    </row>
    <row r="20" spans="2:20" ht="17.25" thickBot="1" x14ac:dyDescent="0.35">
      <c r="B20" s="172">
        <v>19</v>
      </c>
      <c r="C20" s="177">
        <v>2</v>
      </c>
      <c r="D20" s="171">
        <f t="shared" si="0"/>
        <v>2.5634093637454982</v>
      </c>
      <c r="E20" s="176">
        <f t="shared" si="1"/>
        <v>-0.56340936374549822</v>
      </c>
      <c r="F20" s="175">
        <f t="shared" si="2"/>
        <v>0.31743011115610714</v>
      </c>
      <c r="G20" s="175">
        <f>SUM(F$2:F20)</f>
        <v>28.400139605037698</v>
      </c>
      <c r="H20" s="174">
        <f t="shared" si="3"/>
        <v>1.6705964473551587</v>
      </c>
      <c r="I20" s="173"/>
      <c r="L20" s="178" t="s">
        <v>48</v>
      </c>
      <c r="M20" s="178">
        <v>49</v>
      </c>
      <c r="N20" s="178">
        <v>204.82000000000002</v>
      </c>
      <c r="O20" s="178"/>
      <c r="P20" s="178"/>
      <c r="Q20" s="178"/>
    </row>
    <row r="21" spans="2:20" ht="17.25" thickBot="1" x14ac:dyDescent="0.35">
      <c r="B21" s="172">
        <v>20</v>
      </c>
      <c r="C21" s="177">
        <v>2</v>
      </c>
      <c r="D21" s="171">
        <f t="shared" si="0"/>
        <v>2.6398079231692675</v>
      </c>
      <c r="E21" s="176">
        <f t="shared" si="1"/>
        <v>-0.63980792316926749</v>
      </c>
      <c r="F21" s="175">
        <f t="shared" si="2"/>
        <v>0.40935417855017131</v>
      </c>
      <c r="G21" s="175">
        <f>SUM(F$2:F21)</f>
        <v>28.809493783587868</v>
      </c>
      <c r="H21" s="174">
        <f t="shared" si="3"/>
        <v>1.6005274324215482</v>
      </c>
      <c r="I21" s="173"/>
    </row>
    <row r="22" spans="2:20" x14ac:dyDescent="0.3">
      <c r="B22" s="172">
        <v>21</v>
      </c>
      <c r="C22" s="177">
        <v>3</v>
      </c>
      <c r="D22" s="171">
        <f t="shared" si="0"/>
        <v>2.7162064825930372</v>
      </c>
      <c r="E22" s="176">
        <f t="shared" si="1"/>
        <v>0.28379351740696279</v>
      </c>
      <c r="F22" s="175">
        <f t="shared" si="2"/>
        <v>8.0538760522216091E-2</v>
      </c>
      <c r="G22" s="175">
        <f>SUM(F$2:F22)</f>
        <v>28.890032544110085</v>
      </c>
      <c r="H22" s="174">
        <f t="shared" si="3"/>
        <v>1.5205280286373728</v>
      </c>
      <c r="I22" s="173"/>
      <c r="L22" s="181"/>
      <c r="M22" s="181" t="s">
        <v>49</v>
      </c>
      <c r="N22" s="181" t="s">
        <v>38</v>
      </c>
      <c r="O22" s="181" t="s">
        <v>50</v>
      </c>
      <c r="P22" s="181" t="s">
        <v>51</v>
      </c>
      <c r="Q22" s="181" t="s">
        <v>52</v>
      </c>
      <c r="R22" s="181" t="s">
        <v>53</v>
      </c>
      <c r="S22" s="181" t="s">
        <v>81</v>
      </c>
      <c r="T22" s="181" t="s">
        <v>80</v>
      </c>
    </row>
    <row r="23" spans="2:20" x14ac:dyDescent="0.3">
      <c r="B23" s="172">
        <v>22</v>
      </c>
      <c r="C23" s="177">
        <v>4</v>
      </c>
      <c r="D23" s="171">
        <f t="shared" si="0"/>
        <v>2.7926050420168069</v>
      </c>
      <c r="E23" s="176">
        <f t="shared" si="1"/>
        <v>1.2073949579831931</v>
      </c>
      <c r="F23" s="175">
        <f t="shared" si="2"/>
        <v>1.4578025845632365</v>
      </c>
      <c r="G23" s="175">
        <f>SUM(F$2:F23)</f>
        <v>30.347835128673321</v>
      </c>
      <c r="H23" s="174">
        <f t="shared" si="3"/>
        <v>1.5173917564336661</v>
      </c>
      <c r="I23" s="173"/>
      <c r="J23" s="180" t="s">
        <v>54</v>
      </c>
      <c r="K23" s="180">
        <f>INTERCEPT(C2:C51,B2:B51)</f>
        <v>1.1118367346938776</v>
      </c>
      <c r="L23" s="92" t="s">
        <v>55</v>
      </c>
      <c r="M23" s="92">
        <v>1.111836734693878</v>
      </c>
      <c r="N23" s="92">
        <v>0.49741747245312823</v>
      </c>
      <c r="O23" s="92">
        <v>2.2352184960664943</v>
      </c>
      <c r="P23" s="92">
        <v>3.0091059047931804E-2</v>
      </c>
      <c r="Q23" s="92">
        <v>0.11171187553002482</v>
      </c>
      <c r="R23" s="92">
        <v>2.111961593857731</v>
      </c>
      <c r="S23" s="92">
        <v>0.11171187553002482</v>
      </c>
      <c r="T23" s="92">
        <v>2.111961593857731</v>
      </c>
    </row>
    <row r="24" spans="2:20" ht="17.25" thickBot="1" x14ac:dyDescent="0.35">
      <c r="B24" s="172">
        <v>23</v>
      </c>
      <c r="C24" s="177">
        <v>4</v>
      </c>
      <c r="D24" s="171">
        <f t="shared" si="0"/>
        <v>2.8690036014405762</v>
      </c>
      <c r="E24" s="176">
        <f t="shared" si="1"/>
        <v>1.1309963985594238</v>
      </c>
      <c r="F24" s="175">
        <f t="shared" si="2"/>
        <v>1.279152853554387</v>
      </c>
      <c r="G24" s="175">
        <f>SUM(F$2:F24)</f>
        <v>31.626987982227707</v>
      </c>
      <c r="H24" s="174">
        <f t="shared" si="3"/>
        <v>1.506047046772748</v>
      </c>
      <c r="I24" s="173"/>
      <c r="J24" s="180" t="s">
        <v>56</v>
      </c>
      <c r="K24" s="179">
        <f>SLOPE(C2:C51,B2:B51)</f>
        <v>7.639855942376951E-2</v>
      </c>
      <c r="L24" s="178" t="s">
        <v>57</v>
      </c>
      <c r="M24" s="178">
        <v>7.6398559423769496E-2</v>
      </c>
      <c r="N24" s="178">
        <v>1.697660666995596E-2</v>
      </c>
      <c r="O24" s="178">
        <v>4.5002255697526676</v>
      </c>
      <c r="P24" s="178">
        <v>4.3176593115365552E-5</v>
      </c>
      <c r="Q24" s="178">
        <v>4.2264803986640682E-2</v>
      </c>
      <c r="R24" s="178">
        <v>0.11053231486089832</v>
      </c>
      <c r="S24" s="178">
        <v>4.2264803986640682E-2</v>
      </c>
      <c r="T24" s="178">
        <v>0.11053231486089832</v>
      </c>
    </row>
    <row r="25" spans="2:20" x14ac:dyDescent="0.3">
      <c r="B25" s="172">
        <v>24</v>
      </c>
      <c r="C25" s="177">
        <v>5</v>
      </c>
      <c r="D25" s="171">
        <f t="shared" si="0"/>
        <v>2.9454021608643459</v>
      </c>
      <c r="E25" s="176">
        <f t="shared" si="1"/>
        <v>2.0545978391356541</v>
      </c>
      <c r="F25" s="175">
        <f t="shared" si="2"/>
        <v>4.2213722805808986</v>
      </c>
      <c r="G25" s="175">
        <f>SUM(F$2:F25)</f>
        <v>35.848360262808605</v>
      </c>
      <c r="H25" s="174">
        <f t="shared" si="3"/>
        <v>1.6294709210367548</v>
      </c>
      <c r="I25" s="173"/>
    </row>
    <row r="26" spans="2:20" hidden="1" x14ac:dyDescent="0.3">
      <c r="B26" s="172">
        <v>25</v>
      </c>
      <c r="C26" s="177">
        <v>4</v>
      </c>
      <c r="D26" s="171">
        <f t="shared" si="0"/>
        <v>3.0218007202881152</v>
      </c>
      <c r="E26" s="176">
        <f t="shared" si="1"/>
        <v>0.97819927971188481</v>
      </c>
      <c r="F26" s="175">
        <f t="shared" si="2"/>
        <v>0.95687383082885025</v>
      </c>
      <c r="G26" s="175">
        <f>SUM(F$2:F26)</f>
        <v>36.805234093637452</v>
      </c>
      <c r="H26" s="174">
        <f t="shared" si="3"/>
        <v>1.6002275692885848</v>
      </c>
      <c r="I26" s="173"/>
    </row>
    <row r="27" spans="2:20" hidden="1" x14ac:dyDescent="0.3">
      <c r="B27" s="172">
        <v>26</v>
      </c>
      <c r="C27" s="177">
        <v>2</v>
      </c>
      <c r="D27" s="171">
        <f t="shared" si="0"/>
        <v>3.0981992797118849</v>
      </c>
      <c r="E27" s="176">
        <f t="shared" si="1"/>
        <v>-1.0981992797118849</v>
      </c>
      <c r="F27" s="175">
        <f t="shared" si="2"/>
        <v>1.2060416579597029</v>
      </c>
      <c r="G27" s="175">
        <f>SUM(F$2:F27)</f>
        <v>38.011275751597154</v>
      </c>
      <c r="H27" s="174">
        <f t="shared" si="3"/>
        <v>1.583803156316548</v>
      </c>
      <c r="I27" s="173"/>
    </row>
    <row r="28" spans="2:20" hidden="1" x14ac:dyDescent="0.3">
      <c r="B28" s="172">
        <v>27</v>
      </c>
      <c r="C28" s="177">
        <v>1</v>
      </c>
      <c r="D28" s="171">
        <f t="shared" si="0"/>
        <v>3.1745978391356542</v>
      </c>
      <c r="E28" s="176">
        <f t="shared" si="1"/>
        <v>-2.1745978391356542</v>
      </c>
      <c r="F28" s="175">
        <f t="shared" si="2"/>
        <v>4.7288757619734563</v>
      </c>
      <c r="G28" s="175">
        <f>SUM(F$2:F28)</f>
        <v>42.740151513570609</v>
      </c>
      <c r="H28" s="174">
        <f t="shared" si="3"/>
        <v>1.7096060605428243</v>
      </c>
      <c r="I28" s="173"/>
    </row>
    <row r="29" spans="2:20" hidden="1" x14ac:dyDescent="0.3">
      <c r="B29" s="172">
        <v>28</v>
      </c>
      <c r="C29" s="177">
        <v>4</v>
      </c>
      <c r="D29" s="171">
        <f t="shared" si="0"/>
        <v>3.2509963985594239</v>
      </c>
      <c r="E29" s="176">
        <f t="shared" si="1"/>
        <v>0.74900360144057609</v>
      </c>
      <c r="F29" s="175">
        <f t="shared" si="2"/>
        <v>0.56100639497095339</v>
      </c>
      <c r="G29" s="175">
        <f>SUM(F$2:F29)</f>
        <v>43.301157908541562</v>
      </c>
      <c r="H29" s="174">
        <f t="shared" si="3"/>
        <v>1.6654291503285217</v>
      </c>
      <c r="I29" s="173"/>
    </row>
    <row r="30" spans="2:20" hidden="1" x14ac:dyDescent="0.3">
      <c r="B30" s="172">
        <v>29</v>
      </c>
      <c r="C30" s="177">
        <v>3</v>
      </c>
      <c r="D30" s="171">
        <f t="shared" si="0"/>
        <v>3.3273949579831932</v>
      </c>
      <c r="E30" s="176">
        <f t="shared" si="1"/>
        <v>-0.32739495798319318</v>
      </c>
      <c r="F30" s="175">
        <f t="shared" si="2"/>
        <v>0.10718745851281683</v>
      </c>
      <c r="G30" s="175">
        <f>SUM(F$2:F30)</f>
        <v>43.40834536705438</v>
      </c>
      <c r="H30" s="174">
        <f t="shared" si="3"/>
        <v>1.6077164950760883</v>
      </c>
      <c r="I30" s="173"/>
    </row>
    <row r="31" spans="2:20" hidden="1" x14ac:dyDescent="0.3">
      <c r="B31" s="172">
        <v>30</v>
      </c>
      <c r="C31" s="177">
        <v>4</v>
      </c>
      <c r="D31" s="171">
        <f t="shared" si="0"/>
        <v>3.4037935174069629</v>
      </c>
      <c r="E31" s="176">
        <f t="shared" si="1"/>
        <v>0.5962064825930371</v>
      </c>
      <c r="F31" s="175">
        <f t="shared" si="2"/>
        <v>0.35546216988596147</v>
      </c>
      <c r="G31" s="175">
        <f>SUM(F$2:F31)</f>
        <v>43.763807536940341</v>
      </c>
      <c r="H31" s="174">
        <f t="shared" si="3"/>
        <v>1.562993126319298</v>
      </c>
      <c r="I31" s="173"/>
    </row>
    <row r="32" spans="2:20" hidden="1" x14ac:dyDescent="0.3">
      <c r="B32" s="172">
        <v>31</v>
      </c>
      <c r="C32" s="177">
        <v>3</v>
      </c>
      <c r="D32" s="171">
        <f t="shared" si="0"/>
        <v>3.4801920768307322</v>
      </c>
      <c r="E32" s="176">
        <f t="shared" si="1"/>
        <v>-0.48019207683073217</v>
      </c>
      <c r="F32" s="175">
        <f t="shared" si="2"/>
        <v>0.23058443065101178</v>
      </c>
      <c r="G32" s="175">
        <f>SUM(F$2:F32)</f>
        <v>43.994391967591355</v>
      </c>
      <c r="H32" s="174">
        <f t="shared" si="3"/>
        <v>1.5170479988824606</v>
      </c>
      <c r="I32" s="173"/>
    </row>
    <row r="33" spans="2:9" hidden="1" x14ac:dyDescent="0.3">
      <c r="B33" s="172">
        <v>32</v>
      </c>
      <c r="C33" s="177">
        <v>1</v>
      </c>
      <c r="D33" s="171">
        <f t="shared" si="0"/>
        <v>3.5565906362545019</v>
      </c>
      <c r="E33" s="176">
        <f t="shared" si="1"/>
        <v>-2.5565906362545019</v>
      </c>
      <c r="F33" s="175">
        <f t="shared" si="2"/>
        <v>6.5361556813841988</v>
      </c>
      <c r="G33" s="175">
        <f>SUM(F$2:F33)</f>
        <v>50.530547648975556</v>
      </c>
      <c r="H33" s="174">
        <f t="shared" si="3"/>
        <v>1.6843515882991853</v>
      </c>
      <c r="I33" s="173"/>
    </row>
    <row r="34" spans="2:9" hidden="1" x14ac:dyDescent="0.3">
      <c r="B34" s="172">
        <v>33</v>
      </c>
      <c r="C34" s="177">
        <v>5</v>
      </c>
      <c r="D34" s="171">
        <f t="shared" ref="D34:D56" si="4">$K$23+$K$24*B34</f>
        <v>3.6329891956782716</v>
      </c>
      <c r="E34" s="176">
        <f t="shared" ref="E34:E65" si="5">C34-D34</f>
        <v>1.3670108043217284</v>
      </c>
      <c r="F34" s="175">
        <f t="shared" ref="F34:F65" si="6">E34^2</f>
        <v>1.8687185391323389</v>
      </c>
      <c r="G34" s="175">
        <f>SUM(F$2:F34)</f>
        <v>52.399266188107894</v>
      </c>
      <c r="H34" s="174">
        <f t="shared" ref="H34:H65" si="7">IFERROR(G34/(B34-2),"")</f>
        <v>1.690298909293803</v>
      </c>
      <c r="I34" s="173"/>
    </row>
    <row r="35" spans="2:9" hidden="1" x14ac:dyDescent="0.3">
      <c r="B35" s="172">
        <v>34</v>
      </c>
      <c r="C35" s="177">
        <v>2</v>
      </c>
      <c r="D35" s="171">
        <f t="shared" si="4"/>
        <v>3.7093877551020409</v>
      </c>
      <c r="E35" s="176">
        <f t="shared" si="5"/>
        <v>-1.7093877551020409</v>
      </c>
      <c r="F35" s="175">
        <f t="shared" si="6"/>
        <v>2.922006497292795</v>
      </c>
      <c r="G35" s="175">
        <f>SUM(F$2:F35)</f>
        <v>55.321272685400686</v>
      </c>
      <c r="H35" s="174">
        <f t="shared" si="7"/>
        <v>1.7287897714187714</v>
      </c>
      <c r="I35" s="173"/>
    </row>
    <row r="36" spans="2:9" hidden="1" x14ac:dyDescent="0.3">
      <c r="B36" s="172">
        <v>35</v>
      </c>
      <c r="C36" s="177">
        <v>0</v>
      </c>
      <c r="D36" s="171">
        <f t="shared" si="4"/>
        <v>3.7857863145258106</v>
      </c>
      <c r="E36" s="176">
        <f t="shared" si="5"/>
        <v>-3.7857863145258106</v>
      </c>
      <c r="F36" s="175">
        <f t="shared" si="6"/>
        <v>14.33217801925092</v>
      </c>
      <c r="G36" s="175">
        <f>SUM(F$2:F36)</f>
        <v>69.653450704651604</v>
      </c>
      <c r="H36" s="174">
        <f t="shared" si="7"/>
        <v>2.1107106274136851</v>
      </c>
      <c r="I36" s="173"/>
    </row>
    <row r="37" spans="2:9" hidden="1" x14ac:dyDescent="0.3">
      <c r="B37" s="172">
        <v>36</v>
      </c>
      <c r="C37" s="177">
        <v>7</v>
      </c>
      <c r="D37" s="171">
        <f t="shared" si="4"/>
        <v>3.8621848739495799</v>
      </c>
      <c r="E37" s="176">
        <f t="shared" si="5"/>
        <v>3.1378151260504201</v>
      </c>
      <c r="F37" s="175">
        <f t="shared" si="6"/>
        <v>9.8458837652708144</v>
      </c>
      <c r="G37" s="175">
        <f>SUM(F$2:F37)</f>
        <v>79.499334469922417</v>
      </c>
      <c r="H37" s="174">
        <f t="shared" si="7"/>
        <v>2.3382157197036006</v>
      </c>
      <c r="I37" s="173"/>
    </row>
    <row r="38" spans="2:9" hidden="1" x14ac:dyDescent="0.3">
      <c r="B38" s="172">
        <v>37</v>
      </c>
      <c r="C38" s="177">
        <v>3</v>
      </c>
      <c r="D38" s="171">
        <f t="shared" si="4"/>
        <v>3.9385834333733496</v>
      </c>
      <c r="E38" s="176">
        <f t="shared" si="5"/>
        <v>-0.9385834333733496</v>
      </c>
      <c r="F38" s="175">
        <f t="shared" si="6"/>
        <v>0.880938861402905</v>
      </c>
      <c r="G38" s="175">
        <f>SUM(F$2:F38)</f>
        <v>80.380273331325327</v>
      </c>
      <c r="H38" s="174">
        <f t="shared" si="7"/>
        <v>2.2965792380378667</v>
      </c>
      <c r="I38" s="173"/>
    </row>
    <row r="39" spans="2:9" hidden="1" x14ac:dyDescent="0.3">
      <c r="B39" s="172">
        <v>38</v>
      </c>
      <c r="C39" s="177">
        <v>5</v>
      </c>
      <c r="D39" s="171">
        <f t="shared" si="4"/>
        <v>4.0149819927971189</v>
      </c>
      <c r="E39" s="176">
        <f t="shared" si="5"/>
        <v>0.98501800720288113</v>
      </c>
      <c r="F39" s="175">
        <f t="shared" si="6"/>
        <v>0.97026047451393516</v>
      </c>
      <c r="G39" s="175">
        <f>SUM(F$2:F39)</f>
        <v>81.350533805839262</v>
      </c>
      <c r="H39" s="174">
        <f t="shared" si="7"/>
        <v>2.2597370501622018</v>
      </c>
      <c r="I39" s="173"/>
    </row>
    <row r="40" spans="2:9" hidden="1" x14ac:dyDescent="0.3">
      <c r="B40" s="172">
        <v>39</v>
      </c>
      <c r="C40" s="177">
        <v>5</v>
      </c>
      <c r="D40" s="171">
        <f t="shared" si="4"/>
        <v>4.0913805522208886</v>
      </c>
      <c r="E40" s="176">
        <f t="shared" si="5"/>
        <v>0.90861944777911141</v>
      </c>
      <c r="F40" s="175">
        <f t="shared" si="6"/>
        <v>0.82558930088241733</v>
      </c>
      <c r="G40" s="175">
        <f>SUM(F$2:F40)</f>
        <v>82.176123106721676</v>
      </c>
      <c r="H40" s="174">
        <f t="shared" si="7"/>
        <v>2.2209763001816669</v>
      </c>
      <c r="I40" s="173"/>
    </row>
    <row r="41" spans="2:9" hidden="1" x14ac:dyDescent="0.3">
      <c r="B41" s="172">
        <v>40</v>
      </c>
      <c r="C41" s="177">
        <v>6</v>
      </c>
      <c r="D41" s="171">
        <f t="shared" si="4"/>
        <v>4.1677791116446574</v>
      </c>
      <c r="E41" s="176">
        <f t="shared" si="5"/>
        <v>1.8322208883553426</v>
      </c>
      <c r="F41" s="175">
        <f t="shared" si="6"/>
        <v>3.3570333837256405</v>
      </c>
      <c r="G41" s="175">
        <f>SUM(F$2:F41)</f>
        <v>85.533156490447311</v>
      </c>
      <c r="H41" s="174">
        <f t="shared" si="7"/>
        <v>2.2508725392222977</v>
      </c>
      <c r="I41" s="173"/>
    </row>
    <row r="42" spans="2:9" hidden="1" x14ac:dyDescent="0.3">
      <c r="B42" s="172">
        <v>41</v>
      </c>
      <c r="C42" s="177">
        <v>2</v>
      </c>
      <c r="D42" s="171">
        <f t="shared" si="4"/>
        <v>4.244177671068428</v>
      </c>
      <c r="E42" s="176">
        <f t="shared" si="5"/>
        <v>-2.244177671068428</v>
      </c>
      <c r="F42" s="175">
        <f t="shared" si="6"/>
        <v>5.0363334193221139</v>
      </c>
      <c r="G42" s="175">
        <f>SUM(F$2:F42)</f>
        <v>90.56948990976943</v>
      </c>
      <c r="H42" s="174">
        <f t="shared" si="7"/>
        <v>2.3222946130710111</v>
      </c>
      <c r="I42" s="173"/>
    </row>
    <row r="43" spans="2:9" hidden="1" x14ac:dyDescent="0.3">
      <c r="B43" s="172">
        <v>42</v>
      </c>
      <c r="C43" s="177">
        <v>3</v>
      </c>
      <c r="D43" s="171">
        <f t="shared" si="4"/>
        <v>4.3205762304921969</v>
      </c>
      <c r="E43" s="176">
        <f t="shared" si="5"/>
        <v>-1.3205762304921969</v>
      </c>
      <c r="F43" s="175">
        <f t="shared" si="6"/>
        <v>1.7439215805409798</v>
      </c>
      <c r="G43" s="175">
        <f>SUM(F$2:F43)</f>
        <v>92.313411490310415</v>
      </c>
      <c r="H43" s="174">
        <f t="shared" si="7"/>
        <v>2.3078352872577605</v>
      </c>
      <c r="I43" s="173"/>
    </row>
    <row r="44" spans="2:9" hidden="1" x14ac:dyDescent="0.3">
      <c r="B44" s="172">
        <v>43</v>
      </c>
      <c r="C44" s="177">
        <v>4</v>
      </c>
      <c r="D44" s="171">
        <f t="shared" si="4"/>
        <v>4.3969747899159666</v>
      </c>
      <c r="E44" s="176">
        <f t="shared" si="5"/>
        <v>-0.39697478991596657</v>
      </c>
      <c r="F44" s="175">
        <f t="shared" si="6"/>
        <v>0.1575889838288258</v>
      </c>
      <c r="G44" s="175">
        <f>SUM(F$2:F44)</f>
        <v>92.471000474139245</v>
      </c>
      <c r="H44" s="174">
        <f t="shared" si="7"/>
        <v>2.255390255466811</v>
      </c>
      <c r="I44" s="173"/>
    </row>
    <row r="45" spans="2:9" hidden="1" x14ac:dyDescent="0.3">
      <c r="B45" s="172">
        <v>44</v>
      </c>
      <c r="C45" s="177">
        <v>2</v>
      </c>
      <c r="D45" s="171">
        <f t="shared" si="4"/>
        <v>4.4733733493397363</v>
      </c>
      <c r="E45" s="176">
        <f t="shared" si="5"/>
        <v>-2.4733733493397363</v>
      </c>
      <c r="F45" s="175">
        <f t="shared" si="6"/>
        <v>6.1175757252240652</v>
      </c>
      <c r="G45" s="175">
        <f>SUM(F$2:F45)</f>
        <v>98.588576199363317</v>
      </c>
      <c r="H45" s="174">
        <f t="shared" si="7"/>
        <v>2.3473470523657931</v>
      </c>
      <c r="I45" s="173"/>
    </row>
    <row r="46" spans="2:9" hidden="1" x14ac:dyDescent="0.3">
      <c r="B46" s="172">
        <v>45</v>
      </c>
      <c r="C46" s="177">
        <v>3</v>
      </c>
      <c r="D46" s="171">
        <f t="shared" si="4"/>
        <v>4.5497719087635051</v>
      </c>
      <c r="E46" s="176">
        <f t="shared" si="5"/>
        <v>-1.5497719087635051</v>
      </c>
      <c r="F46" s="175">
        <f t="shared" si="6"/>
        <v>2.4017929691924782</v>
      </c>
      <c r="G46" s="175">
        <f>SUM(F$2:F46)</f>
        <v>100.9903691685558</v>
      </c>
      <c r="H46" s="174">
        <f t="shared" si="7"/>
        <v>2.3486132364780419</v>
      </c>
      <c r="I46" s="173"/>
    </row>
    <row r="47" spans="2:9" hidden="1" x14ac:dyDescent="0.3">
      <c r="B47" s="172">
        <v>46</v>
      </c>
      <c r="C47" s="177">
        <v>3</v>
      </c>
      <c r="D47" s="171">
        <f t="shared" si="4"/>
        <v>4.6261704681872748</v>
      </c>
      <c r="E47" s="176">
        <f t="shared" si="5"/>
        <v>-1.6261704681872748</v>
      </c>
      <c r="F47" s="175">
        <f t="shared" si="6"/>
        <v>2.6444303916044207</v>
      </c>
      <c r="G47" s="175">
        <f>SUM(F$2:F47)</f>
        <v>103.63479956016022</v>
      </c>
      <c r="H47" s="174">
        <f t="shared" si="7"/>
        <v>2.3553363536400052</v>
      </c>
      <c r="I47" s="173"/>
    </row>
    <row r="48" spans="2:9" hidden="1" x14ac:dyDescent="0.3">
      <c r="B48" s="172">
        <v>47</v>
      </c>
      <c r="C48" s="177">
        <v>6</v>
      </c>
      <c r="D48" s="171">
        <f t="shared" si="4"/>
        <v>4.7025690276110446</v>
      </c>
      <c r="E48" s="176">
        <f t="shared" si="5"/>
        <v>1.2974309723889554</v>
      </c>
      <c r="F48" s="175">
        <f t="shared" si="6"/>
        <v>1.6833271281141504</v>
      </c>
      <c r="G48" s="175">
        <f>SUM(F$2:F48)</f>
        <v>105.31812668827436</v>
      </c>
      <c r="H48" s="174">
        <f t="shared" si="7"/>
        <v>2.3404028152949858</v>
      </c>
      <c r="I48" s="173"/>
    </row>
    <row r="49" spans="1:9" hidden="1" x14ac:dyDescent="0.3">
      <c r="B49" s="172">
        <v>48</v>
      </c>
      <c r="C49" s="177">
        <v>11</v>
      </c>
      <c r="D49" s="171">
        <f t="shared" si="4"/>
        <v>4.7789675870348143</v>
      </c>
      <c r="E49" s="176">
        <f t="shared" si="5"/>
        <v>6.2210324129651857</v>
      </c>
      <c r="F49" s="175">
        <f t="shared" si="6"/>
        <v>38.70124428316344</v>
      </c>
      <c r="G49" s="175">
        <f>SUM(F$2:F49)</f>
        <v>144.01937097143781</v>
      </c>
      <c r="H49" s="174">
        <f t="shared" si="7"/>
        <v>3.1308558906834305</v>
      </c>
      <c r="I49" s="173"/>
    </row>
    <row r="50" spans="1:9" hidden="1" x14ac:dyDescent="0.3">
      <c r="B50" s="172">
        <v>49</v>
      </c>
      <c r="C50" s="177">
        <v>5</v>
      </c>
      <c r="D50" s="171">
        <f t="shared" si="4"/>
        <v>4.855366146458584</v>
      </c>
      <c r="E50" s="176">
        <f t="shared" si="5"/>
        <v>0.144633853541416</v>
      </c>
      <c r="F50" s="175">
        <f t="shared" si="6"/>
        <v>2.0918951590239775E-2</v>
      </c>
      <c r="G50" s="175">
        <f>SUM(F$2:F50)</f>
        <v>144.04028992302804</v>
      </c>
      <c r="H50" s="174">
        <f t="shared" si="7"/>
        <v>3.0646870196388947</v>
      </c>
      <c r="I50" s="173"/>
    </row>
    <row r="51" spans="1:9" x14ac:dyDescent="0.3">
      <c r="B51" s="172">
        <v>50</v>
      </c>
      <c r="C51" s="177">
        <v>5</v>
      </c>
      <c r="D51" s="171">
        <f t="shared" si="4"/>
        <v>4.9317647058823528</v>
      </c>
      <c r="E51" s="176">
        <f t="shared" si="5"/>
        <v>6.8235294117647172E-2</v>
      </c>
      <c r="F51" s="175">
        <f t="shared" si="6"/>
        <v>4.6560553633218146E-3</v>
      </c>
      <c r="G51" s="175">
        <f>SUM(F$2:F51)</f>
        <v>144.04494597839135</v>
      </c>
      <c r="H51" s="174">
        <f t="shared" si="7"/>
        <v>3.0009363745498199</v>
      </c>
      <c r="I51" s="173"/>
    </row>
    <row r="52" spans="1:9" x14ac:dyDescent="0.3">
      <c r="B52" s="172">
        <v>51</v>
      </c>
      <c r="D52" s="171">
        <f t="shared" si="4"/>
        <v>5.0081632653061225</v>
      </c>
    </row>
    <row r="53" spans="1:9" x14ac:dyDescent="0.3">
      <c r="B53" s="172">
        <v>52</v>
      </c>
      <c r="D53" s="171">
        <f t="shared" si="4"/>
        <v>5.0845618247298923</v>
      </c>
    </row>
    <row r="54" spans="1:9" x14ac:dyDescent="0.3">
      <c r="B54" s="172">
        <v>53</v>
      </c>
      <c r="D54" s="171">
        <f t="shared" si="4"/>
        <v>5.160960384153662</v>
      </c>
    </row>
    <row r="55" spans="1:9" x14ac:dyDescent="0.3">
      <c r="B55" s="172">
        <v>54</v>
      </c>
      <c r="D55" s="171">
        <f t="shared" si="4"/>
        <v>5.2373589435774308</v>
      </c>
    </row>
    <row r="56" spans="1:9" x14ac:dyDescent="0.3">
      <c r="B56" s="172">
        <v>55</v>
      </c>
      <c r="D56" s="171">
        <f t="shared" si="4"/>
        <v>5.3137575030012005</v>
      </c>
    </row>
    <row r="59" spans="1:9" x14ac:dyDescent="0.3">
      <c r="A59" s="170" t="s">
        <v>79</v>
      </c>
    </row>
    <row r="60" spans="1:9" x14ac:dyDescent="0.3">
      <c r="A60" s="170" t="s">
        <v>78</v>
      </c>
    </row>
    <row r="61" spans="1:9" x14ac:dyDescent="0.3">
      <c r="A61" s="170" t="s">
        <v>16</v>
      </c>
    </row>
    <row r="62" spans="1:9" x14ac:dyDescent="0.3">
      <c r="A62" s="170" t="s">
        <v>77</v>
      </c>
    </row>
    <row r="63" spans="1:9" x14ac:dyDescent="0.3">
      <c r="A63" s="170" t="s">
        <v>76</v>
      </c>
    </row>
    <row r="64" spans="1:9" x14ac:dyDescent="0.3">
      <c r="A64" s="170" t="s">
        <v>14</v>
      </c>
    </row>
    <row r="65" spans="1:1" x14ac:dyDescent="0.3">
      <c r="A65" s="170" t="s">
        <v>75</v>
      </c>
    </row>
  </sheetData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9"/>
  <sheetViews>
    <sheetView topLeftCell="D1" zoomScale="73" zoomScaleNormal="73" workbookViewId="0">
      <selection activeCell="U22" sqref="U22"/>
    </sheetView>
  </sheetViews>
  <sheetFormatPr defaultRowHeight="13.5" x14ac:dyDescent="0.25"/>
  <cols>
    <col min="1" max="1" width="4.5703125" style="114" bestFit="1" customWidth="1"/>
    <col min="2" max="2" width="9.7109375" style="114" bestFit="1" customWidth="1"/>
    <col min="3" max="3" width="6.7109375" style="114" bestFit="1" customWidth="1"/>
    <col min="4" max="4" width="11.7109375" style="114" bestFit="1" customWidth="1"/>
    <col min="5" max="5" width="9.140625" style="122" customWidth="1"/>
    <col min="6" max="6" width="13" style="114" customWidth="1"/>
    <col min="7" max="8" width="5.85546875" style="114" customWidth="1"/>
    <col min="9" max="9" width="9.7109375" style="114" customWidth="1"/>
    <col min="10" max="10" width="6" style="114" bestFit="1" customWidth="1"/>
    <col min="11" max="11" width="4.85546875" style="114" bestFit="1" customWidth="1"/>
    <col min="12" max="12" width="8.7109375" style="114" bestFit="1" customWidth="1"/>
    <col min="13" max="13" width="9.140625" style="114"/>
    <col min="14" max="14" width="12.140625" style="114" bestFit="1" customWidth="1"/>
    <col min="15" max="15" width="11.7109375" style="114" bestFit="1" customWidth="1"/>
    <col min="16" max="16" width="12.42578125" style="114" bestFit="1" customWidth="1"/>
    <col min="17" max="17" width="12.140625" style="114" bestFit="1" customWidth="1"/>
    <col min="18" max="21" width="9.28515625" style="114" bestFit="1" customWidth="1"/>
    <col min="22" max="23" width="9.140625" style="114"/>
    <col min="24" max="24" width="9.28515625" style="114" bestFit="1" customWidth="1"/>
    <col min="25" max="27" width="9.140625" style="114"/>
    <col min="28" max="30" width="9.28515625" style="114" bestFit="1" customWidth="1"/>
    <col min="31" max="31" width="12.28515625" style="114" customWidth="1"/>
    <col min="32" max="36" width="9.28515625" style="114" bestFit="1" customWidth="1"/>
    <col min="37" max="16384" width="9.140625" style="114"/>
  </cols>
  <sheetData>
    <row r="1" spans="1:37" ht="17.25" thickBot="1" x14ac:dyDescent="0.35">
      <c r="A1" s="107" t="s">
        <v>19</v>
      </c>
      <c r="B1" s="108"/>
      <c r="C1" s="109"/>
      <c r="D1" s="108"/>
      <c r="E1" s="110"/>
      <c r="F1" s="111" t="s">
        <v>5</v>
      </c>
      <c r="G1" s="111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3" t="s">
        <v>11</v>
      </c>
      <c r="N1" s="158" t="s">
        <v>66</v>
      </c>
      <c r="O1" s="158" t="s">
        <v>67</v>
      </c>
      <c r="P1" s="160" t="s">
        <v>68</v>
      </c>
      <c r="Q1" s="159" t="s">
        <v>69</v>
      </c>
      <c r="R1" s="115" t="s">
        <v>25</v>
      </c>
      <c r="AB1" s="105"/>
      <c r="AC1" s="116" t="s">
        <v>20</v>
      </c>
      <c r="AD1" s="116"/>
      <c r="AE1" s="116"/>
      <c r="AF1" s="105"/>
      <c r="AG1" s="105"/>
      <c r="AH1" s="117">
        <f ca="1">RANDBETWEEN(100,150)</f>
        <v>115</v>
      </c>
      <c r="AI1" s="117">
        <f ca="1">RANDBETWEEN(5,15)</f>
        <v>14</v>
      </c>
      <c r="AJ1" s="117">
        <v>0.1</v>
      </c>
      <c r="AK1" s="105"/>
    </row>
    <row r="2" spans="1:37" ht="17.25" thickBot="1" x14ac:dyDescent="0.35">
      <c r="A2" s="118" t="s">
        <v>1</v>
      </c>
      <c r="B2" s="119" t="s">
        <v>27</v>
      </c>
      <c r="C2" s="120" t="s">
        <v>21</v>
      </c>
      <c r="D2" s="121" t="s">
        <v>24</v>
      </c>
      <c r="F2" s="123" t="str">
        <f ca="1">G2&amp;" - "&amp;H2</f>
        <v>0 - 2000</v>
      </c>
      <c r="G2" s="124">
        <f ca="1">R4</f>
        <v>0</v>
      </c>
      <c r="H2" s="125">
        <f ca="1">G2+$S$5</f>
        <v>2000</v>
      </c>
      <c r="I2" s="126">
        <f ca="1">COUNTIF($C$3:$C$77, "&lt;"&amp;H2)</f>
        <v>2</v>
      </c>
      <c r="J2" s="126">
        <f ca="1">I2</f>
        <v>2</v>
      </c>
      <c r="K2" s="127">
        <f t="shared" ref="K2:K14" ca="1" si="0">J2/$J$15</f>
        <v>2.6666666666666668E-2</v>
      </c>
      <c r="L2" s="128">
        <f t="shared" ref="L2:L14" ca="1" si="1">I2/$J$15</f>
        <v>2.6666666666666668E-2</v>
      </c>
      <c r="N2" s="152" t="s">
        <v>12</v>
      </c>
      <c r="O2" s="149">
        <f ca="1">AVERAGE(B$3:B$77)</f>
        <v>9703.7866666666669</v>
      </c>
      <c r="P2" s="155">
        <f ca="1">AVERAGE(C$3:C$77)</f>
        <v>9703.7866666666669</v>
      </c>
      <c r="Q2" s="155">
        <f ca="1">AVERAGE(D$3:D$77)</f>
        <v>9703.7866666666669</v>
      </c>
      <c r="T2" s="114" t="b">
        <f ca="1">O2=P2</f>
        <v>1</v>
      </c>
      <c r="U2" s="114" t="b">
        <f ca="1">P2=Q2</f>
        <v>1</v>
      </c>
      <c r="X2" s="114">
        <v>20</v>
      </c>
      <c r="AB2" s="105"/>
      <c r="AC2" s="117"/>
      <c r="AD2" s="117"/>
      <c r="AE2" s="117" t="s">
        <v>26</v>
      </c>
      <c r="AF2" s="105" t="s">
        <v>22</v>
      </c>
      <c r="AG2" s="105" t="s">
        <v>23</v>
      </c>
      <c r="AH2" s="105"/>
      <c r="AI2" s="106"/>
      <c r="AJ2" s="105"/>
      <c r="AK2" s="105"/>
    </row>
    <row r="3" spans="1:37" ht="16.5" x14ac:dyDescent="0.3">
      <c r="A3" s="54">
        <v>1</v>
      </c>
      <c r="B3" s="129">
        <f t="shared" ref="B3:B34" ca="1" si="2">INDEX($AG$3:$AG$77,RANK(AB3,$AB$3:$AB$77))</f>
        <v>3660</v>
      </c>
      <c r="C3" s="130">
        <f ca="1">SMALL($AG$3:$AG$77,AC3)</f>
        <v>1779</v>
      </c>
      <c r="D3" s="131">
        <f ca="1">AG3</f>
        <v>1866</v>
      </c>
      <c r="E3" s="132"/>
      <c r="F3" s="133" t="str">
        <f t="shared" ref="F3:F14" ca="1" si="3">G3&amp;" - "&amp;H3</f>
        <v>2000 - 4000</v>
      </c>
      <c r="G3" s="134">
        <f ca="1">H2</f>
        <v>2000</v>
      </c>
      <c r="H3" s="135">
        <f ca="1">G3+$S$5</f>
        <v>4000</v>
      </c>
      <c r="I3" s="136">
        <f t="shared" ref="I3:I14" ca="1" si="4">COUNTIF($C$3:$C$77, "&lt;"&amp;H3)</f>
        <v>11</v>
      </c>
      <c r="J3" s="136">
        <f ca="1">I3-I2</f>
        <v>9</v>
      </c>
      <c r="K3" s="137">
        <f t="shared" ca="1" si="0"/>
        <v>0.12</v>
      </c>
      <c r="L3" s="138">
        <f t="shared" ca="1" si="1"/>
        <v>0.14666666666666667</v>
      </c>
      <c r="N3" s="153" t="s">
        <v>13</v>
      </c>
      <c r="O3" s="150">
        <f ca="1">MAX(B$3:B$77)</f>
        <v>19963</v>
      </c>
      <c r="P3" s="156">
        <f ca="1">MAX(C$3:C$77)</f>
        <v>19963</v>
      </c>
      <c r="Q3" s="156">
        <f ca="1">MAX(D$3:D$77)</f>
        <v>19963</v>
      </c>
      <c r="R3" s="114">
        <f ca="1">ROUNDUP(O3/S5,0)</f>
        <v>10</v>
      </c>
      <c r="S3" s="114">
        <f ca="1">R3*S5</f>
        <v>20000</v>
      </c>
      <c r="T3" s="114" t="b">
        <f t="shared" ref="T3:T8" ca="1" si="5">O3=P3</f>
        <v>1</v>
      </c>
      <c r="U3" s="114" t="b">
        <f t="shared" ref="U3:U9" ca="1" si="6">P3=Q3</f>
        <v>1</v>
      </c>
      <c r="AB3" s="105">
        <f t="shared" ref="AB3:AB66" ca="1" si="7">RAND()</f>
        <v>0.79184386229906356</v>
      </c>
      <c r="AC3" s="117">
        <v>1</v>
      </c>
      <c r="AD3" s="117">
        <v>1</v>
      </c>
      <c r="AE3" s="117">
        <f ca="1">INT($AH$1+$AI$1*AD3)</f>
        <v>129</v>
      </c>
      <c r="AF3" s="139">
        <f ca="1">(((IF(MOD(AD3,5)&lt;&gt;0,MOD(AD3,5),5))+12)+_xlfn.NORM.S.INV(RAND()))</f>
        <v>14.465912895723996</v>
      </c>
      <c r="AG3" s="105">
        <f ca="1">ROUND(AE3*AF3,0)</f>
        <v>1866</v>
      </c>
      <c r="AH3" s="105"/>
      <c r="AI3" s="106"/>
      <c r="AJ3" s="105"/>
      <c r="AK3" s="105"/>
    </row>
    <row r="4" spans="1:37" ht="16.5" x14ac:dyDescent="0.3">
      <c r="A4" s="54">
        <v>2</v>
      </c>
      <c r="B4" s="129">
        <f t="shared" ca="1" si="2"/>
        <v>11500</v>
      </c>
      <c r="C4" s="130">
        <f t="shared" ref="C4:C67" ca="1" si="8">SMALL($AG$3:$AG$77,AC4)</f>
        <v>1866</v>
      </c>
      <c r="D4" s="131">
        <f t="shared" ref="D4:D67" ca="1" si="9">AG4</f>
        <v>1779</v>
      </c>
      <c r="E4" s="132"/>
      <c r="F4" s="133" t="str">
        <f t="shared" ca="1" si="3"/>
        <v>4000 - 6000</v>
      </c>
      <c r="G4" s="134">
        <f t="shared" ref="G4:G13" ca="1" si="10">H3</f>
        <v>4000</v>
      </c>
      <c r="H4" s="135">
        <f t="shared" ref="H4:H14" ca="1" si="11">G4+$S$5</f>
        <v>6000</v>
      </c>
      <c r="I4" s="136">
        <f t="shared" ca="1" si="4"/>
        <v>21</v>
      </c>
      <c r="J4" s="136">
        <f t="shared" ref="J4:J14" ca="1" si="12">I4-I3</f>
        <v>10</v>
      </c>
      <c r="K4" s="137">
        <f t="shared" ca="1" si="0"/>
        <v>0.13333333333333333</v>
      </c>
      <c r="L4" s="138">
        <f t="shared" ca="1" si="1"/>
        <v>0.28000000000000003</v>
      </c>
      <c r="N4" s="153" t="s">
        <v>14</v>
      </c>
      <c r="O4" s="150">
        <f ca="1">MIN(B$3:B$77)</f>
        <v>1779</v>
      </c>
      <c r="P4" s="156">
        <f ca="1">MIN(C$3:C$77)</f>
        <v>1779</v>
      </c>
      <c r="Q4" s="156">
        <f ca="1">MIN(D$3:D$77)</f>
        <v>1779</v>
      </c>
      <c r="R4" s="114">
        <f ca="1">S5*INT(O4/S5)</f>
        <v>0</v>
      </c>
      <c r="T4" s="114" t="b">
        <f ca="1">O4=P4</f>
        <v>1</v>
      </c>
      <c r="U4" s="114" t="b">
        <f t="shared" ca="1" si="6"/>
        <v>1</v>
      </c>
      <c r="AB4" s="105">
        <f t="shared" ca="1" si="7"/>
        <v>0.40606572457096024</v>
      </c>
      <c r="AC4" s="117">
        <v>2</v>
      </c>
      <c r="AD4" s="117">
        <v>2</v>
      </c>
      <c r="AE4" s="117">
        <f t="shared" ref="AE4:AE67" ca="1" si="13">INT($AH$1+$AI$1*AD4)</f>
        <v>143</v>
      </c>
      <c r="AF4" s="139">
        <f t="shared" ref="AF4:AF67" ca="1" si="14">(((IF(MOD(AD4,5)&lt;&gt;0,MOD(AD4,5),5))+12)+_xlfn.NORM.S.INV(RAND()))</f>
        <v>12.439749156627434</v>
      </c>
      <c r="AG4" s="105">
        <f t="shared" ref="AG4:AG67" ca="1" si="15">ROUND(AE4*AF4,0)</f>
        <v>1779</v>
      </c>
      <c r="AH4" s="105"/>
      <c r="AI4" s="106"/>
      <c r="AJ4" s="105"/>
      <c r="AK4" s="105"/>
    </row>
    <row r="5" spans="1:37" ht="16.5" x14ac:dyDescent="0.3">
      <c r="A5" s="54">
        <v>3</v>
      </c>
      <c r="B5" s="129">
        <f t="shared" ca="1" si="2"/>
        <v>7111</v>
      </c>
      <c r="C5" s="130">
        <f t="shared" ca="1" si="8"/>
        <v>2209</v>
      </c>
      <c r="D5" s="131">
        <f t="shared" ca="1" si="9"/>
        <v>2209</v>
      </c>
      <c r="E5" s="132"/>
      <c r="F5" s="133" t="str">
        <f t="shared" ca="1" si="3"/>
        <v>6000 - 8000</v>
      </c>
      <c r="G5" s="134">
        <f t="shared" ca="1" si="10"/>
        <v>6000</v>
      </c>
      <c r="H5" s="135">
        <f t="shared" ca="1" si="11"/>
        <v>8000</v>
      </c>
      <c r="I5" s="136">
        <f t="shared" ca="1" si="4"/>
        <v>28</v>
      </c>
      <c r="J5" s="136">
        <f t="shared" ca="1" si="12"/>
        <v>7</v>
      </c>
      <c r="K5" s="137">
        <f t="shared" ca="1" si="0"/>
        <v>9.3333333333333338E-2</v>
      </c>
      <c r="L5" s="138">
        <f t="shared" ca="1" si="1"/>
        <v>0.37333333333333335</v>
      </c>
      <c r="N5" s="153" t="s">
        <v>5</v>
      </c>
      <c r="O5" s="150">
        <f ca="1">O3-O4</f>
        <v>18184</v>
      </c>
      <c r="P5" s="156">
        <f ca="1">P3-P4</f>
        <v>18184</v>
      </c>
      <c r="Q5" s="156">
        <f ca="1">Q3-Q4</f>
        <v>18184</v>
      </c>
      <c r="R5" s="114">
        <f ca="1">ROUND(O5/10,0)</f>
        <v>1818</v>
      </c>
      <c r="S5" s="114">
        <f ca="1">ROUND(R5,-LEN(R5)+1)</f>
        <v>2000</v>
      </c>
      <c r="T5" s="114" t="b">
        <f t="shared" ca="1" si="5"/>
        <v>1</v>
      </c>
      <c r="U5" s="114" t="b">
        <f t="shared" ca="1" si="6"/>
        <v>1</v>
      </c>
      <c r="AB5" s="105">
        <f t="shared" ca="1" si="7"/>
        <v>0.57431204157652871</v>
      </c>
      <c r="AC5" s="117">
        <v>3</v>
      </c>
      <c r="AD5" s="117">
        <v>3</v>
      </c>
      <c r="AE5" s="117">
        <f t="shared" ca="1" si="13"/>
        <v>157</v>
      </c>
      <c r="AF5" s="139">
        <f t="shared" ca="1" si="14"/>
        <v>14.067038558831303</v>
      </c>
      <c r="AG5" s="105">
        <f t="shared" ca="1" si="15"/>
        <v>2209</v>
      </c>
      <c r="AH5" s="105"/>
      <c r="AI5" s="106"/>
      <c r="AJ5" s="105"/>
      <c r="AK5" s="105"/>
    </row>
    <row r="6" spans="1:37" ht="16.5" x14ac:dyDescent="0.3">
      <c r="A6" s="54">
        <v>4</v>
      </c>
      <c r="B6" s="129">
        <f t="shared" ca="1" si="2"/>
        <v>4960</v>
      </c>
      <c r="C6" s="130">
        <f t="shared" ca="1" si="8"/>
        <v>2272</v>
      </c>
      <c r="D6" s="131">
        <f t="shared" ca="1" si="9"/>
        <v>2582</v>
      </c>
      <c r="E6" s="132"/>
      <c r="F6" s="133" t="str">
        <f t="shared" ca="1" si="3"/>
        <v>8000 - 10000</v>
      </c>
      <c r="G6" s="134">
        <f t="shared" ca="1" si="10"/>
        <v>8000</v>
      </c>
      <c r="H6" s="135">
        <f t="shared" ca="1" si="11"/>
        <v>10000</v>
      </c>
      <c r="I6" s="136">
        <f t="shared" ca="1" si="4"/>
        <v>40</v>
      </c>
      <c r="J6" s="136">
        <f t="shared" ca="1" si="12"/>
        <v>12</v>
      </c>
      <c r="K6" s="137">
        <f t="shared" ca="1" si="0"/>
        <v>0.16</v>
      </c>
      <c r="L6" s="138">
        <f t="shared" ca="1" si="1"/>
        <v>0.53333333333333333</v>
      </c>
      <c r="N6" s="153" t="s">
        <v>15</v>
      </c>
      <c r="O6" s="150">
        <f ca="1">_xlfn.STDEV.S(B$3:B$77)</f>
        <v>4811.3985360592196</v>
      </c>
      <c r="P6" s="156">
        <f ca="1">_xlfn.STDEV.S(C$3:C$77)</f>
        <v>4811.3985360592196</v>
      </c>
      <c r="Q6" s="156">
        <f ca="1">_xlfn.STDEV.S(D$3:D$77)</f>
        <v>4811.3985360592196</v>
      </c>
      <c r="T6" s="114" t="b">
        <f t="shared" ca="1" si="5"/>
        <v>1</v>
      </c>
      <c r="U6" s="114" t="b">
        <f t="shared" ca="1" si="6"/>
        <v>1</v>
      </c>
      <c r="AB6" s="105">
        <f t="shared" ca="1" si="7"/>
        <v>0.74076140298683102</v>
      </c>
      <c r="AC6" s="117">
        <v>4</v>
      </c>
      <c r="AD6" s="117">
        <v>4</v>
      </c>
      <c r="AE6" s="117">
        <f t="shared" ca="1" si="13"/>
        <v>171</v>
      </c>
      <c r="AF6" s="139">
        <f t="shared" ca="1" si="14"/>
        <v>15.097768844821324</v>
      </c>
      <c r="AG6" s="105">
        <f t="shared" ca="1" si="15"/>
        <v>2582</v>
      </c>
      <c r="AH6" s="105"/>
      <c r="AI6" s="106"/>
      <c r="AJ6" s="105"/>
      <c r="AK6" s="105"/>
    </row>
    <row r="7" spans="1:37" ht="16.5" x14ac:dyDescent="0.3">
      <c r="A7" s="54">
        <v>5</v>
      </c>
      <c r="B7" s="129">
        <f t="shared" ca="1" si="2"/>
        <v>13392</v>
      </c>
      <c r="C7" s="130">
        <f t="shared" ca="1" si="8"/>
        <v>2582</v>
      </c>
      <c r="D7" s="131">
        <f t="shared" ca="1" si="9"/>
        <v>3067</v>
      </c>
      <c r="E7" s="132"/>
      <c r="F7" s="133" t="str">
        <f t="shared" ca="1" si="3"/>
        <v>10000 - 12000</v>
      </c>
      <c r="G7" s="134">
        <f t="shared" ca="1" si="10"/>
        <v>10000</v>
      </c>
      <c r="H7" s="135">
        <f t="shared" ca="1" si="11"/>
        <v>12000</v>
      </c>
      <c r="I7" s="136">
        <f t="shared" ca="1" si="4"/>
        <v>49</v>
      </c>
      <c r="J7" s="136">
        <f t="shared" ca="1" si="12"/>
        <v>9</v>
      </c>
      <c r="K7" s="137">
        <f t="shared" ca="1" si="0"/>
        <v>0.12</v>
      </c>
      <c r="L7" s="138">
        <f t="shared" ca="1" si="1"/>
        <v>0.65333333333333332</v>
      </c>
      <c r="N7" s="153" t="s">
        <v>16</v>
      </c>
      <c r="O7" s="150">
        <f ca="1">O6/O2</f>
        <v>0.49582690771498339</v>
      </c>
      <c r="P7" s="156">
        <f ca="1">P6/P2</f>
        <v>0.49582690771498339</v>
      </c>
      <c r="Q7" s="156">
        <f ca="1">Q6/Q2</f>
        <v>0.49582690771498339</v>
      </c>
      <c r="T7" s="114" t="b">
        <f t="shared" ca="1" si="5"/>
        <v>1</v>
      </c>
      <c r="U7" s="114" t="b">
        <f t="shared" ca="1" si="6"/>
        <v>1</v>
      </c>
      <c r="AB7" s="105">
        <f t="shared" ca="1" si="7"/>
        <v>0.45450352780196046</v>
      </c>
      <c r="AC7" s="117">
        <v>5</v>
      </c>
      <c r="AD7" s="117">
        <v>5</v>
      </c>
      <c r="AE7" s="117">
        <f t="shared" ca="1" si="13"/>
        <v>185</v>
      </c>
      <c r="AF7" s="139">
        <f t="shared" ca="1" si="14"/>
        <v>16.580522937420962</v>
      </c>
      <c r="AG7" s="105">
        <f t="shared" ca="1" si="15"/>
        <v>3067</v>
      </c>
      <c r="AH7" s="105"/>
      <c r="AI7" s="106"/>
      <c r="AJ7" s="105"/>
      <c r="AK7" s="105"/>
    </row>
    <row r="8" spans="1:37" ht="16.5" x14ac:dyDescent="0.3">
      <c r="A8" s="54">
        <v>6</v>
      </c>
      <c r="B8" s="129">
        <f t="shared" ca="1" si="2"/>
        <v>7922</v>
      </c>
      <c r="C8" s="130">
        <f t="shared" ca="1" si="8"/>
        <v>2791</v>
      </c>
      <c r="D8" s="131">
        <f t="shared" ca="1" si="9"/>
        <v>2272</v>
      </c>
      <c r="E8" s="132"/>
      <c r="F8" s="133" t="str">
        <f t="shared" ca="1" si="3"/>
        <v>12000 - 14000</v>
      </c>
      <c r="G8" s="134">
        <f t="shared" ca="1" si="10"/>
        <v>12000</v>
      </c>
      <c r="H8" s="135">
        <f t="shared" ca="1" si="11"/>
        <v>14000</v>
      </c>
      <c r="I8" s="136">
        <f t="shared" ca="1" si="4"/>
        <v>60</v>
      </c>
      <c r="J8" s="136">
        <f t="shared" ca="1" si="12"/>
        <v>11</v>
      </c>
      <c r="K8" s="137">
        <f t="shared" ca="1" si="0"/>
        <v>0.14666666666666667</v>
      </c>
      <c r="L8" s="138">
        <f t="shared" ca="1" si="1"/>
        <v>0.8</v>
      </c>
      <c r="N8" s="153" t="s">
        <v>70</v>
      </c>
      <c r="O8" s="150">
        <f ca="1">O5/O2</f>
        <v>1.8739076429270223</v>
      </c>
      <c r="P8" s="156">
        <f ca="1">P5/P2</f>
        <v>1.8739076429270223</v>
      </c>
      <c r="Q8" s="156">
        <f ca="1">Q5/Q2</f>
        <v>1.8739076429270223</v>
      </c>
      <c r="T8" s="114" t="b">
        <f t="shared" ca="1" si="5"/>
        <v>1</v>
      </c>
      <c r="U8" s="114" t="b">
        <f t="shared" ca="1" si="6"/>
        <v>1</v>
      </c>
      <c r="AB8" s="105">
        <f t="shared" ca="1" si="7"/>
        <v>0.58940150167157379</v>
      </c>
      <c r="AC8" s="117">
        <v>6</v>
      </c>
      <c r="AD8" s="117">
        <v>6</v>
      </c>
      <c r="AE8" s="117">
        <f t="shared" ca="1" si="13"/>
        <v>199</v>
      </c>
      <c r="AF8" s="139">
        <f t="shared" ca="1" si="14"/>
        <v>11.418413339480388</v>
      </c>
      <c r="AG8" s="105">
        <f t="shared" ca="1" si="15"/>
        <v>2272</v>
      </c>
      <c r="AH8" s="105"/>
      <c r="AI8" s="106"/>
      <c r="AJ8" s="105"/>
      <c r="AK8" s="105"/>
    </row>
    <row r="9" spans="1:37" ht="17.25" thickBot="1" x14ac:dyDescent="0.35">
      <c r="A9" s="54">
        <v>7</v>
      </c>
      <c r="B9" s="129">
        <f t="shared" ca="1" si="2"/>
        <v>10205</v>
      </c>
      <c r="C9" s="130">
        <f t="shared" ca="1" si="8"/>
        <v>3067</v>
      </c>
      <c r="D9" s="131">
        <f t="shared" ca="1" si="9"/>
        <v>2791</v>
      </c>
      <c r="E9" s="132"/>
      <c r="F9" s="133" t="str">
        <f t="shared" ca="1" si="3"/>
        <v>14000 - 16000</v>
      </c>
      <c r="G9" s="134">
        <f t="shared" ca="1" si="10"/>
        <v>14000</v>
      </c>
      <c r="H9" s="135">
        <f t="shared" ca="1" si="11"/>
        <v>16000</v>
      </c>
      <c r="I9" s="136">
        <f t="shared" ca="1" si="4"/>
        <v>67</v>
      </c>
      <c r="J9" s="136">
        <f t="shared" ca="1" si="12"/>
        <v>7</v>
      </c>
      <c r="K9" s="137">
        <f t="shared" ca="1" si="0"/>
        <v>9.3333333333333338E-2</v>
      </c>
      <c r="L9" s="138">
        <f t="shared" ca="1" si="1"/>
        <v>0.89333333333333331</v>
      </c>
      <c r="N9" s="154" t="s">
        <v>18</v>
      </c>
      <c r="O9" s="151">
        <f ca="1">SKEW(B$3:B$77)</f>
        <v>0.14390792396324639</v>
      </c>
      <c r="P9" s="157">
        <f ca="1">SKEW(C$3:C$77)</f>
        <v>0.14390792396324595</v>
      </c>
      <c r="Q9" s="157">
        <f ca="1">SKEW(D$3:D$77)</f>
        <v>0.14390792396324584</v>
      </c>
      <c r="T9" s="114" t="b">
        <f ca="1">O9=P9</f>
        <v>1</v>
      </c>
      <c r="U9" s="114" t="b">
        <f t="shared" ca="1" si="6"/>
        <v>1</v>
      </c>
      <c r="AB9" s="105">
        <f t="shared" ca="1" si="7"/>
        <v>0.51517198030772737</v>
      </c>
      <c r="AC9" s="117">
        <v>8</v>
      </c>
      <c r="AD9" s="117">
        <v>7</v>
      </c>
      <c r="AE9" s="117">
        <f t="shared" ca="1" si="13"/>
        <v>213</v>
      </c>
      <c r="AF9" s="139">
        <f t="shared" ca="1" si="14"/>
        <v>13.102603205433907</v>
      </c>
      <c r="AG9" s="105">
        <f t="shared" ca="1" si="15"/>
        <v>2791</v>
      </c>
      <c r="AH9" s="105"/>
      <c r="AI9" s="106"/>
      <c r="AJ9" s="105"/>
      <c r="AK9" s="105"/>
    </row>
    <row r="10" spans="1:37" ht="16.5" x14ac:dyDescent="0.3">
      <c r="A10" s="54">
        <v>8</v>
      </c>
      <c r="B10" s="129">
        <f t="shared" ca="1" si="2"/>
        <v>2582</v>
      </c>
      <c r="C10" s="130">
        <f t="shared" ca="1" si="8"/>
        <v>2959</v>
      </c>
      <c r="D10" s="131">
        <f t="shared" ca="1" si="9"/>
        <v>3100</v>
      </c>
      <c r="E10" s="132"/>
      <c r="F10" s="133" t="str">
        <f t="shared" ca="1" si="3"/>
        <v>16000 - 18000</v>
      </c>
      <c r="G10" s="134">
        <f t="shared" ca="1" si="10"/>
        <v>16000</v>
      </c>
      <c r="H10" s="135">
        <f t="shared" ca="1" si="11"/>
        <v>18000</v>
      </c>
      <c r="I10" s="136">
        <f t="shared" ca="1" si="4"/>
        <v>72</v>
      </c>
      <c r="J10" s="136">
        <f t="shared" ca="1" si="12"/>
        <v>5</v>
      </c>
      <c r="K10" s="137">
        <f t="shared" ca="1" si="0"/>
        <v>6.6666666666666666E-2</v>
      </c>
      <c r="L10" s="138">
        <f t="shared" ca="1" si="1"/>
        <v>0.96</v>
      </c>
      <c r="AB10" s="105">
        <f t="shared" ca="1" si="7"/>
        <v>0.87132562653303713</v>
      </c>
      <c r="AC10" s="117">
        <v>7</v>
      </c>
      <c r="AD10" s="117">
        <v>8</v>
      </c>
      <c r="AE10" s="117">
        <f ca="1">INT($AH$1+$AI$1*AD10)</f>
        <v>227</v>
      </c>
      <c r="AF10" s="139">
        <f t="shared" ca="1" si="14"/>
        <v>13.657782787476261</v>
      </c>
      <c r="AG10" s="105">
        <f t="shared" ca="1" si="15"/>
        <v>3100</v>
      </c>
      <c r="AH10" s="105"/>
      <c r="AI10" s="106"/>
      <c r="AJ10" s="105"/>
      <c r="AK10" s="105"/>
    </row>
    <row r="11" spans="1:37" ht="16.5" x14ac:dyDescent="0.3">
      <c r="A11" s="54">
        <v>9</v>
      </c>
      <c r="B11" s="129">
        <f t="shared" ca="1" si="2"/>
        <v>7292</v>
      </c>
      <c r="C11" s="130">
        <f t="shared" ca="1" si="8"/>
        <v>4091</v>
      </c>
      <c r="D11" s="131">
        <f t="shared" ca="1" si="9"/>
        <v>3660</v>
      </c>
      <c r="E11" s="132"/>
      <c r="F11" s="133" t="str">
        <f t="shared" ca="1" si="3"/>
        <v>18000 - 20000</v>
      </c>
      <c r="G11" s="134">
        <f t="shared" ca="1" si="10"/>
        <v>18000</v>
      </c>
      <c r="H11" s="135">
        <f t="shared" ca="1" si="11"/>
        <v>20000</v>
      </c>
      <c r="I11" s="136">
        <f t="shared" ca="1" si="4"/>
        <v>75</v>
      </c>
      <c r="J11" s="136">
        <f t="shared" ca="1" si="12"/>
        <v>3</v>
      </c>
      <c r="K11" s="137">
        <f t="shared" ca="1" si="0"/>
        <v>0.04</v>
      </c>
      <c r="L11" s="138">
        <f t="shared" ca="1" si="1"/>
        <v>1</v>
      </c>
      <c r="AB11" s="105">
        <f t="shared" ca="1" si="7"/>
        <v>0.56657718140887281</v>
      </c>
      <c r="AC11" s="117">
        <v>12</v>
      </c>
      <c r="AD11" s="117">
        <v>9</v>
      </c>
      <c r="AE11" s="117">
        <f t="shared" ca="1" si="13"/>
        <v>241</v>
      </c>
      <c r="AF11" s="139">
        <f t="shared" ca="1" si="14"/>
        <v>15.187566855730774</v>
      </c>
      <c r="AG11" s="105">
        <f t="shared" ca="1" si="15"/>
        <v>3660</v>
      </c>
      <c r="AH11" s="105"/>
      <c r="AI11" s="106"/>
      <c r="AJ11" s="105"/>
      <c r="AK11" s="105"/>
    </row>
    <row r="12" spans="1:37" ht="16.5" x14ac:dyDescent="0.3">
      <c r="A12" s="54">
        <v>10</v>
      </c>
      <c r="B12" s="129">
        <f t="shared" ca="1" si="2"/>
        <v>19393</v>
      </c>
      <c r="C12" s="130">
        <f t="shared" ca="1" si="8"/>
        <v>3100</v>
      </c>
      <c r="D12" s="131">
        <f t="shared" ca="1" si="9"/>
        <v>4091</v>
      </c>
      <c r="E12" s="132"/>
      <c r="F12" s="133" t="str">
        <f t="shared" ca="1" si="3"/>
        <v>20000 - 22000</v>
      </c>
      <c r="G12" s="134">
        <f t="shared" ca="1" si="10"/>
        <v>20000</v>
      </c>
      <c r="H12" s="135">
        <f t="shared" ca="1" si="11"/>
        <v>22000</v>
      </c>
      <c r="I12" s="136">
        <f t="shared" ca="1" si="4"/>
        <v>75</v>
      </c>
      <c r="J12" s="136">
        <f t="shared" ca="1" si="12"/>
        <v>0</v>
      </c>
      <c r="K12" s="137">
        <f t="shared" ca="1" si="0"/>
        <v>0</v>
      </c>
      <c r="L12" s="138">
        <f t="shared" ca="1" si="1"/>
        <v>1</v>
      </c>
      <c r="AB12" s="105">
        <f t="shared" ca="1" si="7"/>
        <v>3.1130413138063084E-2</v>
      </c>
      <c r="AC12" s="117">
        <v>9</v>
      </c>
      <c r="AD12" s="117">
        <v>10</v>
      </c>
      <c r="AE12" s="117">
        <f t="shared" ca="1" si="13"/>
        <v>255</v>
      </c>
      <c r="AF12" s="139">
        <f t="shared" ca="1" si="14"/>
        <v>16.044522490158897</v>
      </c>
      <c r="AG12" s="105">
        <f t="shared" ca="1" si="15"/>
        <v>4091</v>
      </c>
      <c r="AH12" s="105"/>
      <c r="AI12" s="106"/>
      <c r="AJ12" s="105"/>
      <c r="AK12" s="105"/>
    </row>
    <row r="13" spans="1:37" ht="16.5" x14ac:dyDescent="0.3">
      <c r="A13" s="54">
        <v>11</v>
      </c>
      <c r="B13" s="129">
        <f t="shared" ca="1" si="2"/>
        <v>4383</v>
      </c>
      <c r="C13" s="130">
        <f t="shared" ca="1" si="8"/>
        <v>3660</v>
      </c>
      <c r="D13" s="131">
        <f t="shared" ca="1" si="9"/>
        <v>2959</v>
      </c>
      <c r="E13" s="132"/>
      <c r="F13" s="133" t="str">
        <f t="shared" ca="1" si="3"/>
        <v>22000 - 24000</v>
      </c>
      <c r="G13" s="134">
        <f t="shared" ca="1" si="10"/>
        <v>22000</v>
      </c>
      <c r="H13" s="135">
        <f t="shared" ca="1" si="11"/>
        <v>24000</v>
      </c>
      <c r="I13" s="136">
        <f t="shared" ca="1" si="4"/>
        <v>75</v>
      </c>
      <c r="J13" s="136">
        <f t="shared" ca="1" si="12"/>
        <v>0</v>
      </c>
      <c r="K13" s="137">
        <f t="shared" ca="1" si="0"/>
        <v>0</v>
      </c>
      <c r="L13" s="138">
        <f t="shared" ca="1" si="1"/>
        <v>1</v>
      </c>
      <c r="AB13" s="105">
        <f t="shared" ca="1" si="7"/>
        <v>0.70895305314406654</v>
      </c>
      <c r="AC13" s="117">
        <v>10</v>
      </c>
      <c r="AD13" s="117">
        <v>11</v>
      </c>
      <c r="AE13" s="117">
        <f t="shared" ca="1" si="13"/>
        <v>269</v>
      </c>
      <c r="AF13" s="139">
        <f t="shared" ca="1" si="14"/>
        <v>10.998997726479043</v>
      </c>
      <c r="AG13" s="105">
        <f t="shared" ca="1" si="15"/>
        <v>2959</v>
      </c>
      <c r="AH13" s="105"/>
      <c r="AI13" s="106"/>
      <c r="AJ13" s="105"/>
      <c r="AK13" s="105"/>
    </row>
    <row r="14" spans="1:37" ht="17.25" thickBot="1" x14ac:dyDescent="0.35">
      <c r="A14" s="54">
        <v>12</v>
      </c>
      <c r="B14" s="129">
        <f t="shared" ca="1" si="2"/>
        <v>15589</v>
      </c>
      <c r="C14" s="130">
        <f t="shared" ca="1" si="8"/>
        <v>3946</v>
      </c>
      <c r="D14" s="131">
        <f t="shared" ca="1" si="9"/>
        <v>3946</v>
      </c>
      <c r="E14" s="132"/>
      <c r="F14" s="140" t="str">
        <f t="shared" ca="1" si="3"/>
        <v>24000 - 26000</v>
      </c>
      <c r="G14" s="141">
        <f ca="1">H13</f>
        <v>24000</v>
      </c>
      <c r="H14" s="142">
        <f t="shared" ca="1" si="11"/>
        <v>26000</v>
      </c>
      <c r="I14" s="143">
        <f t="shared" ca="1" si="4"/>
        <v>75</v>
      </c>
      <c r="J14" s="143">
        <f t="shared" ca="1" si="12"/>
        <v>0</v>
      </c>
      <c r="K14" s="144">
        <f t="shared" ca="1" si="0"/>
        <v>0</v>
      </c>
      <c r="L14" s="145">
        <f t="shared" ca="1" si="1"/>
        <v>1</v>
      </c>
      <c r="AB14" s="105">
        <f t="shared" ca="1" si="7"/>
        <v>0.29889624546494709</v>
      </c>
      <c r="AC14" s="117">
        <v>11</v>
      </c>
      <c r="AD14" s="117">
        <v>12</v>
      </c>
      <c r="AE14" s="117">
        <f t="shared" ca="1" si="13"/>
        <v>283</v>
      </c>
      <c r="AF14" s="139">
        <f t="shared" ca="1" si="14"/>
        <v>13.941767163652896</v>
      </c>
      <c r="AG14" s="105">
        <f t="shared" ca="1" si="15"/>
        <v>3946</v>
      </c>
      <c r="AH14" s="105"/>
      <c r="AI14" s="106"/>
      <c r="AJ14" s="105"/>
      <c r="AK14" s="105"/>
    </row>
    <row r="15" spans="1:37" ht="16.5" x14ac:dyDescent="0.3">
      <c r="A15" s="54">
        <v>13</v>
      </c>
      <c r="B15" s="129">
        <f t="shared" ca="1" si="2"/>
        <v>11821</v>
      </c>
      <c r="C15" s="130">
        <f t="shared" ca="1" si="8"/>
        <v>4383</v>
      </c>
      <c r="D15" s="131">
        <f t="shared" ca="1" si="9"/>
        <v>4960</v>
      </c>
      <c r="E15" s="132"/>
      <c r="F15" s="146"/>
      <c r="G15" s="136"/>
      <c r="H15" s="136"/>
      <c r="I15" s="136"/>
      <c r="J15" s="136">
        <f ca="1">SUM(J2:J14)</f>
        <v>75</v>
      </c>
      <c r="K15" s="137">
        <f ca="1">SUM(K2:K14)</f>
        <v>1</v>
      </c>
      <c r="L15" s="137"/>
      <c r="AB15" s="105">
        <f t="shared" ca="1" si="7"/>
        <v>0.27532308570678454</v>
      </c>
      <c r="AC15" s="117">
        <v>14</v>
      </c>
      <c r="AD15" s="117">
        <v>13</v>
      </c>
      <c r="AE15" s="117">
        <f t="shared" ca="1" si="13"/>
        <v>297</v>
      </c>
      <c r="AF15" s="139">
        <f t="shared" ca="1" si="14"/>
        <v>16.700556483890971</v>
      </c>
      <c r="AG15" s="105">
        <f t="shared" ca="1" si="15"/>
        <v>4960</v>
      </c>
      <c r="AH15" s="105"/>
      <c r="AI15" s="106"/>
      <c r="AJ15" s="105"/>
      <c r="AK15" s="105"/>
    </row>
    <row r="16" spans="1:37" ht="16.5" x14ac:dyDescent="0.3">
      <c r="A16" s="54">
        <v>14</v>
      </c>
      <c r="B16" s="129">
        <f t="shared" ca="1" si="2"/>
        <v>5303</v>
      </c>
      <c r="C16" s="130">
        <f t="shared" ca="1" si="8"/>
        <v>5245</v>
      </c>
      <c r="D16" s="131">
        <f t="shared" ca="1" si="9"/>
        <v>5245</v>
      </c>
      <c r="E16" s="132"/>
      <c r="F16" s="147"/>
      <c r="G16" s="147"/>
      <c r="H16" s="147"/>
      <c r="I16" s="147"/>
      <c r="L16" s="147"/>
      <c r="AB16" s="105">
        <f t="shared" ca="1" si="7"/>
        <v>0.69996053391907465</v>
      </c>
      <c r="AC16" s="117">
        <v>16</v>
      </c>
      <c r="AD16" s="117">
        <v>14</v>
      </c>
      <c r="AE16" s="117">
        <f t="shared" ca="1" si="13"/>
        <v>311</v>
      </c>
      <c r="AF16" s="139">
        <f t="shared" ca="1" si="14"/>
        <v>16.86369813303174</v>
      </c>
      <c r="AG16" s="105">
        <f t="shared" ca="1" si="15"/>
        <v>5245</v>
      </c>
      <c r="AH16" s="105"/>
      <c r="AI16" s="106"/>
      <c r="AJ16" s="105"/>
      <c r="AK16" s="105"/>
    </row>
    <row r="17" spans="1:37" ht="16.5" x14ac:dyDescent="0.3">
      <c r="A17" s="54">
        <v>15</v>
      </c>
      <c r="B17" s="129">
        <f t="shared" ca="1" si="2"/>
        <v>8112</v>
      </c>
      <c r="C17" s="130">
        <f t="shared" ca="1" si="8"/>
        <v>5403</v>
      </c>
      <c r="D17" s="131">
        <f t="shared" ca="1" si="9"/>
        <v>5797</v>
      </c>
      <c r="E17" s="132"/>
      <c r="J17" s="148"/>
      <c r="K17" s="148"/>
      <c r="AB17" s="105">
        <f t="shared" ca="1" si="7"/>
        <v>0.59177018457633923</v>
      </c>
      <c r="AC17" s="117">
        <v>18</v>
      </c>
      <c r="AD17" s="117">
        <v>15</v>
      </c>
      <c r="AE17" s="117">
        <f t="shared" ca="1" si="13"/>
        <v>325</v>
      </c>
      <c r="AF17" s="139">
        <f t="shared" ca="1" si="14"/>
        <v>17.836986197383951</v>
      </c>
      <c r="AG17" s="105">
        <f t="shared" ca="1" si="15"/>
        <v>5797</v>
      </c>
      <c r="AH17" s="105"/>
      <c r="AI17" s="106"/>
      <c r="AJ17" s="105"/>
      <c r="AK17" s="105"/>
    </row>
    <row r="18" spans="1:37" ht="16.5" x14ac:dyDescent="0.3">
      <c r="A18" s="54">
        <v>16</v>
      </c>
      <c r="B18" s="129">
        <f t="shared" ca="1" si="2"/>
        <v>18621</v>
      </c>
      <c r="C18" s="130">
        <f t="shared" ca="1" si="8"/>
        <v>4219</v>
      </c>
      <c r="D18" s="131">
        <f t="shared" ca="1" si="9"/>
        <v>4219</v>
      </c>
      <c r="E18" s="132"/>
      <c r="AB18" s="105">
        <f t="shared" ca="1" si="7"/>
        <v>0.1019957190762113</v>
      </c>
      <c r="AC18" s="117">
        <v>13</v>
      </c>
      <c r="AD18" s="117">
        <v>16</v>
      </c>
      <c r="AE18" s="117">
        <f t="shared" ca="1" si="13"/>
        <v>339</v>
      </c>
      <c r="AF18" s="139">
        <f t="shared" ca="1" si="14"/>
        <v>12.44514080128179</v>
      </c>
      <c r="AG18" s="105">
        <f t="shared" ca="1" si="15"/>
        <v>4219</v>
      </c>
      <c r="AH18" s="105"/>
      <c r="AI18" s="106"/>
      <c r="AJ18" s="105"/>
      <c r="AK18" s="105"/>
    </row>
    <row r="19" spans="1:37" ht="16.5" x14ac:dyDescent="0.3">
      <c r="A19" s="54">
        <v>17</v>
      </c>
      <c r="B19" s="129">
        <f t="shared" ca="1" si="2"/>
        <v>7743</v>
      </c>
      <c r="C19" s="130">
        <f t="shared" ca="1" si="8"/>
        <v>5303</v>
      </c>
      <c r="D19" s="131">
        <f t="shared" ca="1" si="9"/>
        <v>4383</v>
      </c>
      <c r="E19" s="132"/>
      <c r="AB19" s="105">
        <f t="shared" ca="1" si="7"/>
        <v>0.60021810478931636</v>
      </c>
      <c r="AC19" s="117">
        <v>17</v>
      </c>
      <c r="AD19" s="117">
        <v>17</v>
      </c>
      <c r="AE19" s="117">
        <f t="shared" ca="1" si="13"/>
        <v>353</v>
      </c>
      <c r="AF19" s="139">
        <f t="shared" ca="1" si="14"/>
        <v>12.416529291481284</v>
      </c>
      <c r="AG19" s="105">
        <f t="shared" ca="1" si="15"/>
        <v>4383</v>
      </c>
      <c r="AH19" s="105"/>
      <c r="AI19" s="106"/>
      <c r="AJ19" s="105"/>
      <c r="AK19" s="105"/>
    </row>
    <row r="20" spans="1:37" ht="16.5" x14ac:dyDescent="0.3">
      <c r="A20" s="54">
        <v>18</v>
      </c>
      <c r="B20" s="129">
        <f t="shared" ca="1" si="2"/>
        <v>9995</v>
      </c>
      <c r="C20" s="130">
        <f t="shared" ca="1" si="8"/>
        <v>4960</v>
      </c>
      <c r="D20" s="131">
        <f t="shared" ca="1" si="9"/>
        <v>5303</v>
      </c>
      <c r="E20" s="132"/>
      <c r="AB20" s="105">
        <f t="shared" ca="1" si="7"/>
        <v>0.50949523205082603</v>
      </c>
      <c r="AC20" s="117">
        <v>15</v>
      </c>
      <c r="AD20" s="117">
        <v>18</v>
      </c>
      <c r="AE20" s="117">
        <f t="shared" ca="1" si="13"/>
        <v>367</v>
      </c>
      <c r="AF20" s="139">
        <f t="shared" ca="1" si="14"/>
        <v>14.449700160234149</v>
      </c>
      <c r="AG20" s="105">
        <f t="shared" ca="1" si="15"/>
        <v>5303</v>
      </c>
      <c r="AH20" s="105"/>
      <c r="AI20" s="106"/>
      <c r="AJ20" s="105"/>
      <c r="AK20" s="105"/>
    </row>
    <row r="21" spans="1:37" ht="16.5" x14ac:dyDescent="0.3">
      <c r="A21" s="54">
        <v>19</v>
      </c>
      <c r="B21" s="129">
        <f t="shared" ca="1" si="2"/>
        <v>10931</v>
      </c>
      <c r="C21" s="130">
        <f t="shared" ca="1" si="8"/>
        <v>5617</v>
      </c>
      <c r="D21" s="131">
        <f t="shared" ca="1" si="9"/>
        <v>6020</v>
      </c>
      <c r="E21" s="132"/>
      <c r="AB21" s="105">
        <f t="shared" ca="1" si="7"/>
        <v>0.4607068788048968</v>
      </c>
      <c r="AC21" s="117">
        <v>19</v>
      </c>
      <c r="AD21" s="117">
        <v>19</v>
      </c>
      <c r="AE21" s="117">
        <f t="shared" ca="1" si="13"/>
        <v>381</v>
      </c>
      <c r="AF21" s="139">
        <f t="shared" ca="1" si="14"/>
        <v>15.800000999305889</v>
      </c>
      <c r="AG21" s="105">
        <f t="shared" ca="1" si="15"/>
        <v>6020</v>
      </c>
      <c r="AH21" s="105"/>
      <c r="AI21" s="106"/>
      <c r="AJ21" s="105"/>
      <c r="AK21" s="105"/>
    </row>
    <row r="22" spans="1:37" ht="16.5" x14ac:dyDescent="0.3">
      <c r="A22" s="54">
        <v>20</v>
      </c>
      <c r="B22" s="129">
        <f t="shared" ca="1" si="2"/>
        <v>13780</v>
      </c>
      <c r="C22" s="130">
        <f t="shared" ca="1" si="8"/>
        <v>5797</v>
      </c>
      <c r="D22" s="131">
        <f t="shared" ca="1" si="9"/>
        <v>6357</v>
      </c>
      <c r="E22" s="132"/>
      <c r="AB22" s="105">
        <f t="shared" ca="1" si="7"/>
        <v>0.30870263934795872</v>
      </c>
      <c r="AC22" s="117">
        <v>20</v>
      </c>
      <c r="AD22" s="117">
        <v>20</v>
      </c>
      <c r="AE22" s="117">
        <f t="shared" ca="1" si="13"/>
        <v>395</v>
      </c>
      <c r="AF22" s="139">
        <f t="shared" ca="1" si="14"/>
        <v>16.094549865451818</v>
      </c>
      <c r="AG22" s="105">
        <f t="shared" ca="1" si="15"/>
        <v>6357</v>
      </c>
      <c r="AH22" s="105"/>
      <c r="AI22" s="106"/>
      <c r="AJ22" s="105"/>
      <c r="AK22" s="105"/>
    </row>
    <row r="23" spans="1:37" ht="16.5" x14ac:dyDescent="0.3">
      <c r="A23" s="54">
        <v>21</v>
      </c>
      <c r="B23" s="129">
        <f t="shared" ca="1" si="2"/>
        <v>15493</v>
      </c>
      <c r="C23" s="130">
        <f t="shared" ca="1" si="8"/>
        <v>6589</v>
      </c>
      <c r="D23" s="131">
        <f t="shared" ca="1" si="9"/>
        <v>5403</v>
      </c>
      <c r="E23" s="132"/>
      <c r="AB23" s="105">
        <f t="shared" ca="1" si="7"/>
        <v>0.2616888084799599</v>
      </c>
      <c r="AC23" s="117">
        <v>24</v>
      </c>
      <c r="AD23" s="117">
        <v>21</v>
      </c>
      <c r="AE23" s="117">
        <f t="shared" ca="1" si="13"/>
        <v>409</v>
      </c>
      <c r="AF23" s="139">
        <f t="shared" ca="1" si="14"/>
        <v>13.210938780133606</v>
      </c>
      <c r="AG23" s="105">
        <f t="shared" ca="1" si="15"/>
        <v>5403</v>
      </c>
      <c r="AH23" s="105"/>
      <c r="AI23" s="106"/>
      <c r="AJ23" s="105"/>
      <c r="AK23" s="105"/>
    </row>
    <row r="24" spans="1:37" ht="16.5" x14ac:dyDescent="0.3">
      <c r="A24" s="54">
        <v>22</v>
      </c>
      <c r="B24" s="129">
        <f t="shared" ca="1" si="2"/>
        <v>2209</v>
      </c>
      <c r="C24" s="130">
        <f t="shared" ca="1" si="8"/>
        <v>6020</v>
      </c>
      <c r="D24" s="131">
        <f t="shared" ca="1" si="9"/>
        <v>5617</v>
      </c>
      <c r="E24" s="132"/>
      <c r="AB24" s="105">
        <f t="shared" ca="1" si="7"/>
        <v>0.89588465525099337</v>
      </c>
      <c r="AC24" s="117">
        <v>22</v>
      </c>
      <c r="AD24" s="117">
        <v>22</v>
      </c>
      <c r="AE24" s="117">
        <f t="shared" ca="1" si="13"/>
        <v>423</v>
      </c>
      <c r="AF24" s="139">
        <f t="shared" ca="1" si="14"/>
        <v>13.279544635925646</v>
      </c>
      <c r="AG24" s="105">
        <f t="shared" ca="1" si="15"/>
        <v>5617</v>
      </c>
      <c r="AH24" s="105"/>
      <c r="AI24" s="106"/>
      <c r="AJ24" s="105"/>
      <c r="AK24" s="105"/>
    </row>
    <row r="25" spans="1:37" ht="16.5" x14ac:dyDescent="0.3">
      <c r="A25" s="54">
        <v>23</v>
      </c>
      <c r="B25" s="129">
        <f t="shared" ca="1" si="2"/>
        <v>5245</v>
      </c>
      <c r="C25" s="130">
        <f t="shared" ca="1" si="8"/>
        <v>6357</v>
      </c>
      <c r="D25" s="131">
        <f t="shared" ca="1" si="9"/>
        <v>7743</v>
      </c>
      <c r="E25" s="132"/>
      <c r="AB25" s="105">
        <f t="shared" ca="1" si="7"/>
        <v>0.7238586851001344</v>
      </c>
      <c r="AC25" s="117">
        <v>23</v>
      </c>
      <c r="AD25" s="117">
        <v>23</v>
      </c>
      <c r="AE25" s="117">
        <f t="shared" ca="1" si="13"/>
        <v>437</v>
      </c>
      <c r="AF25" s="139">
        <f t="shared" ca="1" si="14"/>
        <v>17.718136430277646</v>
      </c>
      <c r="AG25" s="105">
        <f t="shared" ca="1" si="15"/>
        <v>7743</v>
      </c>
      <c r="AH25" s="105"/>
      <c r="AI25" s="106"/>
      <c r="AJ25" s="105"/>
      <c r="AK25" s="105"/>
    </row>
    <row r="26" spans="1:37" ht="16.5" x14ac:dyDescent="0.3">
      <c r="A26" s="54">
        <v>24</v>
      </c>
      <c r="B26" s="129">
        <f t="shared" ca="1" si="2"/>
        <v>10542</v>
      </c>
      <c r="C26" s="130">
        <f t="shared" ca="1" si="8"/>
        <v>7111</v>
      </c>
      <c r="D26" s="131">
        <f t="shared" ca="1" si="9"/>
        <v>8112</v>
      </c>
      <c r="E26" s="132"/>
      <c r="AB26" s="105">
        <f t="shared" ca="1" si="7"/>
        <v>0.47142177633948767</v>
      </c>
      <c r="AC26" s="117">
        <v>25</v>
      </c>
      <c r="AD26" s="117">
        <v>24</v>
      </c>
      <c r="AE26" s="117">
        <f t="shared" ca="1" si="13"/>
        <v>451</v>
      </c>
      <c r="AF26" s="139">
        <f t="shared" ca="1" si="14"/>
        <v>17.986702523506324</v>
      </c>
      <c r="AG26" s="105">
        <f t="shared" ca="1" si="15"/>
        <v>8112</v>
      </c>
      <c r="AH26" s="105"/>
      <c r="AI26" s="106"/>
      <c r="AJ26" s="105"/>
      <c r="AK26" s="105"/>
    </row>
    <row r="27" spans="1:37" ht="16.5" x14ac:dyDescent="0.3">
      <c r="A27" s="54">
        <v>25</v>
      </c>
      <c r="B27" s="129">
        <f t="shared" ca="1" si="2"/>
        <v>16177</v>
      </c>
      <c r="C27" s="130">
        <f t="shared" ca="1" si="8"/>
        <v>5846</v>
      </c>
      <c r="D27" s="131">
        <f t="shared" ca="1" si="9"/>
        <v>7922</v>
      </c>
      <c r="E27" s="161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05">
        <f t="shared" ca="1" si="7"/>
        <v>8.4775307947756673E-2</v>
      </c>
      <c r="AC27" s="117">
        <v>21</v>
      </c>
      <c r="AD27" s="117">
        <v>25</v>
      </c>
      <c r="AE27" s="117">
        <f t="shared" ca="1" si="13"/>
        <v>465</v>
      </c>
      <c r="AF27" s="139">
        <f t="shared" ca="1" si="14"/>
        <v>17.035702070946581</v>
      </c>
      <c r="AG27" s="105">
        <f t="shared" ca="1" si="15"/>
        <v>7922</v>
      </c>
      <c r="AH27" s="105"/>
      <c r="AI27" s="106"/>
      <c r="AJ27" s="105"/>
      <c r="AK27" s="105"/>
    </row>
    <row r="28" spans="1:37" ht="16.5" x14ac:dyDescent="0.3">
      <c r="A28" s="54">
        <v>26</v>
      </c>
      <c r="B28" s="129">
        <f t="shared" ca="1" si="2"/>
        <v>15380</v>
      </c>
      <c r="C28" s="130">
        <f t="shared" ca="1" si="8"/>
        <v>7743</v>
      </c>
      <c r="D28" s="131">
        <f t="shared" ca="1" si="9"/>
        <v>5846</v>
      </c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05">
        <f t="shared" ca="1" si="7"/>
        <v>8.8157730383071509E-2</v>
      </c>
      <c r="AC28" s="117">
        <v>27</v>
      </c>
      <c r="AD28" s="117">
        <v>26</v>
      </c>
      <c r="AE28" s="117">
        <f t="shared" ca="1" si="13"/>
        <v>479</v>
      </c>
      <c r="AF28" s="139">
        <f t="shared" ca="1" si="14"/>
        <v>12.204516149660318</v>
      </c>
      <c r="AG28" s="105">
        <f t="shared" ca="1" si="15"/>
        <v>5846</v>
      </c>
      <c r="AH28" s="105"/>
      <c r="AI28" s="106"/>
      <c r="AJ28" s="105"/>
      <c r="AK28" s="105"/>
    </row>
    <row r="29" spans="1:37" ht="16.5" x14ac:dyDescent="0.3">
      <c r="A29" s="54">
        <v>27</v>
      </c>
      <c r="B29" s="129">
        <f t="shared" ca="1" si="2"/>
        <v>8654</v>
      </c>
      <c r="C29" s="130">
        <f t="shared" ca="1" si="8"/>
        <v>7292</v>
      </c>
      <c r="D29" s="131">
        <f t="shared" ca="1" si="9"/>
        <v>7111</v>
      </c>
      <c r="E29" s="161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05">
        <f t="shared" ca="1" si="7"/>
        <v>0.56047647347057683</v>
      </c>
      <c r="AC29" s="117">
        <v>26</v>
      </c>
      <c r="AD29" s="117">
        <v>27</v>
      </c>
      <c r="AE29" s="117">
        <f t="shared" ca="1" si="13"/>
        <v>493</v>
      </c>
      <c r="AF29" s="139">
        <f t="shared" ca="1" si="14"/>
        <v>14.424341315969718</v>
      </c>
      <c r="AG29" s="105">
        <f t="shared" ca="1" si="15"/>
        <v>7111</v>
      </c>
      <c r="AH29" s="105"/>
      <c r="AI29" s="106"/>
      <c r="AJ29" s="105"/>
      <c r="AK29" s="105"/>
    </row>
    <row r="30" spans="1:37" ht="16.5" x14ac:dyDescent="0.3">
      <c r="A30" s="54">
        <v>28</v>
      </c>
      <c r="B30" s="129">
        <f t="shared" ca="1" si="2"/>
        <v>4219</v>
      </c>
      <c r="C30" s="130">
        <f t="shared" ca="1" si="8"/>
        <v>8516</v>
      </c>
      <c r="D30" s="131">
        <f t="shared" ca="1" si="9"/>
        <v>6589</v>
      </c>
      <c r="E30" s="161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05">
        <f t="shared" ca="1" si="7"/>
        <v>0.71901273910712571</v>
      </c>
      <c r="AC30" s="117">
        <v>33</v>
      </c>
      <c r="AD30" s="117">
        <v>28</v>
      </c>
      <c r="AE30" s="117">
        <f t="shared" ca="1" si="13"/>
        <v>507</v>
      </c>
      <c r="AF30" s="139">
        <f t="shared" ca="1" si="14"/>
        <v>12.995557002622913</v>
      </c>
      <c r="AG30" s="105">
        <f t="shared" ca="1" si="15"/>
        <v>6589</v>
      </c>
      <c r="AH30" s="105"/>
      <c r="AI30" s="106"/>
      <c r="AJ30" s="105"/>
      <c r="AK30" s="105"/>
    </row>
    <row r="31" spans="1:37" ht="16.5" x14ac:dyDescent="0.3">
      <c r="A31" s="54">
        <v>29</v>
      </c>
      <c r="B31" s="129">
        <f t="shared" ca="1" si="2"/>
        <v>3067</v>
      </c>
      <c r="C31" s="130">
        <f t="shared" ca="1" si="8"/>
        <v>8620</v>
      </c>
      <c r="D31" s="131">
        <f t="shared" ca="1" si="9"/>
        <v>7292</v>
      </c>
      <c r="E31" s="161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05">
        <f t="shared" ca="1" si="7"/>
        <v>0.86997420763624189</v>
      </c>
      <c r="AC31" s="117">
        <v>34</v>
      </c>
      <c r="AD31" s="117">
        <v>29</v>
      </c>
      <c r="AE31" s="117">
        <f t="shared" ca="1" si="13"/>
        <v>521</v>
      </c>
      <c r="AF31" s="139">
        <f t="shared" ca="1" si="14"/>
        <v>13.995965424010745</v>
      </c>
      <c r="AG31" s="105">
        <f t="shared" ca="1" si="15"/>
        <v>7292</v>
      </c>
      <c r="AH31" s="105"/>
      <c r="AI31" s="106"/>
      <c r="AJ31" s="105"/>
      <c r="AK31" s="105"/>
    </row>
    <row r="32" spans="1:37" ht="16.5" x14ac:dyDescent="0.3">
      <c r="A32" s="54">
        <v>30</v>
      </c>
      <c r="B32" s="129">
        <f t="shared" ca="1" si="2"/>
        <v>11226</v>
      </c>
      <c r="C32" s="130">
        <f t="shared" ca="1" si="8"/>
        <v>7922</v>
      </c>
      <c r="D32" s="131">
        <f t="shared" ca="1" si="9"/>
        <v>8654</v>
      </c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05">
        <f t="shared" ca="1" si="7"/>
        <v>0.45463351214166592</v>
      </c>
      <c r="AC32" s="117">
        <v>28</v>
      </c>
      <c r="AD32" s="117">
        <v>30</v>
      </c>
      <c r="AE32" s="117">
        <f t="shared" ca="1" si="13"/>
        <v>535</v>
      </c>
      <c r="AF32" s="139">
        <f t="shared" ca="1" si="14"/>
        <v>16.174973067593875</v>
      </c>
      <c r="AG32" s="105">
        <f t="shared" ca="1" si="15"/>
        <v>8654</v>
      </c>
      <c r="AH32" s="105"/>
      <c r="AI32" s="106"/>
      <c r="AJ32" s="105"/>
      <c r="AK32" s="105"/>
    </row>
    <row r="33" spans="1:37" ht="16.5" x14ac:dyDescent="0.3">
      <c r="A33" s="54">
        <v>31</v>
      </c>
      <c r="B33" s="129">
        <f t="shared" ca="1" si="2"/>
        <v>8190</v>
      </c>
      <c r="C33" s="130">
        <f t="shared" ca="1" si="8"/>
        <v>8124</v>
      </c>
      <c r="D33" s="131">
        <f t="shared" ca="1" si="9"/>
        <v>8124</v>
      </c>
      <c r="E33" s="161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05">
        <f t="shared" ca="1" si="7"/>
        <v>0.47023833828914996</v>
      </c>
      <c r="AC33" s="117">
        <v>30</v>
      </c>
      <c r="AD33" s="117">
        <v>31</v>
      </c>
      <c r="AE33" s="117">
        <f t="shared" ca="1" si="13"/>
        <v>549</v>
      </c>
      <c r="AF33" s="139">
        <f t="shared" ca="1" si="14"/>
        <v>14.797611812786153</v>
      </c>
      <c r="AG33" s="105">
        <f t="shared" ca="1" si="15"/>
        <v>8124</v>
      </c>
      <c r="AH33" s="105"/>
      <c r="AI33" s="106"/>
      <c r="AJ33" s="105"/>
      <c r="AK33" s="105"/>
    </row>
    <row r="34" spans="1:37" ht="16.5" x14ac:dyDescent="0.3">
      <c r="A34" s="54">
        <v>32</v>
      </c>
      <c r="B34" s="129">
        <f t="shared" ca="1" si="2"/>
        <v>13266</v>
      </c>
      <c r="C34" s="130">
        <f t="shared" ca="1" si="8"/>
        <v>8112</v>
      </c>
      <c r="D34" s="131">
        <f t="shared" ca="1" si="9"/>
        <v>8835</v>
      </c>
      <c r="E34" s="161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05">
        <f t="shared" ca="1" si="7"/>
        <v>0.39291648160415549</v>
      </c>
      <c r="AC34" s="117">
        <v>29</v>
      </c>
      <c r="AD34" s="117">
        <v>32</v>
      </c>
      <c r="AE34" s="117">
        <f t="shared" ca="1" si="13"/>
        <v>563</v>
      </c>
      <c r="AF34" s="139">
        <f t="shared" ca="1" si="14"/>
        <v>15.691837140903999</v>
      </c>
      <c r="AG34" s="105">
        <f t="shared" ca="1" si="15"/>
        <v>8835</v>
      </c>
      <c r="AH34" s="105"/>
      <c r="AI34" s="106"/>
      <c r="AJ34" s="105"/>
      <c r="AK34" s="105"/>
    </row>
    <row r="35" spans="1:37" ht="16.5" x14ac:dyDescent="0.3">
      <c r="A35" s="54">
        <v>33</v>
      </c>
      <c r="B35" s="129">
        <f t="shared" ref="B35:B67" ca="1" si="16">INDEX($AG$3:$AG$77,RANK(AB35,$AB$3:$AB$77))</f>
        <v>3946</v>
      </c>
      <c r="C35" s="130">
        <f t="shared" ca="1" si="8"/>
        <v>8190</v>
      </c>
      <c r="D35" s="131">
        <f t="shared" ca="1" si="9"/>
        <v>8620</v>
      </c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05">
        <f t="shared" ca="1" si="7"/>
        <v>0.75046241437036587</v>
      </c>
      <c r="AC35" s="117">
        <v>31</v>
      </c>
      <c r="AD35" s="117">
        <v>33</v>
      </c>
      <c r="AE35" s="117">
        <f t="shared" ca="1" si="13"/>
        <v>577</v>
      </c>
      <c r="AF35" s="139">
        <f t="shared" ca="1" si="14"/>
        <v>14.939066640339753</v>
      </c>
      <c r="AG35" s="105">
        <f t="shared" ca="1" si="15"/>
        <v>8620</v>
      </c>
      <c r="AH35" s="105"/>
      <c r="AI35" s="106"/>
      <c r="AJ35" s="105"/>
      <c r="AK35" s="105"/>
    </row>
    <row r="36" spans="1:37" ht="16.5" x14ac:dyDescent="0.3">
      <c r="A36" s="54">
        <v>34</v>
      </c>
      <c r="B36" s="129">
        <f t="shared" ca="1" si="16"/>
        <v>8516</v>
      </c>
      <c r="C36" s="130">
        <f t="shared" ca="1" si="8"/>
        <v>8297</v>
      </c>
      <c r="D36" s="131">
        <f t="shared" ca="1" si="9"/>
        <v>10205</v>
      </c>
      <c r="E36" s="161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05">
        <f t="shared" ca="1" si="7"/>
        <v>0.44871034237164342</v>
      </c>
      <c r="AC36" s="117">
        <v>32</v>
      </c>
      <c r="AD36" s="117">
        <v>34</v>
      </c>
      <c r="AE36" s="117">
        <f t="shared" ca="1" si="13"/>
        <v>591</v>
      </c>
      <c r="AF36" s="139">
        <f t="shared" ca="1" si="14"/>
        <v>17.268155862714597</v>
      </c>
      <c r="AG36" s="105">
        <f t="shared" ca="1" si="15"/>
        <v>10205</v>
      </c>
      <c r="AH36" s="105"/>
      <c r="AI36" s="106"/>
      <c r="AJ36" s="105"/>
      <c r="AK36" s="105"/>
    </row>
    <row r="37" spans="1:37" ht="16.5" x14ac:dyDescent="0.3">
      <c r="A37" s="54">
        <v>35</v>
      </c>
      <c r="B37" s="129">
        <f t="shared" ca="1" si="16"/>
        <v>16819</v>
      </c>
      <c r="C37" s="130">
        <f t="shared" ca="1" si="8"/>
        <v>8654</v>
      </c>
      <c r="D37" s="131">
        <f t="shared" ca="1" si="9"/>
        <v>9995</v>
      </c>
      <c r="E37" s="161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05">
        <f t="shared" ca="1" si="7"/>
        <v>0.13966756745860132</v>
      </c>
      <c r="AC37" s="117">
        <v>35</v>
      </c>
      <c r="AD37" s="117">
        <v>35</v>
      </c>
      <c r="AE37" s="117">
        <f t="shared" ca="1" si="13"/>
        <v>605</v>
      </c>
      <c r="AF37" s="139">
        <f t="shared" ca="1" si="14"/>
        <v>16.521402470978444</v>
      </c>
      <c r="AG37" s="105">
        <f t="shared" ca="1" si="15"/>
        <v>9995</v>
      </c>
      <c r="AH37" s="105"/>
      <c r="AI37" s="106"/>
      <c r="AJ37" s="105"/>
      <c r="AK37" s="105"/>
    </row>
    <row r="38" spans="1:37" ht="16.5" x14ac:dyDescent="0.3">
      <c r="A38" s="54">
        <v>36</v>
      </c>
      <c r="B38" s="129">
        <f t="shared" ca="1" si="16"/>
        <v>12690</v>
      </c>
      <c r="C38" s="130">
        <f t="shared" ca="1" si="8"/>
        <v>9902</v>
      </c>
      <c r="D38" s="131">
        <f t="shared" ca="1" si="9"/>
        <v>8297</v>
      </c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05">
        <f t="shared" ca="1" si="7"/>
        <v>0.36661844778062336</v>
      </c>
      <c r="AC38" s="117">
        <v>39</v>
      </c>
      <c r="AD38" s="117">
        <v>36</v>
      </c>
      <c r="AE38" s="117">
        <f t="shared" ca="1" si="13"/>
        <v>619</v>
      </c>
      <c r="AF38" s="139">
        <f t="shared" ca="1" si="14"/>
        <v>13.403686272916207</v>
      </c>
      <c r="AG38" s="105">
        <f t="shared" ca="1" si="15"/>
        <v>8297</v>
      </c>
      <c r="AH38" s="105"/>
      <c r="AI38" s="106"/>
      <c r="AJ38" s="105"/>
      <c r="AK38" s="105"/>
    </row>
    <row r="39" spans="1:37" ht="16.5" x14ac:dyDescent="0.3">
      <c r="A39" s="54">
        <v>37</v>
      </c>
      <c r="B39" s="129">
        <f t="shared" ca="1" si="16"/>
        <v>14559</v>
      </c>
      <c r="C39" s="130">
        <f t="shared" ca="1" si="8"/>
        <v>8835</v>
      </c>
      <c r="D39" s="131">
        <f t="shared" ca="1" si="9"/>
        <v>9360</v>
      </c>
      <c r="E39" s="161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05">
        <f t="shared" ca="1" si="7"/>
        <v>0.27035289344891111</v>
      </c>
      <c r="AC39" s="117">
        <v>36</v>
      </c>
      <c r="AD39" s="117">
        <v>37</v>
      </c>
      <c r="AE39" s="117">
        <f t="shared" ca="1" si="13"/>
        <v>633</v>
      </c>
      <c r="AF39" s="139">
        <f t="shared" ca="1" si="14"/>
        <v>14.786563625514734</v>
      </c>
      <c r="AG39" s="105">
        <f t="shared" ca="1" si="15"/>
        <v>9360</v>
      </c>
      <c r="AH39" s="105"/>
      <c r="AI39" s="106"/>
      <c r="AJ39" s="105"/>
      <c r="AK39" s="105"/>
    </row>
    <row r="40" spans="1:37" ht="16.5" x14ac:dyDescent="0.3">
      <c r="A40" s="54">
        <v>38</v>
      </c>
      <c r="B40" s="129">
        <f t="shared" ca="1" si="16"/>
        <v>5846</v>
      </c>
      <c r="C40" s="130">
        <f t="shared" ca="1" si="8"/>
        <v>9075</v>
      </c>
      <c r="D40" s="131">
        <f t="shared" ca="1" si="9"/>
        <v>9902</v>
      </c>
      <c r="E40" s="161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05">
        <f t="shared" ca="1" si="7"/>
        <v>0.58157926697689943</v>
      </c>
      <c r="AC40" s="117">
        <v>37</v>
      </c>
      <c r="AD40" s="117">
        <v>38</v>
      </c>
      <c r="AE40" s="117">
        <f t="shared" ca="1" si="13"/>
        <v>647</v>
      </c>
      <c r="AF40" s="139">
        <f t="shared" ca="1" si="14"/>
        <v>15.30467716821587</v>
      </c>
      <c r="AG40" s="105">
        <f t="shared" ca="1" si="15"/>
        <v>9902</v>
      </c>
      <c r="AH40" s="105"/>
      <c r="AI40" s="106"/>
      <c r="AJ40" s="105"/>
      <c r="AK40" s="105"/>
    </row>
    <row r="41" spans="1:37" ht="16.5" x14ac:dyDescent="0.3">
      <c r="A41" s="54">
        <v>39</v>
      </c>
      <c r="B41" s="129">
        <f t="shared" ca="1" si="16"/>
        <v>16232</v>
      </c>
      <c r="C41" s="130">
        <f t="shared" ca="1" si="8"/>
        <v>9360</v>
      </c>
      <c r="D41" s="131">
        <f t="shared" ca="1" si="9"/>
        <v>9075</v>
      </c>
      <c r="E41" s="161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05">
        <f t="shared" ca="1" si="7"/>
        <v>6.6349810618673732E-2</v>
      </c>
      <c r="AC41" s="117">
        <v>38</v>
      </c>
      <c r="AD41" s="117">
        <v>39</v>
      </c>
      <c r="AE41" s="117">
        <f t="shared" ca="1" si="13"/>
        <v>661</v>
      </c>
      <c r="AF41" s="139">
        <f t="shared" ca="1" si="14"/>
        <v>13.728955885439484</v>
      </c>
      <c r="AG41" s="105">
        <f t="shared" ca="1" si="15"/>
        <v>9075</v>
      </c>
      <c r="AH41" s="105"/>
      <c r="AI41" s="106"/>
      <c r="AJ41" s="105"/>
      <c r="AK41" s="105"/>
    </row>
    <row r="42" spans="1:37" ht="16.5" x14ac:dyDescent="0.3">
      <c r="A42" s="54">
        <v>40</v>
      </c>
      <c r="B42" s="129">
        <f t="shared" ca="1" si="16"/>
        <v>5403</v>
      </c>
      <c r="C42" s="130">
        <f t="shared" ca="1" si="8"/>
        <v>10205</v>
      </c>
      <c r="D42" s="131">
        <f t="shared" ca="1" si="9"/>
        <v>10542</v>
      </c>
      <c r="E42" s="161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05">
        <f t="shared" ca="1" si="7"/>
        <v>0.65697625723092412</v>
      </c>
      <c r="AC42" s="117">
        <v>41</v>
      </c>
      <c r="AD42" s="117">
        <v>40</v>
      </c>
      <c r="AE42" s="117">
        <f t="shared" ca="1" si="13"/>
        <v>675</v>
      </c>
      <c r="AF42" s="139">
        <f t="shared" ca="1" si="14"/>
        <v>15.617801609837155</v>
      </c>
      <c r="AG42" s="105">
        <f t="shared" ca="1" si="15"/>
        <v>10542</v>
      </c>
      <c r="AH42" s="105"/>
      <c r="AI42" s="106"/>
      <c r="AJ42" s="105"/>
      <c r="AK42" s="105"/>
    </row>
    <row r="43" spans="1:37" ht="16.5" x14ac:dyDescent="0.3">
      <c r="A43" s="54">
        <v>41</v>
      </c>
      <c r="B43" s="129">
        <f t="shared" ca="1" si="16"/>
        <v>9360</v>
      </c>
      <c r="C43" s="130">
        <f t="shared" ca="1" si="8"/>
        <v>9995</v>
      </c>
      <c r="D43" s="131">
        <f t="shared" ca="1" si="9"/>
        <v>8190</v>
      </c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05">
        <f t="shared" ca="1" si="7"/>
        <v>0.49672695801942035</v>
      </c>
      <c r="AC43" s="117">
        <v>40</v>
      </c>
      <c r="AD43" s="117">
        <v>41</v>
      </c>
      <c r="AE43" s="117">
        <f t="shared" ca="1" si="13"/>
        <v>689</v>
      </c>
      <c r="AF43" s="139">
        <f t="shared" ca="1" si="14"/>
        <v>11.88699930098587</v>
      </c>
      <c r="AG43" s="105">
        <f t="shared" ca="1" si="15"/>
        <v>8190</v>
      </c>
      <c r="AH43" s="105"/>
      <c r="AI43" s="106"/>
      <c r="AJ43" s="105"/>
      <c r="AK43" s="105"/>
    </row>
    <row r="44" spans="1:37" ht="16.5" x14ac:dyDescent="0.3">
      <c r="A44" s="54">
        <v>42</v>
      </c>
      <c r="B44" s="129">
        <f t="shared" ca="1" si="16"/>
        <v>13301</v>
      </c>
      <c r="C44" s="130">
        <f t="shared" ca="1" si="8"/>
        <v>11226</v>
      </c>
      <c r="D44" s="131">
        <f t="shared" ca="1" si="9"/>
        <v>11079</v>
      </c>
      <c r="E44" s="16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05">
        <f t="shared" ca="1" si="7"/>
        <v>9.7424752844438633E-2</v>
      </c>
      <c r="AC44" s="117">
        <v>46</v>
      </c>
      <c r="AD44" s="117">
        <v>42</v>
      </c>
      <c r="AE44" s="117">
        <f t="shared" ca="1" si="13"/>
        <v>703</v>
      </c>
      <c r="AF44" s="139">
        <f t="shared" ca="1" si="14"/>
        <v>15.760073149237568</v>
      </c>
      <c r="AG44" s="105">
        <f t="shared" ca="1" si="15"/>
        <v>11079</v>
      </c>
      <c r="AH44" s="105"/>
      <c r="AI44" s="106"/>
      <c r="AJ44" s="105"/>
      <c r="AK44" s="105"/>
    </row>
    <row r="45" spans="1:37" ht="16.5" x14ac:dyDescent="0.3">
      <c r="A45" s="54">
        <v>43</v>
      </c>
      <c r="B45" s="129">
        <f t="shared" ca="1" si="16"/>
        <v>8835</v>
      </c>
      <c r="C45" s="130">
        <f t="shared" ca="1" si="8"/>
        <v>11079</v>
      </c>
      <c r="D45" s="131">
        <f t="shared" ca="1" si="9"/>
        <v>10931</v>
      </c>
      <c r="E45" s="16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05">
        <f t="shared" ca="1" si="7"/>
        <v>0.54670068013783601</v>
      </c>
      <c r="AC45" s="117">
        <v>44</v>
      </c>
      <c r="AD45" s="117">
        <v>43</v>
      </c>
      <c r="AE45" s="117">
        <f t="shared" ca="1" si="13"/>
        <v>717</v>
      </c>
      <c r="AF45" s="139">
        <f t="shared" ca="1" si="14"/>
        <v>15.245861152746052</v>
      </c>
      <c r="AG45" s="105">
        <f t="shared" ca="1" si="15"/>
        <v>10931</v>
      </c>
      <c r="AH45" s="105"/>
      <c r="AI45" s="106"/>
      <c r="AJ45" s="105"/>
      <c r="AK45" s="105"/>
    </row>
    <row r="46" spans="1:37" ht="16.5" x14ac:dyDescent="0.3">
      <c r="A46" s="54">
        <v>44</v>
      </c>
      <c r="B46" s="129">
        <f t="shared" ca="1" si="16"/>
        <v>8297</v>
      </c>
      <c r="C46" s="130">
        <f t="shared" ca="1" si="8"/>
        <v>11168</v>
      </c>
      <c r="D46" s="131">
        <f t="shared" ca="1" si="9"/>
        <v>11226</v>
      </c>
      <c r="E46" s="161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05">
        <f t="shared" ca="1" si="7"/>
        <v>0.50684153475949645</v>
      </c>
      <c r="AC46" s="114">
        <v>45</v>
      </c>
      <c r="AD46" s="117">
        <v>44</v>
      </c>
      <c r="AE46" s="117">
        <f t="shared" ca="1" si="13"/>
        <v>731</v>
      </c>
      <c r="AF46" s="139">
        <f t="shared" ca="1" si="14"/>
        <v>15.356564863396828</v>
      </c>
      <c r="AG46" s="105">
        <f t="shared" ca="1" si="15"/>
        <v>11226</v>
      </c>
      <c r="AH46" s="105"/>
      <c r="AI46" s="106"/>
      <c r="AJ46" s="105"/>
      <c r="AK46" s="105"/>
    </row>
    <row r="47" spans="1:37" ht="16.5" x14ac:dyDescent="0.3">
      <c r="A47" s="54">
        <v>45</v>
      </c>
      <c r="B47" s="129">
        <f t="shared" ca="1" si="16"/>
        <v>11079</v>
      </c>
      <c r="C47" s="130">
        <f t="shared" ca="1" si="8"/>
        <v>11255</v>
      </c>
      <c r="D47" s="131">
        <f t="shared" ca="1" si="9"/>
        <v>13392</v>
      </c>
      <c r="E47" s="161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05">
        <f t="shared" ca="1" si="7"/>
        <v>0.46182791701699921</v>
      </c>
      <c r="AC47" s="117">
        <v>47</v>
      </c>
      <c r="AD47" s="117">
        <v>45</v>
      </c>
      <c r="AE47" s="117">
        <f t="shared" ca="1" si="13"/>
        <v>745</v>
      </c>
      <c r="AF47" s="139">
        <f t="shared" ca="1" si="14"/>
        <v>17.976281274745691</v>
      </c>
      <c r="AG47" s="105">
        <f t="shared" ca="1" si="15"/>
        <v>13392</v>
      </c>
      <c r="AH47" s="105"/>
      <c r="AI47" s="106"/>
      <c r="AJ47" s="105"/>
      <c r="AK47" s="105"/>
    </row>
    <row r="48" spans="1:37" ht="16.5" x14ac:dyDescent="0.3">
      <c r="A48" s="54">
        <v>46</v>
      </c>
      <c r="B48" s="129">
        <f t="shared" ca="1" si="16"/>
        <v>2272</v>
      </c>
      <c r="C48" s="130">
        <f t="shared" ca="1" si="8"/>
        <v>11500</v>
      </c>
      <c r="D48" s="131">
        <f t="shared" ca="1" si="9"/>
        <v>8516</v>
      </c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05">
        <f t="shared" ca="1" si="7"/>
        <v>0.85262150963511374</v>
      </c>
      <c r="AC48" s="117">
        <v>48</v>
      </c>
      <c r="AD48" s="117">
        <v>46</v>
      </c>
      <c r="AE48" s="117">
        <f t="shared" ca="1" si="13"/>
        <v>759</v>
      </c>
      <c r="AF48" s="139">
        <f t="shared" ca="1" si="14"/>
        <v>11.220037934657199</v>
      </c>
      <c r="AG48" s="105">
        <f t="shared" ca="1" si="15"/>
        <v>8516</v>
      </c>
      <c r="AH48" s="105"/>
      <c r="AI48" s="106"/>
      <c r="AJ48" s="105"/>
      <c r="AK48" s="105"/>
    </row>
    <row r="49" spans="1:37" ht="16.5" x14ac:dyDescent="0.3">
      <c r="A49" s="54">
        <v>47</v>
      </c>
      <c r="B49" s="129">
        <f t="shared" ca="1" si="16"/>
        <v>4091</v>
      </c>
      <c r="C49" s="130">
        <f t="shared" ca="1" si="8"/>
        <v>10542</v>
      </c>
      <c r="D49" s="131">
        <f t="shared" ca="1" si="9"/>
        <v>11255</v>
      </c>
      <c r="E49" s="161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05">
        <f t="shared" ca="1" si="7"/>
        <v>0.7862417122285692</v>
      </c>
      <c r="AC49" s="117">
        <v>42</v>
      </c>
      <c r="AD49" s="117">
        <v>47</v>
      </c>
      <c r="AE49" s="117">
        <f t="shared" ca="1" si="13"/>
        <v>773</v>
      </c>
      <c r="AF49" s="139">
        <f t="shared" ca="1" si="14"/>
        <v>14.560094268024734</v>
      </c>
      <c r="AG49" s="105">
        <f t="shared" ca="1" si="15"/>
        <v>11255</v>
      </c>
      <c r="AH49" s="105"/>
      <c r="AI49" s="106"/>
      <c r="AJ49" s="105"/>
      <c r="AK49" s="105"/>
    </row>
    <row r="50" spans="1:37" ht="16.5" x14ac:dyDescent="0.3">
      <c r="A50" s="54">
        <v>48</v>
      </c>
      <c r="B50" s="129">
        <f t="shared" ca="1" si="16"/>
        <v>2959</v>
      </c>
      <c r="C50" s="130">
        <f t="shared" ca="1" si="8"/>
        <v>10931</v>
      </c>
      <c r="D50" s="131">
        <f t="shared" ca="1" si="9"/>
        <v>11500</v>
      </c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05">
        <f t="shared" ca="1" si="7"/>
        <v>0.76752476435336392</v>
      </c>
      <c r="AC50" s="117">
        <v>43</v>
      </c>
      <c r="AD50" s="117">
        <v>48</v>
      </c>
      <c r="AE50" s="117">
        <f t="shared" ca="1" si="13"/>
        <v>787</v>
      </c>
      <c r="AF50" s="139">
        <f t="shared" ca="1" si="14"/>
        <v>14.611969928085244</v>
      </c>
      <c r="AG50" s="105">
        <f t="shared" ca="1" si="15"/>
        <v>11500</v>
      </c>
      <c r="AH50" s="105"/>
      <c r="AI50" s="106"/>
      <c r="AJ50" s="105"/>
      <c r="AK50" s="105"/>
    </row>
    <row r="51" spans="1:37" ht="16.5" x14ac:dyDescent="0.3">
      <c r="A51" s="54">
        <v>49</v>
      </c>
      <c r="B51" s="129">
        <f t="shared" ca="1" si="16"/>
        <v>17133</v>
      </c>
      <c r="C51" s="130">
        <f t="shared" ca="1" si="8"/>
        <v>12141</v>
      </c>
      <c r="D51" s="131">
        <f t="shared" ca="1" si="9"/>
        <v>13266</v>
      </c>
      <c r="E51" s="161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05">
        <f t="shared" ca="1" si="7"/>
        <v>4.537410699204103E-2</v>
      </c>
      <c r="AC51" s="117">
        <v>50</v>
      </c>
      <c r="AD51" s="117">
        <v>49</v>
      </c>
      <c r="AE51" s="117">
        <f t="shared" ca="1" si="13"/>
        <v>801</v>
      </c>
      <c r="AF51" s="139">
        <f t="shared" ca="1" si="14"/>
        <v>16.562012909500897</v>
      </c>
      <c r="AG51" s="105">
        <f t="shared" ca="1" si="15"/>
        <v>13266</v>
      </c>
      <c r="AH51" s="105"/>
      <c r="AI51" s="106"/>
      <c r="AJ51" s="105"/>
      <c r="AK51" s="105"/>
    </row>
    <row r="52" spans="1:37" ht="16.5" x14ac:dyDescent="0.3">
      <c r="A52" s="54">
        <v>50</v>
      </c>
      <c r="B52" s="129">
        <f t="shared" ca="1" si="16"/>
        <v>17805</v>
      </c>
      <c r="C52" s="130">
        <f t="shared" ca="1" si="8"/>
        <v>11821</v>
      </c>
      <c r="D52" s="131">
        <f t="shared" ca="1" si="9"/>
        <v>12690</v>
      </c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05">
        <f t="shared" ca="1" si="7"/>
        <v>5.8803744033228966E-2</v>
      </c>
      <c r="AC52" s="117">
        <v>49</v>
      </c>
      <c r="AD52" s="117">
        <v>50</v>
      </c>
      <c r="AE52" s="117">
        <f t="shared" ca="1" si="13"/>
        <v>815</v>
      </c>
      <c r="AF52" s="139">
        <f t="shared" ca="1" si="14"/>
        <v>15.570484838216583</v>
      </c>
      <c r="AG52" s="105">
        <f t="shared" ca="1" si="15"/>
        <v>12690</v>
      </c>
      <c r="AH52" s="105"/>
      <c r="AI52" s="106"/>
      <c r="AJ52" s="105"/>
      <c r="AK52" s="105"/>
    </row>
    <row r="53" spans="1:37" ht="16.5" x14ac:dyDescent="0.3">
      <c r="A53" s="54">
        <v>51</v>
      </c>
      <c r="B53" s="129">
        <f t="shared" ca="1" si="16"/>
        <v>6020</v>
      </c>
      <c r="C53" s="130">
        <f t="shared" ca="1" si="8"/>
        <v>12592</v>
      </c>
      <c r="D53" s="131">
        <f t="shared" ca="1" si="9"/>
        <v>11168</v>
      </c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05">
        <f t="shared" ca="1" si="7"/>
        <v>0.68172354923874823</v>
      </c>
      <c r="AC53" s="117">
        <v>51</v>
      </c>
      <c r="AD53" s="117">
        <v>51</v>
      </c>
      <c r="AE53" s="117">
        <f t="shared" ca="1" si="13"/>
        <v>829</v>
      </c>
      <c r="AF53" s="139">
        <f t="shared" ca="1" si="14"/>
        <v>13.471728377605926</v>
      </c>
      <c r="AG53" s="105">
        <f t="shared" ca="1" si="15"/>
        <v>11168</v>
      </c>
      <c r="AH53" s="105"/>
      <c r="AI53" s="106"/>
      <c r="AJ53" s="105"/>
      <c r="AK53" s="105"/>
    </row>
    <row r="54" spans="1:37" ht="16.5" x14ac:dyDescent="0.3">
      <c r="A54" s="54">
        <v>52</v>
      </c>
      <c r="B54" s="129">
        <f t="shared" ca="1" si="16"/>
        <v>12592</v>
      </c>
      <c r="C54" s="130">
        <f t="shared" ca="1" si="8"/>
        <v>13163</v>
      </c>
      <c r="D54" s="131">
        <f t="shared" ca="1" si="9"/>
        <v>12592</v>
      </c>
      <c r="E54" s="161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05">
        <f t="shared" ca="1" si="7"/>
        <v>0.34427407431781432</v>
      </c>
      <c r="AC54" s="117">
        <v>54</v>
      </c>
      <c r="AD54" s="117">
        <v>52</v>
      </c>
      <c r="AE54" s="117">
        <f t="shared" ca="1" si="13"/>
        <v>843</v>
      </c>
      <c r="AF54" s="139">
        <f t="shared" ca="1" si="14"/>
        <v>14.937408837094667</v>
      </c>
      <c r="AG54" s="105">
        <f t="shared" ca="1" si="15"/>
        <v>12592</v>
      </c>
      <c r="AH54" s="105"/>
      <c r="AI54" s="106"/>
      <c r="AJ54" s="105"/>
      <c r="AK54" s="105"/>
    </row>
    <row r="55" spans="1:37" ht="16.5" x14ac:dyDescent="0.3">
      <c r="A55" s="54">
        <v>53</v>
      </c>
      <c r="B55" s="129">
        <f t="shared" ca="1" si="16"/>
        <v>19963</v>
      </c>
      <c r="C55" s="130">
        <f t="shared" ca="1" si="8"/>
        <v>12690</v>
      </c>
      <c r="D55" s="131">
        <f t="shared" ca="1" si="9"/>
        <v>12651</v>
      </c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05">
        <f t="shared" ca="1" si="7"/>
        <v>7.100972751577117E-2</v>
      </c>
      <c r="AC55" s="117">
        <v>53</v>
      </c>
      <c r="AD55" s="117">
        <v>53</v>
      </c>
      <c r="AE55" s="117">
        <f t="shared" ca="1" si="13"/>
        <v>857</v>
      </c>
      <c r="AF55" s="139">
        <f t="shared" ca="1" si="14"/>
        <v>14.761928822347008</v>
      </c>
      <c r="AG55" s="105">
        <f t="shared" ca="1" si="15"/>
        <v>12651</v>
      </c>
      <c r="AH55" s="105"/>
      <c r="AI55" s="105"/>
      <c r="AJ55" s="105"/>
      <c r="AK55" s="105"/>
    </row>
    <row r="56" spans="1:37" ht="16.5" x14ac:dyDescent="0.3">
      <c r="A56" s="54">
        <v>54</v>
      </c>
      <c r="B56" s="129">
        <f t="shared" ca="1" si="16"/>
        <v>9902</v>
      </c>
      <c r="C56" s="130">
        <f t="shared" ca="1" si="8"/>
        <v>12651</v>
      </c>
      <c r="D56" s="131">
        <f t="shared" ca="1" si="9"/>
        <v>13780</v>
      </c>
      <c r="E56" s="161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05">
        <f t="shared" ca="1" si="7"/>
        <v>0.48326116560070909</v>
      </c>
      <c r="AC56" s="117">
        <v>52</v>
      </c>
      <c r="AD56" s="117">
        <v>54</v>
      </c>
      <c r="AE56" s="117">
        <f t="shared" ca="1" si="13"/>
        <v>871</v>
      </c>
      <c r="AF56" s="139">
        <f t="shared" ca="1" si="14"/>
        <v>15.820543761453866</v>
      </c>
      <c r="AG56" s="105">
        <f t="shared" ca="1" si="15"/>
        <v>13780</v>
      </c>
      <c r="AH56" s="105"/>
      <c r="AI56" s="105"/>
      <c r="AJ56" s="105"/>
      <c r="AK56" s="105"/>
    </row>
    <row r="57" spans="1:37" ht="16.5" x14ac:dyDescent="0.3">
      <c r="A57" s="54">
        <v>55</v>
      </c>
      <c r="B57" s="129">
        <f t="shared" ca="1" si="16"/>
        <v>6589</v>
      </c>
      <c r="C57" s="130">
        <f t="shared" ca="1" si="8"/>
        <v>13266</v>
      </c>
      <c r="D57" s="131">
        <f t="shared" ca="1" si="9"/>
        <v>15589</v>
      </c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05">
        <f t="shared" ca="1" si="7"/>
        <v>0.57305800458527545</v>
      </c>
      <c r="AC57" s="117">
        <v>55</v>
      </c>
      <c r="AD57" s="117">
        <v>55</v>
      </c>
      <c r="AE57" s="117">
        <f t="shared" ca="1" si="13"/>
        <v>885</v>
      </c>
      <c r="AF57" s="139">
        <f t="shared" ca="1" si="14"/>
        <v>17.615016417095021</v>
      </c>
      <c r="AG57" s="105">
        <f t="shared" ca="1" si="15"/>
        <v>15589</v>
      </c>
      <c r="AH57" s="105"/>
      <c r="AI57" s="105"/>
      <c r="AJ57" s="105"/>
      <c r="AK57" s="105"/>
    </row>
    <row r="58" spans="1:37" ht="16.5" x14ac:dyDescent="0.3">
      <c r="A58" s="54">
        <v>56</v>
      </c>
      <c r="B58" s="129">
        <f t="shared" ca="1" si="16"/>
        <v>8620</v>
      </c>
      <c r="C58" s="130">
        <f t="shared" ca="1" si="8"/>
        <v>13301</v>
      </c>
      <c r="D58" s="131">
        <f t="shared" ca="1" si="9"/>
        <v>11821</v>
      </c>
      <c r="E58" s="132"/>
      <c r="AB58" s="105">
        <f t="shared" ca="1" si="7"/>
        <v>0.54473689349062682</v>
      </c>
      <c r="AC58" s="117">
        <v>56</v>
      </c>
      <c r="AD58" s="117">
        <v>56</v>
      </c>
      <c r="AE58" s="117">
        <f t="shared" ca="1" si="13"/>
        <v>899</v>
      </c>
      <c r="AF58" s="139">
        <f t="shared" ca="1" si="14"/>
        <v>13.148874200750097</v>
      </c>
      <c r="AG58" s="105">
        <f t="shared" ca="1" si="15"/>
        <v>11821</v>
      </c>
      <c r="AH58" s="105"/>
      <c r="AI58" s="105"/>
      <c r="AJ58" s="105"/>
      <c r="AK58" s="105"/>
    </row>
    <row r="59" spans="1:37" ht="16.5" x14ac:dyDescent="0.3">
      <c r="A59" s="54">
        <v>57</v>
      </c>
      <c r="B59" s="129">
        <f t="shared" ca="1" si="16"/>
        <v>1866</v>
      </c>
      <c r="C59" s="130">
        <f t="shared" ca="1" si="8"/>
        <v>13633</v>
      </c>
      <c r="D59" s="131">
        <f t="shared" ca="1" si="9"/>
        <v>12141</v>
      </c>
      <c r="E59" s="132"/>
      <c r="AB59" s="105">
        <f t="shared" ca="1" si="7"/>
        <v>0.97883037484051805</v>
      </c>
      <c r="AC59" s="117">
        <v>58</v>
      </c>
      <c r="AD59" s="117">
        <v>57</v>
      </c>
      <c r="AE59" s="117">
        <f t="shared" ca="1" si="13"/>
        <v>913</v>
      </c>
      <c r="AF59" s="139">
        <f t="shared" ca="1" si="14"/>
        <v>13.298021297602141</v>
      </c>
      <c r="AG59" s="105">
        <f t="shared" ca="1" si="15"/>
        <v>12141</v>
      </c>
      <c r="AH59" s="105"/>
      <c r="AI59" s="105"/>
      <c r="AJ59" s="105"/>
      <c r="AK59" s="105"/>
    </row>
    <row r="60" spans="1:37" ht="16.5" x14ac:dyDescent="0.3">
      <c r="A60" s="54">
        <v>58</v>
      </c>
      <c r="B60" s="129">
        <f t="shared" ca="1" si="16"/>
        <v>13163</v>
      </c>
      <c r="C60" s="130">
        <f t="shared" ca="1" si="8"/>
        <v>14559</v>
      </c>
      <c r="D60" s="131">
        <f t="shared" ca="1" si="9"/>
        <v>14559</v>
      </c>
      <c r="E60" s="132"/>
      <c r="AB60" s="105">
        <f t="shared" ca="1" si="7"/>
        <v>0.22515043557845771</v>
      </c>
      <c r="AC60" s="117">
        <v>62</v>
      </c>
      <c r="AD60" s="117">
        <v>58</v>
      </c>
      <c r="AE60" s="117">
        <f t="shared" ca="1" si="13"/>
        <v>927</v>
      </c>
      <c r="AF60" s="139">
        <f t="shared" ca="1" si="14"/>
        <v>15.705500612769727</v>
      </c>
      <c r="AG60" s="105">
        <f t="shared" ca="1" si="15"/>
        <v>14559</v>
      </c>
      <c r="AH60" s="105"/>
      <c r="AI60" s="105"/>
      <c r="AJ60" s="105"/>
      <c r="AK60" s="105"/>
    </row>
    <row r="61" spans="1:37" ht="16.5" x14ac:dyDescent="0.3">
      <c r="A61" s="54">
        <v>59</v>
      </c>
      <c r="B61" s="129">
        <f t="shared" ca="1" si="16"/>
        <v>1779</v>
      </c>
      <c r="C61" s="130">
        <f t="shared" ca="1" si="8"/>
        <v>13392</v>
      </c>
      <c r="D61" s="131">
        <f t="shared" ca="1" si="9"/>
        <v>15558</v>
      </c>
      <c r="E61" s="132"/>
      <c r="AB61" s="105">
        <f t="shared" ca="1" si="7"/>
        <v>0.97817613917856305</v>
      </c>
      <c r="AC61" s="117">
        <v>57</v>
      </c>
      <c r="AD61" s="117">
        <v>59</v>
      </c>
      <c r="AE61" s="117">
        <f t="shared" ca="1" si="13"/>
        <v>941</v>
      </c>
      <c r="AF61" s="139">
        <f t="shared" ca="1" si="14"/>
        <v>16.53304996428518</v>
      </c>
      <c r="AG61" s="105">
        <f t="shared" ca="1" si="15"/>
        <v>15558</v>
      </c>
      <c r="AH61" s="105"/>
      <c r="AI61" s="105"/>
      <c r="AJ61" s="105"/>
      <c r="AK61" s="105"/>
    </row>
    <row r="62" spans="1:37" ht="16.5" x14ac:dyDescent="0.3">
      <c r="A62" s="54">
        <v>60</v>
      </c>
      <c r="B62" s="129">
        <f t="shared" ca="1" si="16"/>
        <v>12141</v>
      </c>
      <c r="C62" s="130">
        <f t="shared" ca="1" si="8"/>
        <v>13780</v>
      </c>
      <c r="D62" s="131">
        <f t="shared" ca="1" si="9"/>
        <v>15493</v>
      </c>
      <c r="E62" s="132"/>
      <c r="AB62" s="105">
        <f t="shared" ca="1" si="7"/>
        <v>0.27183378494227617</v>
      </c>
      <c r="AC62" s="117">
        <v>59</v>
      </c>
      <c r="AD62" s="117">
        <v>60</v>
      </c>
      <c r="AE62" s="117">
        <f t="shared" ca="1" si="13"/>
        <v>955</v>
      </c>
      <c r="AF62" s="139">
        <f t="shared" ca="1" si="14"/>
        <v>16.223365414129663</v>
      </c>
      <c r="AG62" s="105">
        <f t="shared" ca="1" si="15"/>
        <v>15493</v>
      </c>
      <c r="AH62" s="105"/>
      <c r="AI62" s="105"/>
      <c r="AJ62" s="105"/>
      <c r="AK62" s="105"/>
    </row>
    <row r="63" spans="1:37" ht="16.5" x14ac:dyDescent="0.3">
      <c r="A63" s="54">
        <v>61</v>
      </c>
      <c r="B63" s="129">
        <f t="shared" ca="1" si="16"/>
        <v>12651</v>
      </c>
      <c r="C63" s="130">
        <f t="shared" ca="1" si="8"/>
        <v>13911</v>
      </c>
      <c r="D63" s="131">
        <f t="shared" ca="1" si="9"/>
        <v>13633</v>
      </c>
      <c r="E63" s="132"/>
      <c r="AB63" s="105">
        <f t="shared" ca="1" si="7"/>
        <v>0.32678417141250071</v>
      </c>
      <c r="AC63" s="117">
        <v>60</v>
      </c>
      <c r="AD63" s="117">
        <v>61</v>
      </c>
      <c r="AE63" s="117">
        <f t="shared" ca="1" si="13"/>
        <v>969</v>
      </c>
      <c r="AF63" s="139">
        <f t="shared" ca="1" si="14"/>
        <v>14.069561629847501</v>
      </c>
      <c r="AG63" s="105">
        <f t="shared" ca="1" si="15"/>
        <v>13633</v>
      </c>
      <c r="AH63" s="105"/>
      <c r="AI63" s="105"/>
      <c r="AJ63" s="105"/>
      <c r="AK63" s="105"/>
    </row>
    <row r="64" spans="1:37" ht="16.5" x14ac:dyDescent="0.3">
      <c r="A64" s="54">
        <v>62</v>
      </c>
      <c r="B64" s="129">
        <f t="shared" ca="1" si="16"/>
        <v>11168</v>
      </c>
      <c r="C64" s="130">
        <f t="shared" ca="1" si="8"/>
        <v>14386</v>
      </c>
      <c r="D64" s="131">
        <f t="shared" ca="1" si="9"/>
        <v>13163</v>
      </c>
      <c r="E64" s="132"/>
      <c r="AB64" s="105">
        <f t="shared" ca="1" si="7"/>
        <v>0.35053275505086756</v>
      </c>
      <c r="AC64" s="117">
        <v>61</v>
      </c>
      <c r="AD64" s="117">
        <v>62</v>
      </c>
      <c r="AE64" s="117">
        <f t="shared" ca="1" si="13"/>
        <v>983</v>
      </c>
      <c r="AF64" s="139">
        <f t="shared" ca="1" si="14"/>
        <v>13.391027642949886</v>
      </c>
      <c r="AG64" s="105">
        <f t="shared" ca="1" si="15"/>
        <v>13163</v>
      </c>
      <c r="AH64" s="105"/>
      <c r="AI64" s="105"/>
      <c r="AJ64" s="105"/>
      <c r="AK64" s="105"/>
    </row>
    <row r="65" spans="1:38" ht="16.5" x14ac:dyDescent="0.3">
      <c r="A65" s="54">
        <v>63</v>
      </c>
      <c r="B65" s="129">
        <f t="shared" ca="1" si="16"/>
        <v>8124</v>
      </c>
      <c r="C65" s="130">
        <f t="shared" ca="1" si="8"/>
        <v>15380</v>
      </c>
      <c r="D65" s="131">
        <f t="shared" ca="1" si="9"/>
        <v>14620</v>
      </c>
      <c r="E65" s="132"/>
      <c r="AB65" s="105">
        <f t="shared" ca="1" si="7"/>
        <v>0.55045960375134673</v>
      </c>
      <c r="AC65" s="117">
        <v>64</v>
      </c>
      <c r="AD65" s="117">
        <v>63</v>
      </c>
      <c r="AE65" s="117">
        <f t="shared" ca="1" si="13"/>
        <v>997</v>
      </c>
      <c r="AF65" s="139">
        <f t="shared" ca="1" si="14"/>
        <v>14.663716662762189</v>
      </c>
      <c r="AG65" s="105">
        <f t="shared" ca="1" si="15"/>
        <v>14620</v>
      </c>
      <c r="AH65" s="105"/>
      <c r="AI65" s="105"/>
      <c r="AJ65" s="105"/>
      <c r="AK65" s="105"/>
    </row>
    <row r="66" spans="1:38" ht="16.5" x14ac:dyDescent="0.3">
      <c r="A66" s="54">
        <v>64</v>
      </c>
      <c r="B66" s="129">
        <f t="shared" ca="1" si="16"/>
        <v>5617</v>
      </c>
      <c r="C66" s="130">
        <f t="shared" ca="1" si="8"/>
        <v>14620</v>
      </c>
      <c r="D66" s="131">
        <f t="shared" ca="1" si="9"/>
        <v>16819</v>
      </c>
      <c r="E66" s="132"/>
      <c r="AB66" s="105">
        <f t="shared" ca="1" si="7"/>
        <v>0.63546745241265712</v>
      </c>
      <c r="AC66" s="117">
        <v>63</v>
      </c>
      <c r="AD66" s="117">
        <v>64</v>
      </c>
      <c r="AE66" s="117">
        <f t="shared" ca="1" si="13"/>
        <v>1011</v>
      </c>
      <c r="AF66" s="139">
        <f t="shared" ca="1" si="14"/>
        <v>16.636039767238639</v>
      </c>
      <c r="AG66" s="105">
        <f t="shared" ca="1" si="15"/>
        <v>16819</v>
      </c>
      <c r="AH66" s="105"/>
      <c r="AI66" s="105"/>
      <c r="AJ66" s="105"/>
      <c r="AK66" s="105"/>
    </row>
    <row r="67" spans="1:38" ht="16.5" x14ac:dyDescent="0.3">
      <c r="A67" s="54">
        <v>65</v>
      </c>
      <c r="B67" s="129">
        <f t="shared" ca="1" si="16"/>
        <v>14620</v>
      </c>
      <c r="C67" s="130">
        <f t="shared" ca="1" si="8"/>
        <v>16177</v>
      </c>
      <c r="D67" s="131">
        <f t="shared" ca="1" si="9"/>
        <v>18621</v>
      </c>
      <c r="E67" s="132"/>
      <c r="AB67" s="105">
        <f t="shared" ref="AB67:AB77" ca="1" si="17">RAND()</f>
        <v>0.14692509655241248</v>
      </c>
      <c r="AC67" s="117">
        <v>68</v>
      </c>
      <c r="AD67" s="117">
        <v>65</v>
      </c>
      <c r="AE67" s="117">
        <f t="shared" ca="1" si="13"/>
        <v>1025</v>
      </c>
      <c r="AF67" s="139">
        <f t="shared" ca="1" si="14"/>
        <v>18.166587540206123</v>
      </c>
      <c r="AG67" s="105">
        <f t="shared" ca="1" si="15"/>
        <v>18621</v>
      </c>
      <c r="AH67" s="105"/>
      <c r="AI67" s="105"/>
      <c r="AJ67" s="105"/>
      <c r="AK67" s="105"/>
    </row>
    <row r="68" spans="1:38" ht="16.5" x14ac:dyDescent="0.3">
      <c r="A68" s="54">
        <v>66</v>
      </c>
      <c r="B68" s="129">
        <f t="shared" ref="B68:B77" ca="1" si="18">INDEX($AG$3:$AG$77,RANK(AB68,$AB$3:$AB$77))</f>
        <v>14386</v>
      </c>
      <c r="C68" s="130">
        <f t="shared" ref="C68:C77" ca="1" si="19">SMALL($AG$3:$AG$77,AC68)</f>
        <v>15558</v>
      </c>
      <c r="D68" s="131">
        <f t="shared" ref="D68:D77" ca="1" si="20">AG68</f>
        <v>13301</v>
      </c>
      <c r="E68" s="132"/>
      <c r="AB68" s="105">
        <f t="shared" ca="1" si="17"/>
        <v>8.408582517330887E-2</v>
      </c>
      <c r="AC68" s="117">
        <v>66</v>
      </c>
      <c r="AD68" s="117">
        <v>66</v>
      </c>
      <c r="AE68" s="117">
        <f t="shared" ref="AE68:AE77" ca="1" si="21">INT($AH$1+$AI$1*AD68)</f>
        <v>1039</v>
      </c>
      <c r="AF68" s="139">
        <f t="shared" ref="AF68:AF77" ca="1" si="22">(((IF(MOD(AD68,5)&lt;&gt;0,MOD(AD68,5),5))+12)+_xlfn.NORM.S.INV(RAND()))</f>
        <v>12.801447883511626</v>
      </c>
      <c r="AG68" s="105">
        <f t="shared" ref="AG68:AG76" ca="1" si="23">ROUND(AE68*AF68,0)</f>
        <v>13301</v>
      </c>
      <c r="AH68" s="105"/>
      <c r="AI68" s="105"/>
      <c r="AJ68" s="105"/>
      <c r="AK68" s="105"/>
    </row>
    <row r="69" spans="1:38" ht="16.5" x14ac:dyDescent="0.3">
      <c r="A69" s="54">
        <v>67</v>
      </c>
      <c r="B69" s="129">
        <f t="shared" ca="1" si="18"/>
        <v>11255</v>
      </c>
      <c r="C69" s="130">
        <f t="shared" ca="1" si="19"/>
        <v>15589</v>
      </c>
      <c r="D69" s="131">
        <f t="shared" ca="1" si="20"/>
        <v>15380</v>
      </c>
      <c r="E69" s="132"/>
      <c r="AB69" s="105">
        <f t="shared" ca="1" si="17"/>
        <v>0.44238526386093457</v>
      </c>
      <c r="AC69" s="117">
        <v>67</v>
      </c>
      <c r="AD69" s="117">
        <v>67</v>
      </c>
      <c r="AE69" s="117">
        <f t="shared" ca="1" si="21"/>
        <v>1053</v>
      </c>
      <c r="AF69" s="139">
        <f t="shared" ca="1" si="22"/>
        <v>14.606261559955625</v>
      </c>
      <c r="AG69" s="105">
        <f t="shared" ca="1" si="23"/>
        <v>15380</v>
      </c>
      <c r="AH69" s="105"/>
      <c r="AI69" s="105"/>
      <c r="AJ69" s="105"/>
      <c r="AK69" s="105"/>
    </row>
    <row r="70" spans="1:38" ht="16.5" x14ac:dyDescent="0.3">
      <c r="A70" s="54">
        <v>68</v>
      </c>
      <c r="B70" s="129">
        <f t="shared" ca="1" si="18"/>
        <v>13633</v>
      </c>
      <c r="C70" s="130">
        <f t="shared" ca="1" si="19"/>
        <v>15493</v>
      </c>
      <c r="D70" s="131">
        <f t="shared" ca="1" si="20"/>
        <v>16177</v>
      </c>
      <c r="E70" s="132"/>
      <c r="AB70" s="105">
        <f t="shared" ca="1" si="17"/>
        <v>0.23859776468805949</v>
      </c>
      <c r="AC70" s="117">
        <v>65</v>
      </c>
      <c r="AD70" s="117">
        <v>68</v>
      </c>
      <c r="AE70" s="117">
        <f t="shared" ca="1" si="21"/>
        <v>1067</v>
      </c>
      <c r="AF70" s="139">
        <f t="shared" ca="1" si="22"/>
        <v>15.161175878846082</v>
      </c>
      <c r="AG70" s="105">
        <f t="shared" ca="1" si="23"/>
        <v>16177</v>
      </c>
      <c r="AH70" s="105"/>
      <c r="AI70" s="105"/>
      <c r="AJ70" s="105"/>
      <c r="AK70" s="105"/>
    </row>
    <row r="71" spans="1:38" ht="16.5" x14ac:dyDescent="0.3">
      <c r="A71" s="54">
        <v>69</v>
      </c>
      <c r="B71" s="129">
        <f t="shared" ca="1" si="18"/>
        <v>9075</v>
      </c>
      <c r="C71" s="130">
        <f t="shared" ca="1" si="19"/>
        <v>16232</v>
      </c>
      <c r="D71" s="131">
        <f t="shared" ca="1" si="20"/>
        <v>14386</v>
      </c>
      <c r="E71" s="132"/>
      <c r="AB71" s="105">
        <f t="shared" ca="1" si="17"/>
        <v>0.47750324027091406</v>
      </c>
      <c r="AC71" s="117">
        <v>69</v>
      </c>
      <c r="AD71" s="117">
        <v>69</v>
      </c>
      <c r="AE71" s="117">
        <f t="shared" ca="1" si="21"/>
        <v>1081</v>
      </c>
      <c r="AF71" s="139">
        <f t="shared" ca="1" si="22"/>
        <v>13.307926290831794</v>
      </c>
      <c r="AG71" s="105">
        <f t="shared" ca="1" si="23"/>
        <v>14386</v>
      </c>
      <c r="AH71" s="105"/>
      <c r="AI71" s="105"/>
      <c r="AJ71" s="105"/>
      <c r="AK71" s="105"/>
    </row>
    <row r="72" spans="1:38" ht="16.5" x14ac:dyDescent="0.3">
      <c r="A72" s="54">
        <v>70</v>
      </c>
      <c r="B72" s="129">
        <f t="shared" ca="1" si="18"/>
        <v>13911</v>
      </c>
      <c r="C72" s="130">
        <f t="shared" ca="1" si="19"/>
        <v>16819</v>
      </c>
      <c r="D72" s="131">
        <f t="shared" ca="1" si="20"/>
        <v>19963</v>
      </c>
      <c r="E72" s="132"/>
      <c r="AB72" s="105">
        <f t="shared" ca="1" si="17"/>
        <v>6.8197698963824882E-2</v>
      </c>
      <c r="AC72" s="117">
        <v>70</v>
      </c>
      <c r="AD72" s="117">
        <v>70</v>
      </c>
      <c r="AE72" s="117">
        <f t="shared" ca="1" si="21"/>
        <v>1095</v>
      </c>
      <c r="AF72" s="139">
        <f t="shared" ca="1" si="22"/>
        <v>18.231120979849994</v>
      </c>
      <c r="AG72" s="105">
        <f t="shared" ca="1" si="23"/>
        <v>19963</v>
      </c>
      <c r="AH72" s="105"/>
      <c r="AI72" s="105"/>
      <c r="AJ72" s="105"/>
      <c r="AK72" s="105"/>
    </row>
    <row r="73" spans="1:38" ht="16.5" x14ac:dyDescent="0.3">
      <c r="A73" s="54">
        <v>71</v>
      </c>
      <c r="B73" s="129">
        <f t="shared" ca="1" si="18"/>
        <v>5797</v>
      </c>
      <c r="C73" s="130">
        <f t="shared" ca="1" si="19"/>
        <v>17805</v>
      </c>
      <c r="D73" s="131">
        <f t="shared" ca="1" si="20"/>
        <v>13911</v>
      </c>
      <c r="E73" s="132"/>
      <c r="AB73" s="105">
        <f t="shared" ca="1" si="17"/>
        <v>0.72327171086718323</v>
      </c>
      <c r="AC73" s="117">
        <v>72</v>
      </c>
      <c r="AD73" s="117">
        <v>71</v>
      </c>
      <c r="AE73" s="117">
        <f t="shared" ca="1" si="21"/>
        <v>1109</v>
      </c>
      <c r="AF73" s="139">
        <f t="shared" ca="1" si="22"/>
        <v>12.543989181188504</v>
      </c>
      <c r="AG73" s="105">
        <f t="shared" ca="1" si="23"/>
        <v>13911</v>
      </c>
      <c r="AH73" s="105"/>
      <c r="AI73" s="105"/>
      <c r="AJ73" s="105"/>
      <c r="AK73" s="105"/>
    </row>
    <row r="74" spans="1:38" ht="16.5" x14ac:dyDescent="0.3">
      <c r="A74" s="54">
        <v>72</v>
      </c>
      <c r="B74" s="129">
        <f t="shared" ca="1" si="18"/>
        <v>6357</v>
      </c>
      <c r="C74" s="130">
        <f t="shared" ca="1" si="19"/>
        <v>19963</v>
      </c>
      <c r="D74" s="131">
        <f t="shared" ca="1" si="20"/>
        <v>16232</v>
      </c>
      <c r="E74" s="132"/>
      <c r="AB74" s="105">
        <f t="shared" ca="1" si="17"/>
        <v>0.66285648054245594</v>
      </c>
      <c r="AC74" s="117">
        <v>75</v>
      </c>
      <c r="AD74" s="117">
        <v>72</v>
      </c>
      <c r="AE74" s="117">
        <f t="shared" ca="1" si="21"/>
        <v>1123</v>
      </c>
      <c r="AF74" s="139">
        <f t="shared" ca="1" si="22"/>
        <v>14.454376427321897</v>
      </c>
      <c r="AG74" s="105">
        <f t="shared" ca="1" si="23"/>
        <v>16232</v>
      </c>
      <c r="AH74" s="105"/>
      <c r="AI74" s="105"/>
      <c r="AJ74" s="105"/>
      <c r="AK74" s="105"/>
    </row>
    <row r="75" spans="1:38" ht="16.5" x14ac:dyDescent="0.3">
      <c r="A75" s="54">
        <v>73</v>
      </c>
      <c r="B75" s="129">
        <f t="shared" ca="1" si="18"/>
        <v>15558</v>
      </c>
      <c r="C75" s="130">
        <f t="shared" ca="1" si="19"/>
        <v>17133</v>
      </c>
      <c r="D75" s="131">
        <f t="shared" ca="1" si="20"/>
        <v>17805</v>
      </c>
      <c r="E75" s="132"/>
      <c r="AB75" s="105">
        <f t="shared" ca="1" si="17"/>
        <v>0.26483128381555598</v>
      </c>
      <c r="AC75" s="117">
        <v>71</v>
      </c>
      <c r="AD75" s="117">
        <v>73</v>
      </c>
      <c r="AE75" s="117">
        <f t="shared" ca="1" si="21"/>
        <v>1137</v>
      </c>
      <c r="AF75" s="139">
        <f t="shared" ca="1" si="22"/>
        <v>15.659814322834608</v>
      </c>
      <c r="AG75" s="105">
        <f t="shared" ca="1" si="23"/>
        <v>17805</v>
      </c>
      <c r="AH75" s="105"/>
      <c r="AI75" s="105"/>
      <c r="AJ75" s="105"/>
      <c r="AK75" s="105"/>
    </row>
    <row r="76" spans="1:38" ht="16.5" x14ac:dyDescent="0.3">
      <c r="A76" s="54">
        <v>74</v>
      </c>
      <c r="B76" s="129">
        <f t="shared" ca="1" si="18"/>
        <v>3100</v>
      </c>
      <c r="C76" s="130">
        <f t="shared" ca="1" si="19"/>
        <v>18621</v>
      </c>
      <c r="D76" s="131">
        <f t="shared" ca="1" si="20"/>
        <v>17133</v>
      </c>
      <c r="E76" s="132"/>
      <c r="AB76" s="105">
        <f t="shared" ca="1" si="17"/>
        <v>0.8048891688201516</v>
      </c>
      <c r="AC76" s="117">
        <v>73</v>
      </c>
      <c r="AD76" s="117">
        <v>74</v>
      </c>
      <c r="AE76" s="117">
        <f t="shared" ca="1" si="21"/>
        <v>1151</v>
      </c>
      <c r="AF76" s="139">
        <f t="shared" ca="1" si="22"/>
        <v>14.885503545603129</v>
      </c>
      <c r="AG76" s="105">
        <f t="shared" ca="1" si="23"/>
        <v>17133</v>
      </c>
      <c r="AH76" s="105"/>
      <c r="AI76" s="105"/>
      <c r="AJ76" s="105"/>
      <c r="AK76" s="105"/>
    </row>
    <row r="77" spans="1:38" ht="16.5" x14ac:dyDescent="0.3">
      <c r="A77" s="54">
        <v>75</v>
      </c>
      <c r="B77" s="129">
        <f t="shared" ca="1" si="18"/>
        <v>2791</v>
      </c>
      <c r="C77" s="130">
        <f t="shared" ca="1" si="19"/>
        <v>19393</v>
      </c>
      <c r="D77" s="131">
        <f t="shared" ca="1" si="20"/>
        <v>19393</v>
      </c>
      <c r="E77" s="132"/>
      <c r="AB77" s="105">
        <f t="shared" ca="1" si="17"/>
        <v>0.83216231499426219</v>
      </c>
      <c r="AC77" s="117">
        <v>74</v>
      </c>
      <c r="AD77" s="117">
        <v>75</v>
      </c>
      <c r="AE77" s="117">
        <f t="shared" ca="1" si="21"/>
        <v>1165</v>
      </c>
      <c r="AF77" s="139">
        <f t="shared" ca="1" si="22"/>
        <v>16.646130410350743</v>
      </c>
      <c r="AG77" s="105">
        <f ca="1">ROUND(AE77*AF77,0)</f>
        <v>19393</v>
      </c>
      <c r="AH77" s="105"/>
      <c r="AI77" s="105"/>
      <c r="AJ77" s="105"/>
      <c r="AK77" s="105"/>
    </row>
    <row r="78" spans="1:38" ht="16.5" x14ac:dyDescent="0.3">
      <c r="A78" s="92"/>
      <c r="B78" s="92"/>
      <c r="C78" s="92"/>
      <c r="D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</row>
    <row r="79" spans="1:38" ht="16.5" x14ac:dyDescent="0.3">
      <c r="A79" s="92"/>
      <c r="B79" s="92"/>
      <c r="C79" s="92"/>
      <c r="D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</row>
    <row r="80" spans="1:38" ht="16.5" x14ac:dyDescent="0.3">
      <c r="A80" s="92"/>
      <c r="B80" s="92"/>
      <c r="C80" s="92"/>
      <c r="D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</row>
    <row r="81" spans="1:38" ht="16.5" x14ac:dyDescent="0.3">
      <c r="A81" s="92"/>
      <c r="B81" s="92"/>
      <c r="C81" s="92"/>
      <c r="D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</row>
    <row r="82" spans="1:38" ht="16.5" x14ac:dyDescent="0.3"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</row>
    <row r="83" spans="1:38" ht="16.5" x14ac:dyDescent="0.3"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</row>
    <row r="84" spans="1:38" ht="16.5" x14ac:dyDescent="0.3"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</row>
    <row r="85" spans="1:38" ht="16.5" x14ac:dyDescent="0.3"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</row>
    <row r="86" spans="1:38" ht="16.5" x14ac:dyDescent="0.3"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</row>
    <row r="87" spans="1:38" ht="16.5" x14ac:dyDescent="0.3"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</row>
    <row r="88" spans="1:38" ht="16.5" x14ac:dyDescent="0.3"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</row>
    <row r="89" spans="1:38" ht="16.5" x14ac:dyDescent="0.3"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89"/>
  <sheetViews>
    <sheetView workbookViewId="0">
      <selection activeCell="U29" sqref="U29"/>
    </sheetView>
  </sheetViews>
  <sheetFormatPr defaultRowHeight="12.75" x14ac:dyDescent="0.2"/>
  <cols>
    <col min="1" max="1" width="4.42578125" style="3" bestFit="1" customWidth="1"/>
    <col min="2" max="2" width="9.5703125" style="3" bestFit="1" customWidth="1"/>
    <col min="3" max="3" width="6.140625" style="3" bestFit="1" customWidth="1"/>
    <col min="4" max="4" width="11.5703125" style="3" bestFit="1" customWidth="1"/>
    <col min="5" max="5" width="9.140625" style="56" customWidth="1"/>
    <col min="6" max="6" width="4.42578125" style="3" bestFit="1" customWidth="1"/>
    <col min="7" max="14" width="9.140625" style="3"/>
    <col min="15" max="15" width="12.28515625" style="3" customWidth="1"/>
    <col min="16" max="16384" width="9.140625" style="3"/>
  </cols>
  <sheetData>
    <row r="1" spans="1:21" ht="15.75" thickBot="1" x14ac:dyDescent="0.3">
      <c r="A1" s="38" t="s">
        <v>59</v>
      </c>
      <c r="B1" s="39"/>
      <c r="C1" s="40"/>
      <c r="D1" s="39"/>
      <c r="E1" s="85"/>
      <c r="G1" s="3" t="s">
        <v>60</v>
      </c>
      <c r="L1" s="41"/>
      <c r="M1" s="43" t="s">
        <v>20</v>
      </c>
      <c r="N1" s="43"/>
      <c r="O1" s="43"/>
      <c r="P1" s="41"/>
      <c r="Q1" s="41"/>
      <c r="R1" s="44">
        <f ca="1">RANDBETWEEN(100,150)</f>
        <v>120</v>
      </c>
      <c r="S1" s="45">
        <f ca="1">RANDBETWEEN(5,15)</f>
        <v>14</v>
      </c>
      <c r="T1" s="44">
        <v>0.1</v>
      </c>
      <c r="U1" s="41"/>
    </row>
    <row r="2" spans="1:21" ht="15.75" thickBot="1" x14ac:dyDescent="0.3">
      <c r="A2" s="46" t="s">
        <v>1</v>
      </c>
      <c r="B2" s="61" t="s">
        <v>27</v>
      </c>
      <c r="C2" s="47" t="s">
        <v>21</v>
      </c>
      <c r="D2" s="58" t="s">
        <v>24</v>
      </c>
      <c r="F2" s="14" t="s">
        <v>1</v>
      </c>
      <c r="G2" s="36" t="s">
        <v>27</v>
      </c>
      <c r="H2" s="36" t="s">
        <v>21</v>
      </c>
      <c r="I2" s="36" t="s">
        <v>24</v>
      </c>
      <c r="L2" s="41"/>
      <c r="M2" s="44"/>
      <c r="N2" s="44"/>
      <c r="O2" s="59" t="s">
        <v>26</v>
      </c>
      <c r="P2" s="42" t="s">
        <v>22</v>
      </c>
      <c r="Q2" s="42" t="s">
        <v>23</v>
      </c>
      <c r="R2" s="60"/>
      <c r="S2" s="48"/>
      <c r="T2" s="41"/>
      <c r="U2" s="41"/>
    </row>
    <row r="3" spans="1:21" ht="15" x14ac:dyDescent="0.25">
      <c r="A3" s="49">
        <v>1</v>
      </c>
      <c r="B3" s="50">
        <f t="shared" ref="B3:B66" ca="1" si="0">INDEX($Q$3:$Q$77,RANK(L3,$L$3:$L$77))</f>
        <v>9742</v>
      </c>
      <c r="C3" s="51">
        <f ca="1">SMALL($Q$3:$Q$77,M3)</f>
        <v>1737</v>
      </c>
      <c r="D3" s="52">
        <f ca="1">Q3</f>
        <v>1737</v>
      </c>
      <c r="E3" s="55"/>
      <c r="F3" s="14">
        <v>1</v>
      </c>
      <c r="G3" s="36">
        <v>10208</v>
      </c>
      <c r="H3" s="36">
        <v>1436</v>
      </c>
      <c r="I3" s="36">
        <v>1436</v>
      </c>
      <c r="L3" s="41">
        <f t="shared" ref="L3:L66" ca="1" si="1">RAND()</f>
        <v>0.45107257430538317</v>
      </c>
      <c r="M3" s="44">
        <v>1</v>
      </c>
      <c r="N3" s="44">
        <v>1</v>
      </c>
      <c r="O3" s="44">
        <f ca="1">INT($R$1+$S$1*N3)</f>
        <v>134</v>
      </c>
      <c r="P3" s="53">
        <f ca="1">(((IF(MOD(N3,5)&lt;&gt;0,MOD(N3,5),5))+12)+_xlfn.NORM.S.INV(RAND()))</f>
        <v>12.959840129248791</v>
      </c>
      <c r="Q3" s="41">
        <f ca="1">ROUND(O3*P3,0)</f>
        <v>1737</v>
      </c>
      <c r="R3" s="41"/>
      <c r="S3" s="48"/>
      <c r="T3" s="41"/>
      <c r="U3" s="41"/>
    </row>
    <row r="4" spans="1:21" ht="15" x14ac:dyDescent="0.25">
      <c r="A4" s="49">
        <v>2</v>
      </c>
      <c r="B4" s="50">
        <f t="shared" ca="1" si="0"/>
        <v>10081</v>
      </c>
      <c r="C4" s="51">
        <f t="shared" ref="C4:C67" ca="1" si="2">SMALL($Q$3:$Q$77,M4)</f>
        <v>2233</v>
      </c>
      <c r="D4" s="52">
        <f t="shared" ref="D4:D67" ca="1" si="3">Q4</f>
        <v>2233</v>
      </c>
      <c r="E4" s="55"/>
      <c r="F4" s="14">
        <v>2</v>
      </c>
      <c r="G4" s="36">
        <v>7226</v>
      </c>
      <c r="H4" s="36">
        <v>1690</v>
      </c>
      <c r="I4" s="36">
        <v>1690</v>
      </c>
      <c r="L4" s="41">
        <f t="shared" ca="1" si="1"/>
        <v>0.39566738607581142</v>
      </c>
      <c r="M4" s="44">
        <v>2</v>
      </c>
      <c r="N4" s="44">
        <v>2</v>
      </c>
      <c r="O4" s="44">
        <f t="shared" ref="O4:O67" ca="1" si="4">INT($R$1+$S$1*N4)</f>
        <v>148</v>
      </c>
      <c r="P4" s="53">
        <f t="shared" ref="P4:P67" ca="1" si="5">(((IF(MOD(N4,5)&lt;&gt;0,MOD(N4,5),5))+12)+_xlfn.NORM.S.INV(RAND()))</f>
        <v>15.089442973992822</v>
      </c>
      <c r="Q4" s="41">
        <f t="shared" ref="Q4:Q67" ca="1" si="6">ROUND(O4*P4,0)</f>
        <v>2233</v>
      </c>
      <c r="R4" s="41"/>
      <c r="S4" s="48"/>
      <c r="T4" s="41"/>
      <c r="U4" s="41"/>
    </row>
    <row r="5" spans="1:21" ht="15" x14ac:dyDescent="0.25">
      <c r="A5" s="49">
        <v>3</v>
      </c>
      <c r="B5" s="50">
        <f t="shared" ca="1" si="0"/>
        <v>15138</v>
      </c>
      <c r="C5" s="51">
        <f t="shared" ca="1" si="2"/>
        <v>2462</v>
      </c>
      <c r="D5" s="52">
        <f t="shared" ca="1" si="3"/>
        <v>2462</v>
      </c>
      <c r="E5" s="55"/>
      <c r="F5" s="14">
        <v>3</v>
      </c>
      <c r="G5" s="36">
        <v>3498</v>
      </c>
      <c r="H5" s="36">
        <v>1909</v>
      </c>
      <c r="I5" s="36">
        <v>1909</v>
      </c>
      <c r="L5" s="41">
        <f t="shared" ca="1" si="1"/>
        <v>0.23290145602882173</v>
      </c>
      <c r="M5" s="44">
        <v>3</v>
      </c>
      <c r="N5" s="44">
        <v>3</v>
      </c>
      <c r="O5" s="44">
        <f t="shared" ca="1" si="4"/>
        <v>162</v>
      </c>
      <c r="P5" s="53">
        <f t="shared" ca="1" si="5"/>
        <v>15.1989823130512</v>
      </c>
      <c r="Q5" s="41">
        <f t="shared" ca="1" si="6"/>
        <v>2462</v>
      </c>
      <c r="R5" s="41"/>
      <c r="S5" s="48"/>
      <c r="T5" s="41"/>
      <c r="U5" s="41"/>
    </row>
    <row r="6" spans="1:21" ht="15" x14ac:dyDescent="0.25">
      <c r="A6" s="49">
        <v>4</v>
      </c>
      <c r="B6" s="50">
        <f t="shared" ca="1" si="0"/>
        <v>17632</v>
      </c>
      <c r="C6" s="51">
        <f t="shared" ca="1" si="2"/>
        <v>2553</v>
      </c>
      <c r="D6" s="52">
        <f t="shared" ca="1" si="3"/>
        <v>2760</v>
      </c>
      <c r="E6" s="55"/>
      <c r="F6" s="14">
        <v>4</v>
      </c>
      <c r="G6" s="36">
        <v>5654</v>
      </c>
      <c r="H6" s="36">
        <v>1984</v>
      </c>
      <c r="I6" s="36">
        <v>2078</v>
      </c>
      <c r="L6" s="41">
        <f t="shared" ca="1" si="1"/>
        <v>2.8141485677767308E-3</v>
      </c>
      <c r="M6" s="44">
        <v>4</v>
      </c>
      <c r="N6" s="44">
        <v>4</v>
      </c>
      <c r="O6" s="44">
        <f t="shared" ca="1" si="4"/>
        <v>176</v>
      </c>
      <c r="P6" s="53">
        <f t="shared" ca="1" si="5"/>
        <v>15.680938086082474</v>
      </c>
      <c r="Q6" s="41">
        <f t="shared" ca="1" si="6"/>
        <v>2760</v>
      </c>
      <c r="R6" s="41"/>
      <c r="S6" s="48"/>
      <c r="T6" s="41"/>
      <c r="U6" s="41"/>
    </row>
    <row r="7" spans="1:21" ht="15" x14ac:dyDescent="0.25">
      <c r="A7" s="49">
        <v>5</v>
      </c>
      <c r="B7" s="50">
        <f t="shared" ca="1" si="0"/>
        <v>3578</v>
      </c>
      <c r="C7" s="51">
        <f t="shared" ca="1" si="2"/>
        <v>2760</v>
      </c>
      <c r="D7" s="52">
        <f t="shared" ca="1" si="3"/>
        <v>3320</v>
      </c>
      <c r="E7" s="55"/>
      <c r="F7" s="14">
        <v>5</v>
      </c>
      <c r="G7" s="36">
        <v>7172</v>
      </c>
      <c r="H7" s="36">
        <v>2078</v>
      </c>
      <c r="I7" s="36">
        <v>2490</v>
      </c>
      <c r="L7" s="41">
        <f t="shared" ca="1" si="1"/>
        <v>0.86070355724975267</v>
      </c>
      <c r="M7" s="44">
        <v>5</v>
      </c>
      <c r="N7" s="44">
        <v>5</v>
      </c>
      <c r="O7" s="44">
        <f t="shared" ca="1" si="4"/>
        <v>190</v>
      </c>
      <c r="P7" s="53">
        <f t="shared" ca="1" si="5"/>
        <v>17.473770927876494</v>
      </c>
      <c r="Q7" s="41">
        <f t="shared" ca="1" si="6"/>
        <v>3320</v>
      </c>
      <c r="R7" s="41"/>
      <c r="S7" s="48"/>
      <c r="T7" s="41"/>
      <c r="U7" s="41"/>
    </row>
    <row r="8" spans="1:21" ht="15" x14ac:dyDescent="0.25">
      <c r="A8" s="49">
        <v>6</v>
      </c>
      <c r="B8" s="50">
        <f t="shared" ca="1" si="0"/>
        <v>2760</v>
      </c>
      <c r="C8" s="51">
        <f t="shared" ca="1" si="2"/>
        <v>3077</v>
      </c>
      <c r="D8" s="52">
        <f t="shared" ca="1" si="3"/>
        <v>2553</v>
      </c>
      <c r="E8" s="55"/>
      <c r="F8" s="14">
        <v>6</v>
      </c>
      <c r="G8" s="36">
        <v>6532</v>
      </c>
      <c r="H8" s="36">
        <v>2216</v>
      </c>
      <c r="I8" s="36">
        <v>1984</v>
      </c>
      <c r="L8" s="41">
        <f t="shared" ca="1" si="1"/>
        <v>0.89568618894355911</v>
      </c>
      <c r="M8" s="44">
        <v>6</v>
      </c>
      <c r="N8" s="44">
        <v>6</v>
      </c>
      <c r="O8" s="44">
        <f t="shared" ca="1" si="4"/>
        <v>204</v>
      </c>
      <c r="P8" s="53">
        <f t="shared" ca="1" si="5"/>
        <v>12.515763351935631</v>
      </c>
      <c r="Q8" s="41">
        <f t="shared" ca="1" si="6"/>
        <v>2553</v>
      </c>
      <c r="R8" s="41"/>
      <c r="S8" s="48"/>
      <c r="T8" s="41"/>
      <c r="U8" s="41"/>
    </row>
    <row r="9" spans="1:21" ht="15" x14ac:dyDescent="0.25">
      <c r="A9" s="49">
        <v>7</v>
      </c>
      <c r="B9" s="50">
        <f t="shared" ca="1" si="0"/>
        <v>13601</v>
      </c>
      <c r="C9" s="51">
        <f t="shared" ca="1" si="2"/>
        <v>3320</v>
      </c>
      <c r="D9" s="52">
        <f t="shared" ca="1" si="3"/>
        <v>3239</v>
      </c>
      <c r="E9" s="55"/>
      <c r="F9" s="14">
        <v>7</v>
      </c>
      <c r="G9" s="36">
        <v>6032</v>
      </c>
      <c r="H9" s="36">
        <v>2452</v>
      </c>
      <c r="I9" s="36">
        <v>2216</v>
      </c>
      <c r="L9" s="41">
        <f t="shared" ca="1" si="1"/>
        <v>0.15934968856765119</v>
      </c>
      <c r="M9" s="44">
        <v>8</v>
      </c>
      <c r="N9" s="44">
        <v>7</v>
      </c>
      <c r="O9" s="44">
        <f t="shared" ca="1" si="4"/>
        <v>218</v>
      </c>
      <c r="P9" s="53">
        <f t="shared" ca="1" si="5"/>
        <v>14.857430073684023</v>
      </c>
      <c r="Q9" s="41">
        <f t="shared" ca="1" si="6"/>
        <v>3239</v>
      </c>
      <c r="R9" s="41"/>
      <c r="S9" s="48"/>
      <c r="T9" s="41"/>
      <c r="U9" s="41"/>
    </row>
    <row r="10" spans="1:21" ht="15" x14ac:dyDescent="0.25">
      <c r="A10" s="49">
        <v>8</v>
      </c>
      <c r="B10" s="50">
        <f t="shared" ca="1" si="0"/>
        <v>11742</v>
      </c>
      <c r="C10" s="51">
        <f t="shared" ca="1" si="2"/>
        <v>3239</v>
      </c>
      <c r="D10" s="52">
        <f t="shared" ca="1" si="3"/>
        <v>3578</v>
      </c>
      <c r="E10" s="55"/>
      <c r="F10" s="14">
        <v>8</v>
      </c>
      <c r="G10" s="36">
        <v>7472</v>
      </c>
      <c r="H10" s="36">
        <v>2323</v>
      </c>
      <c r="I10" s="36">
        <v>2528</v>
      </c>
      <c r="L10" s="41">
        <f t="shared" ca="1" si="1"/>
        <v>0.41703280929246722</v>
      </c>
      <c r="M10" s="44">
        <v>7</v>
      </c>
      <c r="N10" s="44">
        <v>8</v>
      </c>
      <c r="O10" s="44">
        <f ca="1">INT($R$1+$S$1*N10)</f>
        <v>232</v>
      </c>
      <c r="P10" s="53">
        <f t="shared" ca="1" si="5"/>
        <v>15.423405861709151</v>
      </c>
      <c r="Q10" s="41">
        <f t="shared" ca="1" si="6"/>
        <v>3578</v>
      </c>
      <c r="R10" s="41"/>
      <c r="S10" s="48"/>
      <c r="T10" s="41"/>
      <c r="U10" s="41"/>
    </row>
    <row r="11" spans="1:21" ht="15" x14ac:dyDescent="0.25">
      <c r="A11" s="49">
        <v>9</v>
      </c>
      <c r="B11" s="50">
        <f t="shared" ca="1" si="0"/>
        <v>9419</v>
      </c>
      <c r="C11" s="51">
        <f t="shared" ca="1" si="2"/>
        <v>4198</v>
      </c>
      <c r="D11" s="52">
        <f t="shared" ca="1" si="3"/>
        <v>4020</v>
      </c>
      <c r="E11" s="55"/>
      <c r="F11" s="14">
        <v>9</v>
      </c>
      <c r="G11" s="36">
        <v>5714</v>
      </c>
      <c r="H11" s="36">
        <v>2946</v>
      </c>
      <c r="I11" s="36">
        <v>3018</v>
      </c>
      <c r="L11" s="41">
        <f t="shared" ca="1" si="1"/>
        <v>0.57549550553855278</v>
      </c>
      <c r="M11" s="44">
        <v>12</v>
      </c>
      <c r="N11" s="44">
        <v>9</v>
      </c>
      <c r="O11" s="44">
        <f t="shared" ca="1" si="4"/>
        <v>246</v>
      </c>
      <c r="P11" s="53">
        <f t="shared" ca="1" si="5"/>
        <v>16.342170365389567</v>
      </c>
      <c r="Q11" s="41">
        <f t="shared" ca="1" si="6"/>
        <v>4020</v>
      </c>
      <c r="R11" s="41"/>
      <c r="S11" s="48"/>
      <c r="T11" s="41"/>
      <c r="U11" s="41"/>
    </row>
    <row r="12" spans="1:21" ht="15" x14ac:dyDescent="0.25">
      <c r="A12" s="49">
        <v>10</v>
      </c>
      <c r="B12" s="50">
        <f t="shared" ca="1" si="0"/>
        <v>5927</v>
      </c>
      <c r="C12" s="51">
        <f t="shared" ca="1" si="2"/>
        <v>3578</v>
      </c>
      <c r="D12" s="52">
        <f t="shared" ca="1" si="3"/>
        <v>4198</v>
      </c>
      <c r="E12" s="55"/>
      <c r="F12" s="14">
        <v>10</v>
      </c>
      <c r="G12" s="36">
        <v>12275</v>
      </c>
      <c r="H12" s="36">
        <v>2490</v>
      </c>
      <c r="I12" s="36">
        <v>2946</v>
      </c>
      <c r="L12" s="41">
        <f t="shared" ca="1" si="1"/>
        <v>0.70202366878231504</v>
      </c>
      <c r="M12" s="44">
        <v>9</v>
      </c>
      <c r="N12" s="44">
        <v>10</v>
      </c>
      <c r="O12" s="44">
        <f t="shared" ca="1" si="4"/>
        <v>260</v>
      </c>
      <c r="P12" s="53">
        <f t="shared" ca="1" si="5"/>
        <v>16.147609773890526</v>
      </c>
      <c r="Q12" s="41">
        <f t="shared" ca="1" si="6"/>
        <v>4198</v>
      </c>
      <c r="R12" s="41"/>
      <c r="S12" s="48"/>
      <c r="T12" s="41"/>
      <c r="U12" s="41"/>
    </row>
    <row r="13" spans="1:21" ht="15" x14ac:dyDescent="0.25">
      <c r="A13" s="49">
        <v>11</v>
      </c>
      <c r="B13" s="50">
        <f t="shared" ca="1" si="0"/>
        <v>10926</v>
      </c>
      <c r="C13" s="51">
        <f t="shared" ca="1" si="2"/>
        <v>4013</v>
      </c>
      <c r="D13" s="52">
        <f t="shared" ca="1" si="3"/>
        <v>3077</v>
      </c>
      <c r="E13" s="55"/>
      <c r="F13" s="14">
        <v>11</v>
      </c>
      <c r="G13" s="36">
        <v>3747</v>
      </c>
      <c r="H13" s="36">
        <v>2528</v>
      </c>
      <c r="I13" s="36">
        <v>2323</v>
      </c>
      <c r="L13" s="41">
        <f t="shared" ca="1" si="1"/>
        <v>0.50748849558886744</v>
      </c>
      <c r="M13" s="44">
        <v>10</v>
      </c>
      <c r="N13" s="44">
        <v>11</v>
      </c>
      <c r="O13" s="44">
        <f t="shared" ca="1" si="4"/>
        <v>274</v>
      </c>
      <c r="P13" s="53">
        <f t="shared" ca="1" si="5"/>
        <v>11.228638152736062</v>
      </c>
      <c r="Q13" s="41">
        <f t="shared" ca="1" si="6"/>
        <v>3077</v>
      </c>
      <c r="R13" s="41"/>
      <c r="S13" s="48"/>
      <c r="T13" s="41"/>
      <c r="U13" s="41"/>
    </row>
    <row r="14" spans="1:21" ht="15" x14ac:dyDescent="0.25">
      <c r="A14" s="49">
        <v>12</v>
      </c>
      <c r="B14" s="50">
        <f t="shared" ca="1" si="0"/>
        <v>2233</v>
      </c>
      <c r="C14" s="51">
        <f t="shared" ca="1" si="2"/>
        <v>4020</v>
      </c>
      <c r="D14" s="52">
        <f t="shared" ca="1" si="3"/>
        <v>4013</v>
      </c>
      <c r="E14" s="55"/>
      <c r="F14" s="14">
        <v>12</v>
      </c>
      <c r="G14" s="36">
        <v>2323</v>
      </c>
      <c r="H14" s="36">
        <v>2877</v>
      </c>
      <c r="I14" s="36">
        <v>2452</v>
      </c>
      <c r="L14" s="41">
        <f t="shared" ca="1" si="1"/>
        <v>0.93682327338216442</v>
      </c>
      <c r="M14" s="44">
        <v>11</v>
      </c>
      <c r="N14" s="44">
        <v>12</v>
      </c>
      <c r="O14" s="44">
        <f t="shared" ca="1" si="4"/>
        <v>288</v>
      </c>
      <c r="P14" s="53">
        <f t="shared" ca="1" si="5"/>
        <v>13.933251150962061</v>
      </c>
      <c r="Q14" s="41">
        <f t="shared" ca="1" si="6"/>
        <v>4013</v>
      </c>
      <c r="R14" s="41"/>
      <c r="S14" s="48"/>
      <c r="T14" s="41"/>
      <c r="U14" s="41"/>
    </row>
    <row r="15" spans="1:21" ht="15" x14ac:dyDescent="0.25">
      <c r="A15" s="49">
        <v>13</v>
      </c>
      <c r="B15" s="50">
        <f t="shared" ca="1" si="0"/>
        <v>7691</v>
      </c>
      <c r="C15" s="51">
        <f t="shared" ca="1" si="2"/>
        <v>4752</v>
      </c>
      <c r="D15" s="52">
        <f t="shared" ca="1" si="3"/>
        <v>4616</v>
      </c>
      <c r="E15" s="55"/>
      <c r="F15" s="14">
        <v>13</v>
      </c>
      <c r="G15" s="36">
        <v>2216</v>
      </c>
      <c r="H15" s="36">
        <v>3019</v>
      </c>
      <c r="I15" s="36">
        <v>3019</v>
      </c>
      <c r="L15" s="41">
        <f t="shared" ca="1" si="1"/>
        <v>0.56425632531832615</v>
      </c>
      <c r="M15" s="44">
        <v>14</v>
      </c>
      <c r="N15" s="44">
        <v>13</v>
      </c>
      <c r="O15" s="44">
        <f t="shared" ca="1" si="4"/>
        <v>302</v>
      </c>
      <c r="P15" s="53">
        <f t="shared" ca="1" si="5"/>
        <v>15.285982288170009</v>
      </c>
      <c r="Q15" s="41">
        <f t="shared" ca="1" si="6"/>
        <v>4616</v>
      </c>
      <c r="R15" s="41"/>
      <c r="S15" s="48"/>
      <c r="T15" s="41"/>
      <c r="U15" s="41"/>
    </row>
    <row r="16" spans="1:21" ht="15" x14ac:dyDescent="0.25">
      <c r="A16" s="49">
        <v>14</v>
      </c>
      <c r="B16" s="50">
        <f t="shared" ca="1" si="0"/>
        <v>8940</v>
      </c>
      <c r="C16" s="51">
        <f t="shared" ca="1" si="2"/>
        <v>5117</v>
      </c>
      <c r="D16" s="52">
        <f t="shared" ca="1" si="3"/>
        <v>5117</v>
      </c>
      <c r="E16" s="55"/>
      <c r="F16" s="14">
        <v>14</v>
      </c>
      <c r="G16" s="36">
        <v>6894</v>
      </c>
      <c r="H16" s="36">
        <v>3498</v>
      </c>
      <c r="I16" s="36">
        <v>3498</v>
      </c>
      <c r="L16" s="41">
        <f t="shared" ca="1" si="1"/>
        <v>0.49033369232630875</v>
      </c>
      <c r="M16" s="44">
        <v>16</v>
      </c>
      <c r="N16" s="44">
        <v>14</v>
      </c>
      <c r="O16" s="44">
        <f t="shared" ca="1" si="4"/>
        <v>316</v>
      </c>
      <c r="P16" s="53">
        <f t="shared" ca="1" si="5"/>
        <v>16.191469050673895</v>
      </c>
      <c r="Q16" s="41">
        <f t="shared" ca="1" si="6"/>
        <v>5117</v>
      </c>
      <c r="R16" s="41"/>
      <c r="S16" s="48"/>
      <c r="T16" s="41"/>
      <c r="U16" s="41"/>
    </row>
    <row r="17" spans="1:21" ht="15" x14ac:dyDescent="0.25">
      <c r="A17" s="49">
        <v>15</v>
      </c>
      <c r="B17" s="50">
        <f t="shared" ca="1" si="0"/>
        <v>12292</v>
      </c>
      <c r="C17" s="51">
        <f t="shared" ca="1" si="2"/>
        <v>5702</v>
      </c>
      <c r="D17" s="52">
        <f t="shared" ca="1" si="3"/>
        <v>5927</v>
      </c>
      <c r="E17" s="55"/>
      <c r="F17" s="14">
        <v>15</v>
      </c>
      <c r="G17" s="36">
        <v>10359</v>
      </c>
      <c r="H17" s="36">
        <v>3743</v>
      </c>
      <c r="I17" s="36">
        <v>3747</v>
      </c>
      <c r="L17" s="41">
        <f t="shared" ca="1" si="1"/>
        <v>0.19783140997999327</v>
      </c>
      <c r="M17" s="44">
        <v>18</v>
      </c>
      <c r="N17" s="44">
        <v>15</v>
      </c>
      <c r="O17" s="44">
        <f t="shared" ca="1" si="4"/>
        <v>330</v>
      </c>
      <c r="P17" s="53">
        <f t="shared" ca="1" si="5"/>
        <v>17.960711037983369</v>
      </c>
      <c r="Q17" s="41">
        <f t="shared" ca="1" si="6"/>
        <v>5927</v>
      </c>
      <c r="R17" s="41"/>
      <c r="S17" s="48"/>
      <c r="T17" s="41"/>
      <c r="U17" s="41"/>
    </row>
    <row r="18" spans="1:21" ht="15" x14ac:dyDescent="0.25">
      <c r="A18" s="49">
        <v>16</v>
      </c>
      <c r="B18" s="50">
        <f t="shared" ca="1" si="0"/>
        <v>11309</v>
      </c>
      <c r="C18" s="51">
        <f t="shared" ca="1" si="2"/>
        <v>4616</v>
      </c>
      <c r="D18" s="52">
        <f t="shared" ca="1" si="3"/>
        <v>4752</v>
      </c>
      <c r="E18" s="55"/>
      <c r="F18" s="14">
        <v>16</v>
      </c>
      <c r="G18" s="36">
        <v>4421</v>
      </c>
      <c r="H18" s="36">
        <v>3018</v>
      </c>
      <c r="I18" s="36">
        <v>3099</v>
      </c>
      <c r="L18" s="41">
        <f t="shared" ca="1" si="1"/>
        <v>0.45697274961700585</v>
      </c>
      <c r="M18" s="44">
        <v>13</v>
      </c>
      <c r="N18" s="44">
        <v>16</v>
      </c>
      <c r="O18" s="44">
        <f t="shared" ca="1" si="4"/>
        <v>344</v>
      </c>
      <c r="P18" s="53">
        <f t="shared" ca="1" si="5"/>
        <v>13.813109249316607</v>
      </c>
      <c r="Q18" s="41">
        <f t="shared" ca="1" si="6"/>
        <v>4752</v>
      </c>
      <c r="R18" s="41"/>
      <c r="S18" s="48"/>
      <c r="T18" s="41"/>
      <c r="U18" s="41"/>
    </row>
    <row r="19" spans="1:21" ht="15" x14ac:dyDescent="0.25">
      <c r="A19" s="49">
        <v>17</v>
      </c>
      <c r="B19" s="50">
        <f t="shared" ca="1" si="0"/>
        <v>15486</v>
      </c>
      <c r="C19" s="51">
        <f t="shared" ca="1" si="2"/>
        <v>5455</v>
      </c>
      <c r="D19" s="52">
        <f t="shared" ca="1" si="3"/>
        <v>4939</v>
      </c>
      <c r="E19" s="55"/>
      <c r="F19" s="14">
        <v>17</v>
      </c>
      <c r="G19" s="36">
        <v>8720</v>
      </c>
      <c r="H19" s="36">
        <v>3578</v>
      </c>
      <c r="I19" s="36">
        <v>2877</v>
      </c>
      <c r="L19" s="41">
        <f t="shared" ca="1" si="1"/>
        <v>3.8015401273752469E-2</v>
      </c>
      <c r="M19" s="44">
        <v>17</v>
      </c>
      <c r="N19" s="44">
        <v>17</v>
      </c>
      <c r="O19" s="44">
        <f t="shared" ca="1" si="4"/>
        <v>358</v>
      </c>
      <c r="P19" s="53">
        <f t="shared" ca="1" si="5"/>
        <v>13.796005189167325</v>
      </c>
      <c r="Q19" s="41">
        <f t="shared" ca="1" si="6"/>
        <v>4939</v>
      </c>
      <c r="R19" s="41"/>
      <c r="S19" s="48"/>
      <c r="T19" s="41"/>
      <c r="U19" s="41"/>
    </row>
    <row r="20" spans="1:21" ht="15" x14ac:dyDescent="0.25">
      <c r="A20" s="49">
        <v>18</v>
      </c>
      <c r="B20" s="50">
        <f t="shared" ca="1" si="0"/>
        <v>12543</v>
      </c>
      <c r="C20" s="51">
        <f t="shared" ca="1" si="2"/>
        <v>4939</v>
      </c>
      <c r="D20" s="52">
        <f t="shared" ca="1" si="3"/>
        <v>5906</v>
      </c>
      <c r="E20" s="55"/>
      <c r="F20" s="14">
        <v>18</v>
      </c>
      <c r="G20" s="36">
        <v>6526</v>
      </c>
      <c r="H20" s="36">
        <v>3099</v>
      </c>
      <c r="I20" s="36">
        <v>3779</v>
      </c>
      <c r="L20" s="41">
        <f t="shared" ca="1" si="1"/>
        <v>0.41329016081612491</v>
      </c>
      <c r="M20" s="44">
        <v>15</v>
      </c>
      <c r="N20" s="44">
        <v>18</v>
      </c>
      <c r="O20" s="44">
        <f t="shared" ca="1" si="4"/>
        <v>372</v>
      </c>
      <c r="P20" s="53">
        <f t="shared" ca="1" si="5"/>
        <v>15.876013442959467</v>
      </c>
      <c r="Q20" s="41">
        <f t="shared" ca="1" si="6"/>
        <v>5906</v>
      </c>
      <c r="R20" s="41"/>
      <c r="S20" s="48"/>
      <c r="T20" s="41"/>
      <c r="U20" s="41"/>
    </row>
    <row r="21" spans="1:21" ht="15" x14ac:dyDescent="0.25">
      <c r="A21" s="49">
        <v>19</v>
      </c>
      <c r="B21" s="50">
        <f t="shared" ca="1" si="0"/>
        <v>16134</v>
      </c>
      <c r="C21" s="51">
        <f t="shared" ca="1" si="2"/>
        <v>5859</v>
      </c>
      <c r="D21" s="52">
        <f t="shared" ca="1" si="3"/>
        <v>5702</v>
      </c>
      <c r="E21" s="55"/>
      <c r="F21" s="14">
        <v>19</v>
      </c>
      <c r="G21" s="36">
        <v>12037</v>
      </c>
      <c r="H21" s="36">
        <v>3747</v>
      </c>
      <c r="I21" s="36">
        <v>4336</v>
      </c>
      <c r="L21" s="41">
        <f t="shared" ca="1" si="1"/>
        <v>0.1467734136262504</v>
      </c>
      <c r="M21" s="44">
        <v>19</v>
      </c>
      <c r="N21" s="44">
        <v>19</v>
      </c>
      <c r="O21" s="44">
        <f t="shared" ca="1" si="4"/>
        <v>386</v>
      </c>
      <c r="P21" s="53">
        <f t="shared" ca="1" si="5"/>
        <v>14.771917554655055</v>
      </c>
      <c r="Q21" s="41">
        <f t="shared" ca="1" si="6"/>
        <v>5702</v>
      </c>
      <c r="R21" s="41"/>
      <c r="S21" s="48"/>
      <c r="T21" s="41"/>
      <c r="U21" s="41"/>
    </row>
    <row r="22" spans="1:21" ht="15" x14ac:dyDescent="0.25">
      <c r="A22" s="49">
        <v>20</v>
      </c>
      <c r="B22" s="50">
        <f t="shared" ca="1" si="0"/>
        <v>8774</v>
      </c>
      <c r="C22" s="51">
        <f t="shared" ca="1" si="2"/>
        <v>5906</v>
      </c>
      <c r="D22" s="52">
        <f t="shared" ca="1" si="3"/>
        <v>6510</v>
      </c>
      <c r="E22" s="55"/>
      <c r="F22" s="14">
        <v>20</v>
      </c>
      <c r="G22" s="36">
        <v>8593</v>
      </c>
      <c r="H22" s="36">
        <v>3779</v>
      </c>
      <c r="I22" s="36">
        <v>4492</v>
      </c>
      <c r="L22" s="41">
        <f t="shared" ca="1" si="1"/>
        <v>0.58897649297211185</v>
      </c>
      <c r="M22" s="44">
        <v>20</v>
      </c>
      <c r="N22" s="44">
        <v>20</v>
      </c>
      <c r="O22" s="44">
        <f t="shared" ca="1" si="4"/>
        <v>400</v>
      </c>
      <c r="P22" s="53">
        <f t="shared" ca="1" si="5"/>
        <v>16.276182571745831</v>
      </c>
      <c r="Q22" s="41">
        <f t="shared" ca="1" si="6"/>
        <v>6510</v>
      </c>
      <c r="R22" s="41"/>
      <c r="S22" s="48"/>
      <c r="T22" s="41"/>
      <c r="U22" s="41"/>
    </row>
    <row r="23" spans="1:21" ht="15" x14ac:dyDescent="0.25">
      <c r="A23" s="49">
        <v>21</v>
      </c>
      <c r="B23" s="50">
        <f t="shared" ca="1" si="0"/>
        <v>4198</v>
      </c>
      <c r="C23" s="51">
        <f t="shared" ca="1" si="2"/>
        <v>6510</v>
      </c>
      <c r="D23" s="52">
        <f t="shared" ca="1" si="3"/>
        <v>5455</v>
      </c>
      <c r="E23" s="55"/>
      <c r="F23" s="14">
        <v>21</v>
      </c>
      <c r="G23" s="36">
        <v>3578</v>
      </c>
      <c r="H23" s="36">
        <v>4336</v>
      </c>
      <c r="I23" s="36">
        <v>3578</v>
      </c>
      <c r="L23" s="41">
        <f t="shared" ca="1" si="1"/>
        <v>0.80802683988911117</v>
      </c>
      <c r="M23" s="44">
        <v>24</v>
      </c>
      <c r="N23" s="44">
        <v>21</v>
      </c>
      <c r="O23" s="44">
        <f t="shared" ca="1" si="4"/>
        <v>414</v>
      </c>
      <c r="P23" s="53">
        <f t="shared" ca="1" si="5"/>
        <v>13.17591191870676</v>
      </c>
      <c r="Q23" s="41">
        <f t="shared" ca="1" si="6"/>
        <v>5455</v>
      </c>
      <c r="R23" s="41"/>
      <c r="S23" s="48"/>
      <c r="T23" s="41"/>
      <c r="U23" s="41"/>
    </row>
    <row r="24" spans="1:21" ht="15" x14ac:dyDescent="0.25">
      <c r="A24" s="49">
        <v>22</v>
      </c>
      <c r="B24" s="50">
        <f t="shared" ca="1" si="0"/>
        <v>12794</v>
      </c>
      <c r="C24" s="51">
        <f t="shared" ca="1" si="2"/>
        <v>6206</v>
      </c>
      <c r="D24" s="52">
        <f t="shared" ca="1" si="3"/>
        <v>5859</v>
      </c>
      <c r="E24" s="55"/>
      <c r="F24" s="14">
        <v>22</v>
      </c>
      <c r="G24" s="36">
        <v>3018</v>
      </c>
      <c r="H24" s="36">
        <v>4185</v>
      </c>
      <c r="I24" s="36">
        <v>4185</v>
      </c>
      <c r="L24" s="41">
        <f t="shared" ca="1" si="1"/>
        <v>0.38182788841100568</v>
      </c>
      <c r="M24" s="44">
        <v>22</v>
      </c>
      <c r="N24" s="44">
        <v>22</v>
      </c>
      <c r="O24" s="44">
        <f t="shared" ca="1" si="4"/>
        <v>428</v>
      </c>
      <c r="P24" s="53">
        <f t="shared" ca="1" si="5"/>
        <v>13.689637617855579</v>
      </c>
      <c r="Q24" s="41">
        <f t="shared" ca="1" si="6"/>
        <v>5859</v>
      </c>
      <c r="R24" s="41"/>
      <c r="S24" s="48"/>
      <c r="T24" s="41"/>
      <c r="U24" s="41"/>
    </row>
    <row r="25" spans="1:21" ht="15" x14ac:dyDescent="0.25">
      <c r="A25" s="49">
        <v>23</v>
      </c>
      <c r="B25" s="50">
        <f t="shared" ca="1" si="0"/>
        <v>15839</v>
      </c>
      <c r="C25" s="51">
        <f t="shared" ca="1" si="2"/>
        <v>6352</v>
      </c>
      <c r="D25" s="52">
        <f t="shared" ca="1" si="3"/>
        <v>6919</v>
      </c>
      <c r="E25" s="55"/>
      <c r="F25" s="14">
        <v>23</v>
      </c>
      <c r="G25" s="36">
        <v>4185</v>
      </c>
      <c r="H25" s="36">
        <v>4254</v>
      </c>
      <c r="I25" s="36">
        <v>4523</v>
      </c>
      <c r="L25" s="41">
        <f t="shared" ca="1" si="1"/>
        <v>8.216144077210108E-2</v>
      </c>
      <c r="M25" s="44">
        <v>23</v>
      </c>
      <c r="N25" s="44">
        <v>23</v>
      </c>
      <c r="O25" s="44">
        <f t="shared" ca="1" si="4"/>
        <v>442</v>
      </c>
      <c r="P25" s="53">
        <f t="shared" ca="1" si="5"/>
        <v>15.654220451056435</v>
      </c>
      <c r="Q25" s="41">
        <f t="shared" ca="1" si="6"/>
        <v>6919</v>
      </c>
      <c r="R25" s="41"/>
      <c r="S25" s="48"/>
      <c r="T25" s="41"/>
      <c r="U25" s="41"/>
    </row>
    <row r="26" spans="1:21" ht="15" x14ac:dyDescent="0.25">
      <c r="A26" s="49">
        <v>24</v>
      </c>
      <c r="B26" s="50">
        <f t="shared" ca="1" si="0"/>
        <v>10326</v>
      </c>
      <c r="C26" s="51">
        <f t="shared" ca="1" si="2"/>
        <v>6919</v>
      </c>
      <c r="D26" s="52">
        <f t="shared" ca="1" si="3"/>
        <v>7125</v>
      </c>
      <c r="E26" s="55"/>
      <c r="F26" s="14">
        <v>24</v>
      </c>
      <c r="G26" s="36">
        <v>9678</v>
      </c>
      <c r="H26" s="36">
        <v>4421</v>
      </c>
      <c r="I26" s="36">
        <v>5005</v>
      </c>
      <c r="L26" s="41">
        <f t="shared" ca="1" si="1"/>
        <v>0.20173050840626305</v>
      </c>
      <c r="M26" s="44">
        <v>25</v>
      </c>
      <c r="N26" s="44">
        <v>24</v>
      </c>
      <c r="O26" s="44">
        <f t="shared" ca="1" si="4"/>
        <v>456</v>
      </c>
      <c r="P26" s="53">
        <f t="shared" ca="1" si="5"/>
        <v>15.625881458771252</v>
      </c>
      <c r="Q26" s="41">
        <f t="shared" ca="1" si="6"/>
        <v>7125</v>
      </c>
      <c r="R26" s="41"/>
      <c r="S26" s="48"/>
      <c r="T26" s="41"/>
      <c r="U26" s="41"/>
    </row>
    <row r="27" spans="1:21" ht="15" x14ac:dyDescent="0.25">
      <c r="A27" s="49">
        <v>25</v>
      </c>
      <c r="B27" s="50">
        <f t="shared" ca="1" si="0"/>
        <v>8552</v>
      </c>
      <c r="C27" s="51">
        <f t="shared" ca="1" si="2"/>
        <v>5927</v>
      </c>
      <c r="D27" s="52">
        <f t="shared" ca="1" si="3"/>
        <v>8714</v>
      </c>
      <c r="E27" s="55"/>
      <c r="F27" s="14">
        <v>25</v>
      </c>
      <c r="G27" s="36">
        <v>9442</v>
      </c>
      <c r="H27" s="36">
        <v>3935</v>
      </c>
      <c r="I27" s="36">
        <v>5417</v>
      </c>
      <c r="L27" s="41">
        <f t="shared" ca="1" si="1"/>
        <v>0.49452586531506981</v>
      </c>
      <c r="M27" s="44">
        <v>21</v>
      </c>
      <c r="N27" s="44">
        <v>25</v>
      </c>
      <c r="O27" s="44">
        <f t="shared" ca="1" si="4"/>
        <v>470</v>
      </c>
      <c r="P27" s="53">
        <f t="shared" ca="1" si="5"/>
        <v>18.539711948788156</v>
      </c>
      <c r="Q27" s="41">
        <f t="shared" ca="1" si="6"/>
        <v>8714</v>
      </c>
      <c r="R27" s="41"/>
      <c r="S27" s="48"/>
      <c r="T27" s="41"/>
      <c r="U27" s="41"/>
    </row>
    <row r="28" spans="1:21" ht="15" x14ac:dyDescent="0.25">
      <c r="A28" s="49">
        <v>26</v>
      </c>
      <c r="B28" s="50">
        <f t="shared" ca="1" si="0"/>
        <v>18878</v>
      </c>
      <c r="C28" s="51">
        <f t="shared" ca="1" si="2"/>
        <v>7326</v>
      </c>
      <c r="D28" s="52">
        <f t="shared" ca="1" si="3"/>
        <v>6206</v>
      </c>
      <c r="E28" s="55"/>
      <c r="F28" s="14">
        <v>26</v>
      </c>
      <c r="G28" s="36">
        <v>9895</v>
      </c>
      <c r="H28" s="36">
        <v>4523</v>
      </c>
      <c r="I28" s="36">
        <v>3935</v>
      </c>
      <c r="L28" s="41">
        <f t="shared" ca="1" si="1"/>
        <v>0.13316785127871711</v>
      </c>
      <c r="M28" s="44">
        <v>27</v>
      </c>
      <c r="N28" s="44">
        <v>26</v>
      </c>
      <c r="O28" s="44">
        <f t="shared" ca="1" si="4"/>
        <v>484</v>
      </c>
      <c r="P28" s="53">
        <f t="shared" ca="1" si="5"/>
        <v>12.82227239936209</v>
      </c>
      <c r="Q28" s="41">
        <f t="shared" ca="1" si="6"/>
        <v>6206</v>
      </c>
      <c r="R28" s="41"/>
      <c r="S28" s="48"/>
      <c r="T28" s="41"/>
      <c r="U28" s="41"/>
    </row>
    <row r="29" spans="1:21" ht="15" x14ac:dyDescent="0.25">
      <c r="A29" s="49">
        <v>27</v>
      </c>
      <c r="B29" s="50">
        <f t="shared" ca="1" si="0"/>
        <v>15840</v>
      </c>
      <c r="C29" s="51">
        <f t="shared" ca="1" si="2"/>
        <v>7125</v>
      </c>
      <c r="D29" s="52">
        <f t="shared" ca="1" si="3"/>
        <v>6352</v>
      </c>
      <c r="E29" s="55"/>
      <c r="F29" s="14">
        <v>27</v>
      </c>
      <c r="G29" s="36">
        <v>5005</v>
      </c>
      <c r="H29" s="36">
        <v>4492</v>
      </c>
      <c r="I29" s="36">
        <v>4254</v>
      </c>
      <c r="L29" s="41">
        <f t="shared" ca="1" si="1"/>
        <v>0.15786747561702907</v>
      </c>
      <c r="M29" s="44">
        <v>26</v>
      </c>
      <c r="N29" s="44">
        <v>27</v>
      </c>
      <c r="O29" s="44">
        <f t="shared" ca="1" si="4"/>
        <v>498</v>
      </c>
      <c r="P29" s="53">
        <f t="shared" ca="1" si="5"/>
        <v>12.754921843748274</v>
      </c>
      <c r="Q29" s="41">
        <f t="shared" ca="1" si="6"/>
        <v>6352</v>
      </c>
      <c r="R29" s="41"/>
      <c r="S29" s="48"/>
      <c r="T29" s="41"/>
      <c r="U29" s="41"/>
    </row>
    <row r="30" spans="1:21" ht="15" x14ac:dyDescent="0.25">
      <c r="A30" s="49">
        <v>28</v>
      </c>
      <c r="B30" s="50">
        <f t="shared" ca="1" si="0"/>
        <v>11254</v>
      </c>
      <c r="C30" s="51">
        <f t="shared" ca="1" si="2"/>
        <v>8940</v>
      </c>
      <c r="D30" s="52">
        <f t="shared" ca="1" si="3"/>
        <v>7326</v>
      </c>
      <c r="E30" s="55"/>
      <c r="F30" s="14">
        <v>28</v>
      </c>
      <c r="G30" s="36">
        <v>7242</v>
      </c>
      <c r="H30" s="36">
        <v>5461</v>
      </c>
      <c r="I30" s="36">
        <v>4421</v>
      </c>
      <c r="L30" s="41">
        <f t="shared" ca="1" si="1"/>
        <v>0.47228027452950294</v>
      </c>
      <c r="M30" s="44">
        <v>33</v>
      </c>
      <c r="N30" s="44">
        <v>28</v>
      </c>
      <c r="O30" s="44">
        <f t="shared" ca="1" si="4"/>
        <v>512</v>
      </c>
      <c r="P30" s="53">
        <f t="shared" ca="1" si="5"/>
        <v>14.30946973059338</v>
      </c>
      <c r="Q30" s="41">
        <f t="shared" ca="1" si="6"/>
        <v>7326</v>
      </c>
      <c r="R30" s="41"/>
      <c r="S30" s="48"/>
      <c r="T30" s="41"/>
      <c r="U30" s="41"/>
    </row>
    <row r="31" spans="1:21" ht="15" x14ac:dyDescent="0.25">
      <c r="A31" s="49">
        <v>29</v>
      </c>
      <c r="B31" s="50">
        <f t="shared" ca="1" si="0"/>
        <v>16540</v>
      </c>
      <c r="C31" s="51">
        <f t="shared" ca="1" si="2"/>
        <v>9055</v>
      </c>
      <c r="D31" s="52">
        <f t="shared" ca="1" si="3"/>
        <v>8774</v>
      </c>
      <c r="E31" s="55"/>
      <c r="F31" s="14">
        <v>29</v>
      </c>
      <c r="G31" s="36">
        <v>5461</v>
      </c>
      <c r="H31" s="36">
        <v>5475</v>
      </c>
      <c r="I31" s="36">
        <v>5130</v>
      </c>
      <c r="L31" s="41">
        <f t="shared" ca="1" si="1"/>
        <v>0.17148637274026379</v>
      </c>
      <c r="M31" s="44">
        <v>34</v>
      </c>
      <c r="N31" s="44">
        <v>29</v>
      </c>
      <c r="O31" s="44">
        <f t="shared" ca="1" si="4"/>
        <v>526</v>
      </c>
      <c r="P31" s="53">
        <f t="shared" ca="1" si="5"/>
        <v>16.679920648148435</v>
      </c>
      <c r="Q31" s="41">
        <f t="shared" ca="1" si="6"/>
        <v>8774</v>
      </c>
      <c r="R31" s="41"/>
      <c r="S31" s="48"/>
      <c r="T31" s="41"/>
      <c r="U31" s="41"/>
    </row>
    <row r="32" spans="1:21" ht="15" x14ac:dyDescent="0.25">
      <c r="A32" s="49">
        <v>30</v>
      </c>
      <c r="B32" s="50">
        <f t="shared" ca="1" si="0"/>
        <v>8714</v>
      </c>
      <c r="C32" s="51">
        <f t="shared" ca="1" si="2"/>
        <v>7394</v>
      </c>
      <c r="D32" s="52">
        <f t="shared" ca="1" si="3"/>
        <v>9419</v>
      </c>
      <c r="E32" s="55"/>
      <c r="F32" s="14">
        <v>30</v>
      </c>
      <c r="G32" s="36">
        <v>9652</v>
      </c>
      <c r="H32" s="36">
        <v>4861</v>
      </c>
      <c r="I32" s="36">
        <v>5801</v>
      </c>
      <c r="L32" s="41">
        <f t="shared" ca="1" si="1"/>
        <v>0.62638497135382754</v>
      </c>
      <c r="M32" s="44">
        <v>28</v>
      </c>
      <c r="N32" s="44">
        <v>30</v>
      </c>
      <c r="O32" s="44">
        <f t="shared" ca="1" si="4"/>
        <v>540</v>
      </c>
      <c r="P32" s="53">
        <f t="shared" ca="1" si="5"/>
        <v>17.443308815075451</v>
      </c>
      <c r="Q32" s="41">
        <f t="shared" ca="1" si="6"/>
        <v>9419</v>
      </c>
      <c r="R32" s="41"/>
      <c r="S32" s="48"/>
      <c r="T32" s="41"/>
      <c r="U32" s="41"/>
    </row>
    <row r="33" spans="1:21" ht="15" x14ac:dyDescent="0.25">
      <c r="A33" s="49">
        <v>31</v>
      </c>
      <c r="B33" s="50">
        <f t="shared" ca="1" si="0"/>
        <v>17885</v>
      </c>
      <c r="C33" s="51">
        <f t="shared" ca="1" si="2"/>
        <v>8552</v>
      </c>
      <c r="D33" s="52">
        <f t="shared" ca="1" si="3"/>
        <v>7394</v>
      </c>
      <c r="E33" s="55"/>
      <c r="F33" s="14">
        <v>31</v>
      </c>
      <c r="G33" s="36">
        <v>1690</v>
      </c>
      <c r="H33" s="36">
        <v>5130</v>
      </c>
      <c r="I33" s="36">
        <v>3743</v>
      </c>
      <c r="L33" s="41">
        <f t="shared" ca="1" si="1"/>
        <v>7.9168268465989899E-2</v>
      </c>
      <c r="M33" s="44">
        <v>30</v>
      </c>
      <c r="N33" s="44">
        <v>31</v>
      </c>
      <c r="O33" s="44">
        <f t="shared" ca="1" si="4"/>
        <v>554</v>
      </c>
      <c r="P33" s="53">
        <f t="shared" ca="1" si="5"/>
        <v>13.346197937273434</v>
      </c>
      <c r="Q33" s="41">
        <f t="shared" ca="1" si="6"/>
        <v>7394</v>
      </c>
      <c r="R33" s="41"/>
      <c r="S33" s="48"/>
      <c r="T33" s="41"/>
      <c r="U33" s="41"/>
    </row>
    <row r="34" spans="1:21" ht="15" x14ac:dyDescent="0.25">
      <c r="A34" s="49">
        <v>32</v>
      </c>
      <c r="B34" s="50">
        <f t="shared" ca="1" si="0"/>
        <v>4939</v>
      </c>
      <c r="C34" s="51">
        <f t="shared" ca="1" si="2"/>
        <v>7691</v>
      </c>
      <c r="D34" s="52">
        <f t="shared" ca="1" si="3"/>
        <v>7691</v>
      </c>
      <c r="E34" s="55"/>
      <c r="F34" s="14">
        <v>32</v>
      </c>
      <c r="G34" s="36">
        <v>2946</v>
      </c>
      <c r="H34" s="36">
        <v>5005</v>
      </c>
      <c r="I34" s="36">
        <v>4861</v>
      </c>
      <c r="L34" s="41">
        <f t="shared" ca="1" si="1"/>
        <v>0.6972526949441834</v>
      </c>
      <c r="M34" s="44">
        <v>29</v>
      </c>
      <c r="N34" s="44">
        <v>32</v>
      </c>
      <c r="O34" s="44">
        <f t="shared" ca="1" si="4"/>
        <v>568</v>
      </c>
      <c r="P34" s="53">
        <f t="shared" ca="1" si="5"/>
        <v>13.540455171597628</v>
      </c>
      <c r="Q34" s="41">
        <f t="shared" ca="1" si="6"/>
        <v>7691</v>
      </c>
      <c r="R34" s="41"/>
      <c r="S34" s="48"/>
      <c r="T34" s="41"/>
      <c r="U34" s="41"/>
    </row>
    <row r="35" spans="1:21" ht="15" x14ac:dyDescent="0.25">
      <c r="A35" s="49">
        <v>33</v>
      </c>
      <c r="B35" s="50">
        <f t="shared" ca="1" si="0"/>
        <v>19885</v>
      </c>
      <c r="C35" s="51">
        <f t="shared" ca="1" si="2"/>
        <v>8714</v>
      </c>
      <c r="D35" s="52">
        <f t="shared" ca="1" si="3"/>
        <v>9055</v>
      </c>
      <c r="E35" s="55"/>
      <c r="F35" s="14">
        <v>33</v>
      </c>
      <c r="G35" s="36">
        <v>2877</v>
      </c>
      <c r="H35" s="36">
        <v>5192</v>
      </c>
      <c r="I35" s="36">
        <v>5475</v>
      </c>
      <c r="L35" s="41">
        <f t="shared" ca="1" si="1"/>
        <v>5.281758674859427E-2</v>
      </c>
      <c r="M35" s="44">
        <v>31</v>
      </c>
      <c r="N35" s="44">
        <v>33</v>
      </c>
      <c r="O35" s="44">
        <f t="shared" ca="1" si="4"/>
        <v>582</v>
      </c>
      <c r="P35" s="53">
        <f t="shared" ca="1" si="5"/>
        <v>15.558615982264556</v>
      </c>
      <c r="Q35" s="41">
        <f t="shared" ca="1" si="6"/>
        <v>9055</v>
      </c>
      <c r="R35" s="41"/>
      <c r="S35" s="48"/>
      <c r="T35" s="41"/>
      <c r="U35" s="41"/>
    </row>
    <row r="36" spans="1:21" ht="15" x14ac:dyDescent="0.25">
      <c r="A36" s="49">
        <v>34</v>
      </c>
      <c r="B36" s="50">
        <f t="shared" ca="1" si="0"/>
        <v>3239</v>
      </c>
      <c r="C36" s="51">
        <f t="shared" ca="1" si="2"/>
        <v>8774</v>
      </c>
      <c r="D36" s="52">
        <f t="shared" ca="1" si="3"/>
        <v>9874</v>
      </c>
      <c r="E36" s="55"/>
      <c r="F36" s="14">
        <v>34</v>
      </c>
      <c r="G36" s="36">
        <v>9135</v>
      </c>
      <c r="H36" s="36">
        <v>5417</v>
      </c>
      <c r="I36" s="36">
        <v>5654</v>
      </c>
      <c r="L36" s="41">
        <f t="shared" ca="1" si="1"/>
        <v>0.87420024939017582</v>
      </c>
      <c r="M36" s="44">
        <v>32</v>
      </c>
      <c r="N36" s="44">
        <v>34</v>
      </c>
      <c r="O36" s="44">
        <f t="shared" ca="1" si="4"/>
        <v>596</v>
      </c>
      <c r="P36" s="53">
        <f t="shared" ca="1" si="5"/>
        <v>16.566361214288584</v>
      </c>
      <c r="Q36" s="41">
        <f t="shared" ca="1" si="6"/>
        <v>9874</v>
      </c>
      <c r="R36" s="41"/>
      <c r="S36" s="48"/>
      <c r="T36" s="41"/>
      <c r="U36" s="41"/>
    </row>
    <row r="37" spans="1:21" ht="15" x14ac:dyDescent="0.25">
      <c r="A37" s="49">
        <v>35</v>
      </c>
      <c r="B37" s="50">
        <f t="shared" ca="1" si="0"/>
        <v>12618</v>
      </c>
      <c r="C37" s="51">
        <f t="shared" ca="1" si="2"/>
        <v>9419</v>
      </c>
      <c r="D37" s="52">
        <f t="shared" ca="1" si="3"/>
        <v>10926</v>
      </c>
      <c r="E37" s="55"/>
      <c r="F37" s="14">
        <v>35</v>
      </c>
      <c r="G37" s="36">
        <v>1984</v>
      </c>
      <c r="H37" s="36">
        <v>5561</v>
      </c>
      <c r="I37" s="36">
        <v>6532</v>
      </c>
      <c r="L37" s="41">
        <f t="shared" ca="1" si="1"/>
        <v>0.32782833544342294</v>
      </c>
      <c r="M37" s="44">
        <v>35</v>
      </c>
      <c r="N37" s="44">
        <v>35</v>
      </c>
      <c r="O37" s="44">
        <f t="shared" ca="1" si="4"/>
        <v>610</v>
      </c>
      <c r="P37" s="53">
        <f t="shared" ca="1" si="5"/>
        <v>17.910929966799998</v>
      </c>
      <c r="Q37" s="41">
        <f t="shared" ca="1" si="6"/>
        <v>10926</v>
      </c>
      <c r="R37" s="41"/>
      <c r="S37" s="48"/>
      <c r="T37" s="41"/>
      <c r="U37" s="41"/>
    </row>
    <row r="38" spans="1:21" ht="15" x14ac:dyDescent="0.25">
      <c r="A38" s="49">
        <v>36</v>
      </c>
      <c r="B38" s="50">
        <f t="shared" ca="1" si="0"/>
        <v>4752</v>
      </c>
      <c r="C38" s="51">
        <f t="shared" ca="1" si="2"/>
        <v>10081</v>
      </c>
      <c r="D38" s="52">
        <f t="shared" ca="1" si="3"/>
        <v>8552</v>
      </c>
      <c r="E38" s="55"/>
      <c r="F38" s="14">
        <v>36</v>
      </c>
      <c r="G38" s="36">
        <v>6552</v>
      </c>
      <c r="H38" s="36">
        <v>5801</v>
      </c>
      <c r="I38" s="36">
        <v>5561</v>
      </c>
      <c r="L38" s="41">
        <f t="shared" ca="1" si="1"/>
        <v>0.69961459640393842</v>
      </c>
      <c r="M38" s="44">
        <v>39</v>
      </c>
      <c r="N38" s="44">
        <v>36</v>
      </c>
      <c r="O38" s="44">
        <f t="shared" ca="1" si="4"/>
        <v>624</v>
      </c>
      <c r="P38" s="53">
        <f t="shared" ca="1" si="5"/>
        <v>13.704402366426018</v>
      </c>
      <c r="Q38" s="41">
        <f t="shared" ca="1" si="6"/>
        <v>8552</v>
      </c>
      <c r="R38" s="41"/>
      <c r="S38" s="48"/>
      <c r="T38" s="41"/>
      <c r="U38" s="41"/>
    </row>
    <row r="39" spans="1:21" ht="15" x14ac:dyDescent="0.25">
      <c r="A39" s="49">
        <v>37</v>
      </c>
      <c r="B39" s="50">
        <f t="shared" ca="1" si="0"/>
        <v>10267</v>
      </c>
      <c r="C39" s="51">
        <f t="shared" ca="1" si="2"/>
        <v>9742</v>
      </c>
      <c r="D39" s="52">
        <f t="shared" ca="1" si="3"/>
        <v>8940</v>
      </c>
      <c r="E39" s="55"/>
      <c r="F39" s="14">
        <v>37</v>
      </c>
      <c r="G39" s="36">
        <v>11930</v>
      </c>
      <c r="H39" s="36">
        <v>5654</v>
      </c>
      <c r="I39" s="36">
        <v>5461</v>
      </c>
      <c r="L39" s="41">
        <f t="shared" ca="1" si="1"/>
        <v>0.38365558666907906</v>
      </c>
      <c r="M39" s="44">
        <v>36</v>
      </c>
      <c r="N39" s="44">
        <v>37</v>
      </c>
      <c r="O39" s="44">
        <f t="shared" ca="1" si="4"/>
        <v>638</v>
      </c>
      <c r="P39" s="53">
        <f t="shared" ca="1" si="5"/>
        <v>14.011942830897416</v>
      </c>
      <c r="Q39" s="41">
        <f t="shared" ca="1" si="6"/>
        <v>8940</v>
      </c>
      <c r="R39" s="41"/>
      <c r="S39" s="48"/>
      <c r="T39" s="41"/>
      <c r="U39" s="41"/>
    </row>
    <row r="40" spans="1:21" ht="15" x14ac:dyDescent="0.25">
      <c r="A40" s="49">
        <v>38</v>
      </c>
      <c r="B40" s="50">
        <f t="shared" ca="1" si="0"/>
        <v>6206</v>
      </c>
      <c r="C40" s="51">
        <f t="shared" ca="1" si="2"/>
        <v>9842</v>
      </c>
      <c r="D40" s="52">
        <f t="shared" ca="1" si="3"/>
        <v>10652</v>
      </c>
      <c r="E40" s="55"/>
      <c r="F40" s="14">
        <v>38</v>
      </c>
      <c r="G40" s="36">
        <v>6290</v>
      </c>
      <c r="H40" s="36">
        <v>5714</v>
      </c>
      <c r="I40" s="36">
        <v>5714</v>
      </c>
      <c r="L40" s="41">
        <f t="shared" ca="1" si="1"/>
        <v>0.62439355903151483</v>
      </c>
      <c r="M40" s="44">
        <v>37</v>
      </c>
      <c r="N40" s="44">
        <v>38</v>
      </c>
      <c r="O40" s="44">
        <f t="shared" ca="1" si="4"/>
        <v>652</v>
      </c>
      <c r="P40" s="53">
        <f t="shared" ca="1" si="5"/>
        <v>16.337661643910394</v>
      </c>
      <c r="Q40" s="41">
        <f t="shared" ca="1" si="6"/>
        <v>10652</v>
      </c>
      <c r="R40" s="41"/>
      <c r="S40" s="48"/>
      <c r="T40" s="41"/>
      <c r="U40" s="41"/>
    </row>
    <row r="41" spans="1:21" ht="15" x14ac:dyDescent="0.25">
      <c r="A41" s="49">
        <v>39</v>
      </c>
      <c r="B41" s="50">
        <f t="shared" ca="1" si="0"/>
        <v>3320</v>
      </c>
      <c r="C41" s="51">
        <f t="shared" ca="1" si="2"/>
        <v>9874</v>
      </c>
      <c r="D41" s="52">
        <f t="shared" ca="1" si="3"/>
        <v>11254</v>
      </c>
      <c r="E41" s="55"/>
      <c r="F41" s="14">
        <v>39</v>
      </c>
      <c r="G41" s="36">
        <v>8783</v>
      </c>
      <c r="H41" s="36">
        <v>5761</v>
      </c>
      <c r="I41" s="36">
        <v>6032</v>
      </c>
      <c r="L41" s="41">
        <f t="shared" ca="1" si="1"/>
        <v>0.89271987148083221</v>
      </c>
      <c r="M41" s="44">
        <v>38</v>
      </c>
      <c r="N41" s="44">
        <v>39</v>
      </c>
      <c r="O41" s="44">
        <f t="shared" ca="1" si="4"/>
        <v>666</v>
      </c>
      <c r="P41" s="53">
        <f t="shared" ca="1" si="5"/>
        <v>16.897780732445582</v>
      </c>
      <c r="Q41" s="41">
        <f t="shared" ca="1" si="6"/>
        <v>11254</v>
      </c>
      <c r="R41" s="41"/>
      <c r="S41" s="48"/>
      <c r="T41" s="41"/>
      <c r="U41" s="41"/>
    </row>
    <row r="42" spans="1:21" ht="15" x14ac:dyDescent="0.25">
      <c r="A42" s="49">
        <v>40</v>
      </c>
      <c r="B42" s="50">
        <f t="shared" ca="1" si="0"/>
        <v>14181</v>
      </c>
      <c r="C42" s="51">
        <f t="shared" ca="1" si="2"/>
        <v>10326</v>
      </c>
      <c r="D42" s="52">
        <f t="shared" ca="1" si="3"/>
        <v>11309</v>
      </c>
      <c r="E42" s="55"/>
      <c r="F42" s="14">
        <v>40</v>
      </c>
      <c r="G42" s="36">
        <v>5417</v>
      </c>
      <c r="H42" s="36">
        <v>6290</v>
      </c>
      <c r="I42" s="36">
        <v>7172</v>
      </c>
      <c r="L42" s="41">
        <f t="shared" ca="1" si="1"/>
        <v>0.37499944048340439</v>
      </c>
      <c r="M42" s="44">
        <v>41</v>
      </c>
      <c r="N42" s="44">
        <v>40</v>
      </c>
      <c r="O42" s="44">
        <f t="shared" ca="1" si="4"/>
        <v>680</v>
      </c>
      <c r="P42" s="53">
        <f t="shared" ca="1" si="5"/>
        <v>16.631315735069535</v>
      </c>
      <c r="Q42" s="41">
        <f t="shared" ca="1" si="6"/>
        <v>11309</v>
      </c>
      <c r="R42" s="41"/>
      <c r="S42" s="48"/>
      <c r="T42" s="41"/>
      <c r="U42" s="41"/>
    </row>
    <row r="43" spans="1:21" ht="15" x14ac:dyDescent="0.25">
      <c r="A43" s="49">
        <v>41</v>
      </c>
      <c r="B43" s="50">
        <f t="shared" ca="1" si="0"/>
        <v>13753</v>
      </c>
      <c r="C43" s="51">
        <f t="shared" ca="1" si="2"/>
        <v>10267</v>
      </c>
      <c r="D43" s="52">
        <f t="shared" ca="1" si="3"/>
        <v>9742</v>
      </c>
      <c r="E43" s="55"/>
      <c r="F43" s="14">
        <v>41</v>
      </c>
      <c r="G43" s="36">
        <v>8751</v>
      </c>
      <c r="H43" s="36">
        <v>6032</v>
      </c>
      <c r="I43" s="36">
        <v>5192</v>
      </c>
      <c r="L43" s="41">
        <f t="shared" ca="1" si="1"/>
        <v>9.6750434157704124E-2</v>
      </c>
      <c r="M43" s="44">
        <v>40</v>
      </c>
      <c r="N43" s="44">
        <v>41</v>
      </c>
      <c r="O43" s="44">
        <f t="shared" ca="1" si="4"/>
        <v>694</v>
      </c>
      <c r="P43" s="53">
        <f t="shared" ca="1" si="5"/>
        <v>14.03700193126727</v>
      </c>
      <c r="Q43" s="41">
        <f t="shared" ca="1" si="6"/>
        <v>9742</v>
      </c>
      <c r="R43" s="41"/>
      <c r="S43" s="48"/>
      <c r="T43" s="41"/>
      <c r="U43" s="41"/>
    </row>
    <row r="44" spans="1:21" ht="15" x14ac:dyDescent="0.25">
      <c r="A44" s="49">
        <v>42</v>
      </c>
      <c r="B44" s="50">
        <f t="shared" ca="1" si="0"/>
        <v>6352</v>
      </c>
      <c r="C44" s="51">
        <f t="shared" ca="1" si="2"/>
        <v>11254</v>
      </c>
      <c r="D44" s="52">
        <f t="shared" ca="1" si="3"/>
        <v>10778</v>
      </c>
      <c r="E44" s="55"/>
      <c r="F44" s="14">
        <v>42</v>
      </c>
      <c r="G44" s="36">
        <v>5130</v>
      </c>
      <c r="H44" s="36">
        <v>6894</v>
      </c>
      <c r="I44" s="36">
        <v>6552</v>
      </c>
      <c r="L44" s="41">
        <f t="shared" ca="1" si="1"/>
        <v>0.60212023441400608</v>
      </c>
      <c r="M44" s="44">
        <v>46</v>
      </c>
      <c r="N44" s="44">
        <v>42</v>
      </c>
      <c r="O44" s="44">
        <f t="shared" ca="1" si="4"/>
        <v>708</v>
      </c>
      <c r="P44" s="53">
        <f t="shared" ca="1" si="5"/>
        <v>15.223417711145016</v>
      </c>
      <c r="Q44" s="41">
        <f t="shared" ca="1" si="6"/>
        <v>10778</v>
      </c>
      <c r="R44" s="41"/>
      <c r="S44" s="48"/>
      <c r="T44" s="41"/>
      <c r="U44" s="41"/>
    </row>
    <row r="45" spans="1:21" ht="15" x14ac:dyDescent="0.25">
      <c r="A45" s="49">
        <v>43</v>
      </c>
      <c r="B45" s="50">
        <f t="shared" ca="1" si="0"/>
        <v>4616</v>
      </c>
      <c r="C45" s="51">
        <f t="shared" ca="1" si="2"/>
        <v>10853</v>
      </c>
      <c r="D45" s="52">
        <f t="shared" ca="1" si="3"/>
        <v>9842</v>
      </c>
      <c r="E45" s="55"/>
      <c r="F45" s="14">
        <v>43</v>
      </c>
      <c r="G45" s="36">
        <v>6754</v>
      </c>
      <c r="H45" s="36">
        <v>6552</v>
      </c>
      <c r="I45" s="36">
        <v>6290</v>
      </c>
      <c r="L45" s="41">
        <f t="shared" ca="1" si="1"/>
        <v>0.75825352879478114</v>
      </c>
      <c r="M45" s="44">
        <v>44</v>
      </c>
      <c r="N45" s="44">
        <v>43</v>
      </c>
      <c r="O45" s="44">
        <f t="shared" ca="1" si="4"/>
        <v>722</v>
      </c>
      <c r="P45" s="53">
        <f t="shared" ca="1" si="5"/>
        <v>13.631486317279265</v>
      </c>
      <c r="Q45" s="41">
        <f t="shared" ca="1" si="6"/>
        <v>9842</v>
      </c>
      <c r="R45" s="41"/>
      <c r="S45" s="48"/>
      <c r="T45" s="41"/>
      <c r="U45" s="41"/>
    </row>
    <row r="46" spans="1:21" ht="15" x14ac:dyDescent="0.25">
      <c r="A46" s="49">
        <v>44</v>
      </c>
      <c r="B46" s="50">
        <f t="shared" ca="1" si="0"/>
        <v>6510</v>
      </c>
      <c r="C46" s="51">
        <f t="shared" ca="1" si="2"/>
        <v>10926</v>
      </c>
      <c r="D46" s="52">
        <f t="shared" ca="1" si="3"/>
        <v>11742</v>
      </c>
      <c r="E46" s="55"/>
      <c r="F46" s="14">
        <v>44</v>
      </c>
      <c r="G46" s="36">
        <v>1436</v>
      </c>
      <c r="H46" s="36">
        <v>6754</v>
      </c>
      <c r="I46" s="36">
        <v>7538</v>
      </c>
      <c r="L46" s="41">
        <f t="shared" ca="1" si="1"/>
        <v>0.68424394535172506</v>
      </c>
      <c r="M46" s="3">
        <v>45</v>
      </c>
      <c r="N46" s="44">
        <v>44</v>
      </c>
      <c r="O46" s="44">
        <f t="shared" ca="1" si="4"/>
        <v>736</v>
      </c>
      <c r="P46" s="53">
        <f t="shared" ca="1" si="5"/>
        <v>15.953722298897954</v>
      </c>
      <c r="Q46" s="41">
        <f t="shared" ca="1" si="6"/>
        <v>11742</v>
      </c>
      <c r="R46" s="41"/>
      <c r="S46" s="48"/>
      <c r="T46" s="41"/>
      <c r="U46" s="41"/>
    </row>
    <row r="47" spans="1:21" ht="15" x14ac:dyDescent="0.25">
      <c r="A47" s="49">
        <v>45</v>
      </c>
      <c r="B47" s="50">
        <f t="shared" ca="1" si="0"/>
        <v>14843</v>
      </c>
      <c r="C47" s="51">
        <f t="shared" ca="1" si="2"/>
        <v>11309</v>
      </c>
      <c r="D47" s="52">
        <f t="shared" ca="1" si="3"/>
        <v>12543</v>
      </c>
      <c r="E47" s="55"/>
      <c r="F47" s="14">
        <v>45</v>
      </c>
      <c r="G47" s="36">
        <v>7787</v>
      </c>
      <c r="H47" s="36">
        <v>6983</v>
      </c>
      <c r="I47" s="36">
        <v>7226</v>
      </c>
      <c r="L47" s="41">
        <f t="shared" ca="1" si="1"/>
        <v>6.6493782467185181E-3</v>
      </c>
      <c r="M47" s="44">
        <v>47</v>
      </c>
      <c r="N47" s="44">
        <v>45</v>
      </c>
      <c r="O47" s="44">
        <f t="shared" ca="1" si="4"/>
        <v>750</v>
      </c>
      <c r="P47" s="53">
        <f t="shared" ca="1" si="5"/>
        <v>16.72411904786312</v>
      </c>
      <c r="Q47" s="41">
        <f t="shared" ca="1" si="6"/>
        <v>12543</v>
      </c>
      <c r="R47" s="41"/>
      <c r="S47" s="48"/>
      <c r="T47" s="41"/>
      <c r="U47" s="41"/>
    </row>
    <row r="48" spans="1:21" ht="15" x14ac:dyDescent="0.25">
      <c r="A48" s="49">
        <v>46</v>
      </c>
      <c r="B48" s="50">
        <f t="shared" ca="1" si="0"/>
        <v>5117</v>
      </c>
      <c r="C48" s="51">
        <f t="shared" ca="1" si="2"/>
        <v>11742</v>
      </c>
      <c r="D48" s="52">
        <f t="shared" ca="1" si="3"/>
        <v>10081</v>
      </c>
      <c r="E48" s="55"/>
      <c r="F48" s="14">
        <v>46</v>
      </c>
      <c r="G48" s="36">
        <v>9099</v>
      </c>
      <c r="H48" s="36">
        <v>7001</v>
      </c>
      <c r="I48" s="36">
        <v>6526</v>
      </c>
      <c r="L48" s="41">
        <f t="shared" ca="1" si="1"/>
        <v>0.72428515062876142</v>
      </c>
      <c r="M48" s="44">
        <v>48</v>
      </c>
      <c r="N48" s="44">
        <v>46</v>
      </c>
      <c r="O48" s="44">
        <f t="shared" ca="1" si="4"/>
        <v>764</v>
      </c>
      <c r="P48" s="53">
        <f t="shared" ca="1" si="5"/>
        <v>13.194839030137558</v>
      </c>
      <c r="Q48" s="41">
        <f t="shared" ca="1" si="6"/>
        <v>10081</v>
      </c>
      <c r="R48" s="41"/>
      <c r="S48" s="48"/>
      <c r="T48" s="41"/>
      <c r="U48" s="41"/>
    </row>
    <row r="49" spans="1:21" ht="15" x14ac:dyDescent="0.25">
      <c r="A49" s="49">
        <v>47</v>
      </c>
      <c r="B49" s="50">
        <f t="shared" ca="1" si="0"/>
        <v>13218</v>
      </c>
      <c r="C49" s="51">
        <f t="shared" ca="1" si="2"/>
        <v>10652</v>
      </c>
      <c r="D49" s="52">
        <f t="shared" ca="1" si="3"/>
        <v>10267</v>
      </c>
      <c r="E49" s="55"/>
      <c r="F49" s="14">
        <v>47</v>
      </c>
      <c r="G49" s="36">
        <v>7001</v>
      </c>
      <c r="H49" s="36">
        <v>6526</v>
      </c>
      <c r="I49" s="36">
        <v>7472</v>
      </c>
      <c r="L49" s="41">
        <f t="shared" ca="1" si="1"/>
        <v>0.38247021275448101</v>
      </c>
      <c r="M49" s="44">
        <v>42</v>
      </c>
      <c r="N49" s="44">
        <v>47</v>
      </c>
      <c r="O49" s="44">
        <f t="shared" ca="1" si="4"/>
        <v>778</v>
      </c>
      <c r="P49" s="53">
        <f t="shared" ca="1" si="5"/>
        <v>13.19679151635142</v>
      </c>
      <c r="Q49" s="41">
        <f t="shared" ca="1" si="6"/>
        <v>10267</v>
      </c>
      <c r="R49" s="41"/>
      <c r="S49" s="48"/>
      <c r="T49" s="41"/>
      <c r="U49" s="41"/>
    </row>
    <row r="50" spans="1:21" ht="15" x14ac:dyDescent="0.25">
      <c r="A50" s="49">
        <v>48</v>
      </c>
      <c r="B50" s="50">
        <f t="shared" ca="1" si="0"/>
        <v>4013</v>
      </c>
      <c r="C50" s="51">
        <f t="shared" ca="1" si="2"/>
        <v>10778</v>
      </c>
      <c r="D50" s="52">
        <f t="shared" ca="1" si="3"/>
        <v>13218</v>
      </c>
      <c r="E50" s="55"/>
      <c r="F50" s="14">
        <v>48</v>
      </c>
      <c r="G50" s="36">
        <v>9499</v>
      </c>
      <c r="H50" s="36">
        <v>6532</v>
      </c>
      <c r="I50" s="36">
        <v>7242</v>
      </c>
      <c r="L50" s="41">
        <f t="shared" ca="1" si="1"/>
        <v>0.77736127057859272</v>
      </c>
      <c r="M50" s="44">
        <v>43</v>
      </c>
      <c r="N50" s="44">
        <v>48</v>
      </c>
      <c r="O50" s="44">
        <f t="shared" ca="1" si="4"/>
        <v>792</v>
      </c>
      <c r="P50" s="53">
        <f t="shared" ca="1" si="5"/>
        <v>16.689038800495474</v>
      </c>
      <c r="Q50" s="41">
        <f t="shared" ca="1" si="6"/>
        <v>13218</v>
      </c>
      <c r="R50" s="41"/>
      <c r="S50" s="48"/>
      <c r="T50" s="41"/>
      <c r="U50" s="41"/>
    </row>
    <row r="51" spans="1:21" ht="15" x14ac:dyDescent="0.25">
      <c r="A51" s="49">
        <v>49</v>
      </c>
      <c r="B51" s="50">
        <f t="shared" ca="1" si="0"/>
        <v>2553</v>
      </c>
      <c r="C51" s="51">
        <f t="shared" ca="1" si="2"/>
        <v>12543</v>
      </c>
      <c r="D51" s="52">
        <f t="shared" ca="1" si="3"/>
        <v>12794</v>
      </c>
      <c r="E51" s="55"/>
      <c r="F51" s="14">
        <v>49</v>
      </c>
      <c r="G51" s="36">
        <v>2078</v>
      </c>
      <c r="H51" s="36">
        <v>7226</v>
      </c>
      <c r="I51" s="36">
        <v>7583</v>
      </c>
      <c r="L51" s="41">
        <f t="shared" ca="1" si="1"/>
        <v>0.88313089556259594</v>
      </c>
      <c r="M51" s="44">
        <v>50</v>
      </c>
      <c r="N51" s="44">
        <v>49</v>
      </c>
      <c r="O51" s="44">
        <f t="shared" ca="1" si="4"/>
        <v>806</v>
      </c>
      <c r="P51" s="53">
        <f t="shared" ca="1" si="5"/>
        <v>15.873754524148593</v>
      </c>
      <c r="Q51" s="41">
        <f t="shared" ca="1" si="6"/>
        <v>12794</v>
      </c>
      <c r="R51" s="41"/>
      <c r="S51" s="48"/>
      <c r="T51" s="41"/>
      <c r="U51" s="41"/>
    </row>
    <row r="52" spans="1:21" ht="15" x14ac:dyDescent="0.25">
      <c r="A52" s="49">
        <v>50</v>
      </c>
      <c r="B52" s="50">
        <f t="shared" ca="1" si="0"/>
        <v>7394</v>
      </c>
      <c r="C52" s="51">
        <f t="shared" ca="1" si="2"/>
        <v>12292</v>
      </c>
      <c r="D52" s="52">
        <f t="shared" ca="1" si="3"/>
        <v>14181</v>
      </c>
      <c r="E52" s="55"/>
      <c r="F52" s="14">
        <v>50</v>
      </c>
      <c r="G52" s="36">
        <v>4336</v>
      </c>
      <c r="H52" s="36">
        <v>7172</v>
      </c>
      <c r="I52" s="36">
        <v>9442</v>
      </c>
      <c r="L52" s="41">
        <f t="shared" ca="1" si="1"/>
        <v>0.57436647390608764</v>
      </c>
      <c r="M52" s="44">
        <v>49</v>
      </c>
      <c r="N52" s="44">
        <v>50</v>
      </c>
      <c r="O52" s="44">
        <f t="shared" ca="1" si="4"/>
        <v>820</v>
      </c>
      <c r="P52" s="53">
        <f t="shared" ca="1" si="5"/>
        <v>17.293528114930936</v>
      </c>
      <c r="Q52" s="41">
        <f t="shared" ca="1" si="6"/>
        <v>14181</v>
      </c>
      <c r="R52" s="41"/>
      <c r="S52" s="48"/>
      <c r="T52" s="41"/>
      <c r="U52" s="41"/>
    </row>
    <row r="53" spans="1:21" ht="15" x14ac:dyDescent="0.25">
      <c r="A53" s="49">
        <v>51</v>
      </c>
      <c r="B53" s="50">
        <f t="shared" ca="1" si="0"/>
        <v>5859</v>
      </c>
      <c r="C53" s="51">
        <f t="shared" ca="1" si="2"/>
        <v>12618</v>
      </c>
      <c r="D53" s="52">
        <f t="shared" ca="1" si="3"/>
        <v>10853</v>
      </c>
      <c r="E53" s="55"/>
      <c r="F53" s="14">
        <v>51</v>
      </c>
      <c r="G53" s="36">
        <v>2528</v>
      </c>
      <c r="H53" s="36">
        <v>7242</v>
      </c>
      <c r="I53" s="36">
        <v>6983</v>
      </c>
      <c r="L53" s="41">
        <f t="shared" ca="1" si="1"/>
        <v>0.66467023991115803</v>
      </c>
      <c r="M53" s="44">
        <v>51</v>
      </c>
      <c r="N53" s="44">
        <v>51</v>
      </c>
      <c r="O53" s="44">
        <f t="shared" ca="1" si="4"/>
        <v>834</v>
      </c>
      <c r="P53" s="53">
        <f t="shared" ca="1" si="5"/>
        <v>13.013770057451559</v>
      </c>
      <c r="Q53" s="41">
        <f t="shared" ca="1" si="6"/>
        <v>10853</v>
      </c>
      <c r="R53" s="41"/>
      <c r="S53" s="48"/>
      <c r="T53" s="41"/>
      <c r="U53" s="41"/>
    </row>
    <row r="54" spans="1:21" ht="15" x14ac:dyDescent="0.25">
      <c r="A54" s="49">
        <v>52</v>
      </c>
      <c r="B54" s="50">
        <f t="shared" ca="1" si="0"/>
        <v>19211</v>
      </c>
      <c r="C54" s="51">
        <f t="shared" ca="1" si="2"/>
        <v>13066</v>
      </c>
      <c r="D54" s="52">
        <f t="shared" ca="1" si="3"/>
        <v>12618</v>
      </c>
      <c r="E54" s="55"/>
      <c r="F54" s="14">
        <v>52</v>
      </c>
      <c r="G54" s="36">
        <v>5761</v>
      </c>
      <c r="H54" s="36">
        <v>7583</v>
      </c>
      <c r="I54" s="36">
        <v>6894</v>
      </c>
      <c r="L54" s="41">
        <f t="shared" ca="1" si="1"/>
        <v>5.6334015389589709E-3</v>
      </c>
      <c r="M54" s="44">
        <v>54</v>
      </c>
      <c r="N54" s="44">
        <v>52</v>
      </c>
      <c r="O54" s="44">
        <f t="shared" ca="1" si="4"/>
        <v>848</v>
      </c>
      <c r="P54" s="53">
        <f t="shared" ca="1" si="5"/>
        <v>14.879834040102967</v>
      </c>
      <c r="Q54" s="41">
        <f t="shared" ca="1" si="6"/>
        <v>12618</v>
      </c>
      <c r="R54" s="41"/>
      <c r="S54" s="48"/>
      <c r="T54" s="41"/>
      <c r="U54" s="41"/>
    </row>
    <row r="55" spans="1:21" ht="15" x14ac:dyDescent="0.25">
      <c r="A55" s="49">
        <v>53</v>
      </c>
      <c r="B55" s="50">
        <f t="shared" ca="1" si="0"/>
        <v>13066</v>
      </c>
      <c r="C55" s="51">
        <f t="shared" ca="1" si="2"/>
        <v>12802</v>
      </c>
      <c r="D55" s="52">
        <f t="shared" ca="1" si="3"/>
        <v>12802</v>
      </c>
      <c r="E55" s="55"/>
      <c r="F55" s="14">
        <v>53</v>
      </c>
      <c r="G55" s="36">
        <v>8721</v>
      </c>
      <c r="H55" s="36">
        <v>7538</v>
      </c>
      <c r="I55" s="36">
        <v>7001</v>
      </c>
      <c r="L55" s="41">
        <f t="shared" ca="1" si="1"/>
        <v>3.9297312731140455E-2</v>
      </c>
      <c r="M55" s="44">
        <v>53</v>
      </c>
      <c r="N55" s="44">
        <v>53</v>
      </c>
      <c r="O55" s="44">
        <f t="shared" ca="1" si="4"/>
        <v>862</v>
      </c>
      <c r="P55" s="53">
        <f t="shared" ca="1" si="5"/>
        <v>14.851305599066192</v>
      </c>
      <c r="Q55" s="41">
        <f t="shared" ca="1" si="6"/>
        <v>12802</v>
      </c>
      <c r="R55" s="41"/>
      <c r="S55" s="41"/>
      <c r="T55" s="41"/>
      <c r="U55" s="41"/>
    </row>
    <row r="56" spans="1:21" ht="15" x14ac:dyDescent="0.25">
      <c r="A56" s="49">
        <v>54</v>
      </c>
      <c r="B56" s="50">
        <f t="shared" ca="1" si="0"/>
        <v>10652</v>
      </c>
      <c r="C56" s="51">
        <f t="shared" ca="1" si="2"/>
        <v>12794</v>
      </c>
      <c r="D56" s="52">
        <f t="shared" ca="1" si="3"/>
        <v>13738</v>
      </c>
      <c r="E56" s="55"/>
      <c r="F56" s="14">
        <v>54</v>
      </c>
      <c r="G56" s="36">
        <v>5561</v>
      </c>
      <c r="H56" s="36">
        <v>7472</v>
      </c>
      <c r="I56" s="36">
        <v>9135</v>
      </c>
      <c r="L56" s="41">
        <f t="shared" ca="1" si="1"/>
        <v>0.4737328627567392</v>
      </c>
      <c r="M56" s="44">
        <v>52</v>
      </c>
      <c r="N56" s="44">
        <v>54</v>
      </c>
      <c r="O56" s="44">
        <f t="shared" ca="1" si="4"/>
        <v>876</v>
      </c>
      <c r="P56" s="53">
        <f t="shared" ca="1" si="5"/>
        <v>15.683125597429264</v>
      </c>
      <c r="Q56" s="41">
        <f t="shared" ca="1" si="6"/>
        <v>13738</v>
      </c>
      <c r="R56" s="41"/>
      <c r="S56" s="41"/>
      <c r="T56" s="41"/>
      <c r="U56" s="41"/>
    </row>
    <row r="57" spans="1:21" ht="15" x14ac:dyDescent="0.25">
      <c r="A57" s="49">
        <v>55</v>
      </c>
      <c r="B57" s="50">
        <f t="shared" ca="1" si="0"/>
        <v>10778</v>
      </c>
      <c r="C57" s="51">
        <f t="shared" ca="1" si="2"/>
        <v>13218</v>
      </c>
      <c r="D57" s="52">
        <f t="shared" ca="1" si="3"/>
        <v>15138</v>
      </c>
      <c r="E57" s="55"/>
      <c r="F57" s="14">
        <v>55</v>
      </c>
      <c r="G57" s="36">
        <v>3935</v>
      </c>
      <c r="H57" s="36">
        <v>7787</v>
      </c>
      <c r="I57" s="36">
        <v>9895</v>
      </c>
      <c r="L57" s="41">
        <f t="shared" ca="1" si="1"/>
        <v>0.44296338190849927</v>
      </c>
      <c r="M57" s="44">
        <v>55</v>
      </c>
      <c r="N57" s="44">
        <v>55</v>
      </c>
      <c r="O57" s="44">
        <f t="shared" ca="1" si="4"/>
        <v>890</v>
      </c>
      <c r="P57" s="53">
        <f t="shared" ca="1" si="5"/>
        <v>17.00892611163145</v>
      </c>
      <c r="Q57" s="41">
        <f t="shared" ca="1" si="6"/>
        <v>15138</v>
      </c>
      <c r="R57" s="41"/>
      <c r="S57" s="41"/>
      <c r="T57" s="41"/>
      <c r="U57" s="41"/>
    </row>
    <row r="58" spans="1:21" ht="15" x14ac:dyDescent="0.25">
      <c r="A58" s="49">
        <v>56</v>
      </c>
      <c r="B58" s="50">
        <f t="shared" ca="1" si="0"/>
        <v>13738</v>
      </c>
      <c r="C58" s="51">
        <f t="shared" ca="1" si="2"/>
        <v>13431</v>
      </c>
      <c r="D58" s="52">
        <f t="shared" ca="1" si="3"/>
        <v>10326</v>
      </c>
      <c r="E58" s="55"/>
      <c r="F58" s="14">
        <v>56</v>
      </c>
      <c r="G58" s="36">
        <v>3019</v>
      </c>
      <c r="H58" s="36">
        <v>8593</v>
      </c>
      <c r="I58" s="36">
        <v>5761</v>
      </c>
      <c r="L58" s="41">
        <f t="shared" ca="1" si="1"/>
        <v>0.23703069103928587</v>
      </c>
      <c r="M58" s="44">
        <v>56</v>
      </c>
      <c r="N58" s="44">
        <v>56</v>
      </c>
      <c r="O58" s="44">
        <f t="shared" ca="1" si="4"/>
        <v>904</v>
      </c>
      <c r="P58" s="53">
        <f t="shared" ca="1" si="5"/>
        <v>11.422061689957818</v>
      </c>
      <c r="Q58" s="41">
        <f t="shared" ca="1" si="6"/>
        <v>10326</v>
      </c>
      <c r="R58" s="41"/>
      <c r="S58" s="41"/>
      <c r="T58" s="41"/>
      <c r="U58" s="41"/>
    </row>
    <row r="59" spans="1:21" ht="15" x14ac:dyDescent="0.25">
      <c r="A59" s="49">
        <v>57</v>
      </c>
      <c r="B59" s="50">
        <f t="shared" ca="1" si="0"/>
        <v>7326</v>
      </c>
      <c r="C59" s="51">
        <f t="shared" ca="1" si="2"/>
        <v>13738</v>
      </c>
      <c r="D59" s="52">
        <f t="shared" ca="1" si="3"/>
        <v>12292</v>
      </c>
      <c r="E59" s="55"/>
      <c r="F59" s="14">
        <v>57</v>
      </c>
      <c r="G59" s="36">
        <v>5801</v>
      </c>
      <c r="H59" s="36">
        <v>8720</v>
      </c>
      <c r="I59" s="36">
        <v>6754</v>
      </c>
      <c r="L59" s="41">
        <f t="shared" ca="1" si="1"/>
        <v>0.59796999709596543</v>
      </c>
      <c r="M59" s="44">
        <v>58</v>
      </c>
      <c r="N59" s="44">
        <v>57</v>
      </c>
      <c r="O59" s="44">
        <f t="shared" ca="1" si="4"/>
        <v>918</v>
      </c>
      <c r="P59" s="53">
        <f t="shared" ca="1" si="5"/>
        <v>13.390498493153702</v>
      </c>
      <c r="Q59" s="41">
        <f t="shared" ca="1" si="6"/>
        <v>12292</v>
      </c>
      <c r="R59" s="41"/>
      <c r="S59" s="41"/>
      <c r="T59" s="41"/>
      <c r="U59" s="41"/>
    </row>
    <row r="60" spans="1:21" ht="15" x14ac:dyDescent="0.25">
      <c r="A60" s="49">
        <v>58</v>
      </c>
      <c r="B60" s="50">
        <f t="shared" ca="1" si="0"/>
        <v>9055</v>
      </c>
      <c r="C60" s="51">
        <f t="shared" ca="1" si="2"/>
        <v>14843</v>
      </c>
      <c r="D60" s="52">
        <f t="shared" ca="1" si="3"/>
        <v>14917</v>
      </c>
      <c r="E60" s="55"/>
      <c r="F60" s="14">
        <v>58</v>
      </c>
      <c r="G60" s="36">
        <v>3099</v>
      </c>
      <c r="H60" s="36">
        <v>9099</v>
      </c>
      <c r="I60" s="36">
        <v>7787</v>
      </c>
      <c r="L60" s="41">
        <f t="shared" ca="1" si="1"/>
        <v>0.53125572848552149</v>
      </c>
      <c r="M60" s="44">
        <v>62</v>
      </c>
      <c r="N60" s="44">
        <v>58</v>
      </c>
      <c r="O60" s="44">
        <f t="shared" ca="1" si="4"/>
        <v>932</v>
      </c>
      <c r="P60" s="53">
        <f t="shared" ca="1" si="5"/>
        <v>16.005663508251654</v>
      </c>
      <c r="Q60" s="41">
        <f t="shared" ca="1" si="6"/>
        <v>14917</v>
      </c>
      <c r="R60" s="41"/>
      <c r="S60" s="41"/>
      <c r="T60" s="41"/>
      <c r="U60" s="41"/>
    </row>
    <row r="61" spans="1:21" ht="15" x14ac:dyDescent="0.25">
      <c r="A61" s="49">
        <v>59</v>
      </c>
      <c r="B61" s="50">
        <f t="shared" ca="1" si="0"/>
        <v>4020</v>
      </c>
      <c r="C61" s="51">
        <f t="shared" ca="1" si="2"/>
        <v>13601</v>
      </c>
      <c r="D61" s="52">
        <f t="shared" ca="1" si="3"/>
        <v>16540</v>
      </c>
      <c r="E61" s="55"/>
      <c r="F61" s="14">
        <v>59</v>
      </c>
      <c r="G61" s="36">
        <v>4861</v>
      </c>
      <c r="H61" s="36">
        <v>8705</v>
      </c>
      <c r="I61" s="36">
        <v>10108</v>
      </c>
      <c r="L61" s="41">
        <f t="shared" ca="1" si="1"/>
        <v>0.82876475256223159</v>
      </c>
      <c r="M61" s="44">
        <v>57</v>
      </c>
      <c r="N61" s="44">
        <v>59</v>
      </c>
      <c r="O61" s="44">
        <f t="shared" ca="1" si="4"/>
        <v>946</v>
      </c>
      <c r="P61" s="53">
        <f t="shared" ca="1" si="5"/>
        <v>17.484241254889671</v>
      </c>
      <c r="Q61" s="41">
        <f t="shared" ca="1" si="6"/>
        <v>16540</v>
      </c>
      <c r="R61" s="41"/>
      <c r="S61" s="41"/>
      <c r="T61" s="41"/>
      <c r="U61" s="41"/>
    </row>
    <row r="62" spans="1:21" ht="15" x14ac:dyDescent="0.25">
      <c r="A62" s="49">
        <v>60</v>
      </c>
      <c r="B62" s="50">
        <f t="shared" ca="1" si="0"/>
        <v>13431</v>
      </c>
      <c r="C62" s="51">
        <f t="shared" ca="1" si="2"/>
        <v>13753</v>
      </c>
      <c r="D62" s="52">
        <f t="shared" ca="1" si="3"/>
        <v>15800</v>
      </c>
      <c r="E62" s="55"/>
      <c r="F62" s="14">
        <v>60</v>
      </c>
      <c r="G62" s="36">
        <v>7538</v>
      </c>
      <c r="H62" s="36">
        <v>8721</v>
      </c>
      <c r="I62" s="36">
        <v>8783</v>
      </c>
      <c r="L62" s="41">
        <f t="shared" ca="1" si="1"/>
        <v>0.12685423738815782</v>
      </c>
      <c r="M62" s="44">
        <v>59</v>
      </c>
      <c r="N62" s="44">
        <v>60</v>
      </c>
      <c r="O62" s="44">
        <f t="shared" ca="1" si="4"/>
        <v>960</v>
      </c>
      <c r="P62" s="53">
        <f t="shared" ca="1" si="5"/>
        <v>16.458637634229849</v>
      </c>
      <c r="Q62" s="41">
        <f t="shared" ca="1" si="6"/>
        <v>15800</v>
      </c>
      <c r="R62" s="41"/>
      <c r="S62" s="41"/>
      <c r="T62" s="41"/>
      <c r="U62" s="41"/>
    </row>
    <row r="63" spans="1:21" ht="15" x14ac:dyDescent="0.25">
      <c r="A63" s="49">
        <v>61</v>
      </c>
      <c r="B63" s="50">
        <f t="shared" ca="1" si="0"/>
        <v>15800</v>
      </c>
      <c r="C63" s="51">
        <f t="shared" ca="1" si="2"/>
        <v>14181</v>
      </c>
      <c r="D63" s="52">
        <f t="shared" ca="1" si="3"/>
        <v>13601</v>
      </c>
      <c r="E63" s="55"/>
      <c r="F63" s="14">
        <v>61</v>
      </c>
      <c r="G63" s="36">
        <v>7583</v>
      </c>
      <c r="H63" s="36">
        <v>8751</v>
      </c>
      <c r="I63" s="36">
        <v>8705</v>
      </c>
      <c r="L63" s="41">
        <f t="shared" ca="1" si="1"/>
        <v>0.17131628743391181</v>
      </c>
      <c r="M63" s="44">
        <v>60</v>
      </c>
      <c r="N63" s="44">
        <v>61</v>
      </c>
      <c r="O63" s="44">
        <f t="shared" ca="1" si="4"/>
        <v>974</v>
      </c>
      <c r="P63" s="53">
        <f t="shared" ca="1" si="5"/>
        <v>13.963697267345871</v>
      </c>
      <c r="Q63" s="41">
        <f t="shared" ca="1" si="6"/>
        <v>13601</v>
      </c>
      <c r="R63" s="41"/>
      <c r="S63" s="41"/>
      <c r="T63" s="41"/>
      <c r="U63" s="41"/>
    </row>
    <row r="64" spans="1:21" ht="15" x14ac:dyDescent="0.25">
      <c r="A64" s="49">
        <v>62</v>
      </c>
      <c r="B64" s="50">
        <f t="shared" ca="1" si="0"/>
        <v>14214</v>
      </c>
      <c r="C64" s="51">
        <f t="shared" ca="1" si="2"/>
        <v>14214</v>
      </c>
      <c r="D64" s="52">
        <f t="shared" ca="1" si="3"/>
        <v>15840</v>
      </c>
      <c r="E64" s="55"/>
      <c r="F64" s="14">
        <v>62</v>
      </c>
      <c r="G64" s="36">
        <v>3779</v>
      </c>
      <c r="H64" s="36">
        <v>8783</v>
      </c>
      <c r="I64" s="36">
        <v>8721</v>
      </c>
      <c r="L64" s="41">
        <f t="shared" ca="1" si="1"/>
        <v>0.1527411666142191</v>
      </c>
      <c r="M64" s="44">
        <v>61</v>
      </c>
      <c r="N64" s="44">
        <v>62</v>
      </c>
      <c r="O64" s="44">
        <f t="shared" ca="1" si="4"/>
        <v>988</v>
      </c>
      <c r="P64" s="53">
        <f t="shared" ca="1" si="5"/>
        <v>16.031894110141309</v>
      </c>
      <c r="Q64" s="41">
        <f t="shared" ca="1" si="6"/>
        <v>15840</v>
      </c>
      <c r="R64" s="41"/>
      <c r="S64" s="41"/>
      <c r="T64" s="41"/>
      <c r="U64" s="41"/>
    </row>
    <row r="65" spans="1:22" ht="15" x14ac:dyDescent="0.25">
      <c r="A65" s="49">
        <v>63</v>
      </c>
      <c r="B65" s="50">
        <f t="shared" ca="1" si="0"/>
        <v>6919</v>
      </c>
      <c r="C65" s="51">
        <f t="shared" ca="1" si="2"/>
        <v>15138</v>
      </c>
      <c r="D65" s="52">
        <f t="shared" ca="1" si="3"/>
        <v>14214</v>
      </c>
      <c r="E65" s="55"/>
      <c r="F65" s="14">
        <v>63</v>
      </c>
      <c r="G65" s="36">
        <v>4523</v>
      </c>
      <c r="H65" s="36">
        <v>9442</v>
      </c>
      <c r="I65" s="36">
        <v>8593</v>
      </c>
      <c r="L65" s="41">
        <f t="shared" ca="1" si="1"/>
        <v>0.63669271883592371</v>
      </c>
      <c r="M65" s="44">
        <v>64</v>
      </c>
      <c r="N65" s="44">
        <v>63</v>
      </c>
      <c r="O65" s="44">
        <f t="shared" ca="1" si="4"/>
        <v>1002</v>
      </c>
      <c r="P65" s="53">
        <f t="shared" ca="1" si="5"/>
        <v>14.185693770113492</v>
      </c>
      <c r="Q65" s="41">
        <f t="shared" ca="1" si="6"/>
        <v>14214</v>
      </c>
      <c r="R65" s="41"/>
      <c r="S65" s="41"/>
      <c r="T65" s="41"/>
      <c r="U65" s="41"/>
    </row>
    <row r="66" spans="1:22" ht="15" x14ac:dyDescent="0.25">
      <c r="A66" s="49">
        <v>64</v>
      </c>
      <c r="B66" s="50">
        <f t="shared" ca="1" si="0"/>
        <v>5906</v>
      </c>
      <c r="C66" s="51">
        <f t="shared" ca="1" si="2"/>
        <v>14917</v>
      </c>
      <c r="D66" s="52">
        <f t="shared" ca="1" si="3"/>
        <v>16134</v>
      </c>
      <c r="E66" s="55"/>
      <c r="F66" s="14">
        <v>64</v>
      </c>
      <c r="G66" s="36">
        <v>5475</v>
      </c>
      <c r="H66" s="36">
        <v>9135</v>
      </c>
      <c r="I66" s="36">
        <v>9499</v>
      </c>
      <c r="L66" s="41">
        <f t="shared" ca="1" si="1"/>
        <v>0.69681515230774149</v>
      </c>
      <c r="M66" s="44">
        <v>63</v>
      </c>
      <c r="N66" s="44">
        <v>64</v>
      </c>
      <c r="O66" s="44">
        <f t="shared" ca="1" si="4"/>
        <v>1016</v>
      </c>
      <c r="P66" s="53">
        <f t="shared" ca="1" si="5"/>
        <v>15.879752030799333</v>
      </c>
      <c r="Q66" s="41">
        <f t="shared" ca="1" si="6"/>
        <v>16134</v>
      </c>
      <c r="R66" s="41"/>
      <c r="S66" s="41"/>
      <c r="T66" s="41"/>
      <c r="U66" s="41"/>
    </row>
    <row r="67" spans="1:22" ht="15" x14ac:dyDescent="0.25">
      <c r="A67" s="49">
        <v>65</v>
      </c>
      <c r="B67" s="50">
        <f t="shared" ref="B67:B77" ca="1" si="7">INDEX($Q$3:$Q$77,RANK(L67,$L$3:$L$77))</f>
        <v>2462</v>
      </c>
      <c r="C67" s="51">
        <f t="shared" ca="1" si="2"/>
        <v>15840</v>
      </c>
      <c r="D67" s="52">
        <f t="shared" ca="1" si="3"/>
        <v>18878</v>
      </c>
      <c r="E67" s="55"/>
      <c r="F67" s="14">
        <v>65</v>
      </c>
      <c r="G67" s="36">
        <v>1909</v>
      </c>
      <c r="H67" s="36">
        <v>9895</v>
      </c>
      <c r="I67" s="36">
        <v>10367</v>
      </c>
      <c r="L67" s="41">
        <f t="shared" ref="L67:L77" ca="1" si="8">RAND()</f>
        <v>0.90009726574915483</v>
      </c>
      <c r="M67" s="44">
        <v>68</v>
      </c>
      <c r="N67" s="44">
        <v>65</v>
      </c>
      <c r="O67" s="44">
        <f t="shared" ca="1" si="4"/>
        <v>1030</v>
      </c>
      <c r="P67" s="53">
        <f t="shared" ca="1" si="5"/>
        <v>18.327803551040539</v>
      </c>
      <c r="Q67" s="41">
        <f t="shared" ca="1" si="6"/>
        <v>18878</v>
      </c>
      <c r="R67" s="41"/>
      <c r="S67" s="41"/>
      <c r="T67" s="41"/>
      <c r="U67" s="41"/>
    </row>
    <row r="68" spans="1:22" ht="15" x14ac:dyDescent="0.25">
      <c r="A68" s="49">
        <v>66</v>
      </c>
      <c r="B68" s="50">
        <f t="shared" ca="1" si="7"/>
        <v>5702</v>
      </c>
      <c r="C68" s="51">
        <f t="shared" ref="C68:C77" ca="1" si="9">SMALL($Q$3:$Q$77,M68)</f>
        <v>15800</v>
      </c>
      <c r="D68" s="52">
        <f t="shared" ref="D68:D77" ca="1" si="10">Q68</f>
        <v>13431</v>
      </c>
      <c r="E68" s="55"/>
      <c r="F68" s="14">
        <v>66</v>
      </c>
      <c r="G68" s="36">
        <v>10108</v>
      </c>
      <c r="H68" s="36">
        <v>9652</v>
      </c>
      <c r="I68" s="36">
        <v>8720</v>
      </c>
      <c r="L68" s="41">
        <f t="shared" ca="1" si="8"/>
        <v>0.69135140613961266</v>
      </c>
      <c r="M68" s="44">
        <v>66</v>
      </c>
      <c r="N68" s="44">
        <v>66</v>
      </c>
      <c r="O68" s="44">
        <f t="shared" ref="O68:O77" ca="1" si="11">INT($R$1+$S$1*N68)</f>
        <v>1044</v>
      </c>
      <c r="P68" s="53">
        <f t="shared" ref="P68:P77" ca="1" si="12">(((IF(MOD(N68,5)&lt;&gt;0,MOD(N68,5),5))+12)+_xlfn.NORM.S.INV(RAND()))</f>
        <v>12.865051130305284</v>
      </c>
      <c r="Q68" s="41">
        <f t="shared" ref="Q68:Q76" ca="1" si="13">ROUND(O68*P68,0)</f>
        <v>13431</v>
      </c>
      <c r="R68" s="41"/>
      <c r="S68" s="41"/>
      <c r="T68" s="41"/>
      <c r="U68" s="41"/>
    </row>
    <row r="69" spans="1:22" ht="15" x14ac:dyDescent="0.25">
      <c r="A69" s="49">
        <v>67</v>
      </c>
      <c r="B69" s="50">
        <f t="shared" ca="1" si="7"/>
        <v>9842</v>
      </c>
      <c r="C69" s="51">
        <f t="shared" ca="1" si="9"/>
        <v>15839</v>
      </c>
      <c r="D69" s="52">
        <f t="shared" ca="1" si="10"/>
        <v>13753</v>
      </c>
      <c r="E69" s="55"/>
      <c r="F69" s="14">
        <v>67</v>
      </c>
      <c r="G69" s="36">
        <v>4492</v>
      </c>
      <c r="H69" s="36">
        <v>9678</v>
      </c>
      <c r="I69" s="36">
        <v>9099</v>
      </c>
      <c r="L69" s="41">
        <f t="shared" ca="1" si="8"/>
        <v>0.42451727577350606</v>
      </c>
      <c r="M69" s="44">
        <v>67</v>
      </c>
      <c r="N69" s="44">
        <v>67</v>
      </c>
      <c r="O69" s="44">
        <f t="shared" ca="1" si="11"/>
        <v>1058</v>
      </c>
      <c r="P69" s="53">
        <f t="shared" ca="1" si="12"/>
        <v>12.998651520097484</v>
      </c>
      <c r="Q69" s="41">
        <f t="shared" ca="1" si="13"/>
        <v>13753</v>
      </c>
      <c r="R69" s="41"/>
      <c r="S69" s="41"/>
      <c r="T69" s="41"/>
      <c r="U69" s="41"/>
    </row>
    <row r="70" spans="1:22" ht="15" x14ac:dyDescent="0.25">
      <c r="A70" s="49">
        <v>68</v>
      </c>
      <c r="B70" s="50">
        <f t="shared" ca="1" si="7"/>
        <v>10853</v>
      </c>
      <c r="C70" s="51">
        <f t="shared" ca="1" si="9"/>
        <v>15486</v>
      </c>
      <c r="D70" s="52">
        <f t="shared" ca="1" si="10"/>
        <v>15839</v>
      </c>
      <c r="E70" s="55"/>
      <c r="F70" s="14">
        <v>68</v>
      </c>
      <c r="G70" s="36">
        <v>8705</v>
      </c>
      <c r="H70" s="36">
        <v>9499</v>
      </c>
      <c r="I70" s="36">
        <v>9652</v>
      </c>
      <c r="L70" s="41">
        <f t="shared" ca="1" si="8"/>
        <v>0.36508025124317411</v>
      </c>
      <c r="M70" s="44">
        <v>65</v>
      </c>
      <c r="N70" s="44">
        <v>68</v>
      </c>
      <c r="O70" s="44">
        <f t="shared" ca="1" si="11"/>
        <v>1072</v>
      </c>
      <c r="P70" s="53">
        <f t="shared" ca="1" si="12"/>
        <v>14.775140285952036</v>
      </c>
      <c r="Q70" s="41">
        <f t="shared" ca="1" si="13"/>
        <v>15839</v>
      </c>
      <c r="R70" s="41"/>
      <c r="S70" s="41"/>
      <c r="T70" s="41"/>
      <c r="U70" s="41"/>
    </row>
    <row r="71" spans="1:22" ht="15" x14ac:dyDescent="0.25">
      <c r="A71" s="49">
        <v>69</v>
      </c>
      <c r="B71" s="50">
        <f t="shared" ca="1" si="7"/>
        <v>14917</v>
      </c>
      <c r="C71" s="51">
        <f t="shared" ca="1" si="9"/>
        <v>16134</v>
      </c>
      <c r="D71" s="52">
        <f t="shared" ca="1" si="10"/>
        <v>17885</v>
      </c>
      <c r="E71" s="55"/>
      <c r="F71" s="14">
        <v>69</v>
      </c>
      <c r="G71" s="36">
        <v>5192</v>
      </c>
      <c r="H71" s="36">
        <v>10108</v>
      </c>
      <c r="I71" s="36">
        <v>10359</v>
      </c>
      <c r="L71" s="41">
        <f t="shared" ca="1" si="8"/>
        <v>0.18715711577513339</v>
      </c>
      <c r="M71" s="44">
        <v>69</v>
      </c>
      <c r="N71" s="44">
        <v>69</v>
      </c>
      <c r="O71" s="44">
        <f t="shared" ca="1" si="11"/>
        <v>1086</v>
      </c>
      <c r="P71" s="53">
        <f t="shared" ca="1" si="12"/>
        <v>16.468319769397542</v>
      </c>
      <c r="Q71" s="41">
        <f t="shared" ca="1" si="13"/>
        <v>17885</v>
      </c>
      <c r="R71" s="41"/>
      <c r="S71" s="41"/>
      <c r="T71" s="41"/>
      <c r="U71" s="41"/>
    </row>
    <row r="72" spans="1:22" ht="15" x14ac:dyDescent="0.25">
      <c r="A72" s="49">
        <v>70</v>
      </c>
      <c r="B72" s="50">
        <f t="shared" ca="1" si="7"/>
        <v>1737</v>
      </c>
      <c r="C72" s="51">
        <f t="shared" ca="1" si="9"/>
        <v>16540</v>
      </c>
      <c r="D72" s="52">
        <f t="shared" ca="1" si="10"/>
        <v>19885</v>
      </c>
      <c r="E72" s="55"/>
      <c r="F72" s="14">
        <v>70</v>
      </c>
      <c r="G72" s="36">
        <v>3743</v>
      </c>
      <c r="H72" s="36">
        <v>10208</v>
      </c>
      <c r="I72" s="36">
        <v>11930</v>
      </c>
      <c r="L72" s="41">
        <f t="shared" ca="1" si="8"/>
        <v>0.97235398237696424</v>
      </c>
      <c r="M72" s="44">
        <v>70</v>
      </c>
      <c r="N72" s="44">
        <v>70</v>
      </c>
      <c r="O72" s="44">
        <f t="shared" ca="1" si="11"/>
        <v>1100</v>
      </c>
      <c r="P72" s="53">
        <f t="shared" ca="1" si="12"/>
        <v>18.077512650578409</v>
      </c>
      <c r="Q72" s="41">
        <f t="shared" ca="1" si="13"/>
        <v>19885</v>
      </c>
      <c r="R72" s="41"/>
      <c r="S72" s="41"/>
      <c r="T72" s="41"/>
      <c r="U72" s="41"/>
    </row>
    <row r="73" spans="1:22" ht="15" x14ac:dyDescent="0.25">
      <c r="A73" s="49">
        <v>71</v>
      </c>
      <c r="B73" s="50">
        <f t="shared" ca="1" si="7"/>
        <v>12802</v>
      </c>
      <c r="C73" s="51">
        <f t="shared" ca="1" si="9"/>
        <v>17885</v>
      </c>
      <c r="D73" s="52">
        <f t="shared" ca="1" si="10"/>
        <v>13066</v>
      </c>
      <c r="E73" s="55"/>
      <c r="F73" s="14">
        <v>71</v>
      </c>
      <c r="G73" s="36">
        <v>10367</v>
      </c>
      <c r="H73" s="36">
        <v>10367</v>
      </c>
      <c r="I73" s="36">
        <v>8751</v>
      </c>
      <c r="L73" s="41">
        <f t="shared" ca="1" si="8"/>
        <v>0.28420760435442094</v>
      </c>
      <c r="M73" s="44">
        <v>72</v>
      </c>
      <c r="N73" s="44">
        <v>71</v>
      </c>
      <c r="O73" s="44">
        <f t="shared" ca="1" si="11"/>
        <v>1114</v>
      </c>
      <c r="P73" s="53">
        <f t="shared" ca="1" si="12"/>
        <v>11.728843174555998</v>
      </c>
      <c r="Q73" s="41">
        <f t="shared" ca="1" si="13"/>
        <v>13066</v>
      </c>
      <c r="R73" s="41"/>
      <c r="S73" s="41"/>
      <c r="T73" s="41"/>
      <c r="U73" s="41"/>
    </row>
    <row r="74" spans="1:22" ht="15" x14ac:dyDescent="0.25">
      <c r="A74" s="49">
        <v>72</v>
      </c>
      <c r="B74" s="50">
        <f t="shared" ca="1" si="7"/>
        <v>5455</v>
      </c>
      <c r="C74" s="51">
        <f t="shared" ca="1" si="9"/>
        <v>19885</v>
      </c>
      <c r="D74" s="52">
        <f t="shared" ca="1" si="10"/>
        <v>15486</v>
      </c>
      <c r="E74" s="55"/>
      <c r="F74" s="14">
        <v>72</v>
      </c>
      <c r="G74" s="36">
        <v>4254</v>
      </c>
      <c r="H74" s="36">
        <v>12275</v>
      </c>
      <c r="I74" s="36">
        <v>9678</v>
      </c>
      <c r="L74" s="41">
        <f t="shared" ca="1" si="8"/>
        <v>0.67493246221737846</v>
      </c>
      <c r="M74" s="44">
        <v>75</v>
      </c>
      <c r="N74" s="44">
        <v>72</v>
      </c>
      <c r="O74" s="44">
        <f t="shared" ca="1" si="11"/>
        <v>1128</v>
      </c>
      <c r="P74" s="53">
        <f t="shared" ca="1" si="12"/>
        <v>13.728352725951657</v>
      </c>
      <c r="Q74" s="41">
        <f t="shared" ca="1" si="13"/>
        <v>15486</v>
      </c>
      <c r="R74" s="41"/>
      <c r="S74" s="41"/>
      <c r="T74" s="41"/>
      <c r="U74" s="41"/>
    </row>
    <row r="75" spans="1:22" ht="15" x14ac:dyDescent="0.25">
      <c r="A75" s="49">
        <v>73</v>
      </c>
      <c r="B75" s="50">
        <f t="shared" ca="1" si="7"/>
        <v>3077</v>
      </c>
      <c r="C75" s="51">
        <f t="shared" ca="1" si="9"/>
        <v>17632</v>
      </c>
      <c r="D75" s="52">
        <f t="shared" ca="1" si="10"/>
        <v>14843</v>
      </c>
      <c r="E75" s="55"/>
      <c r="F75" s="14">
        <v>73</v>
      </c>
      <c r="G75" s="36">
        <v>6983</v>
      </c>
      <c r="H75" s="36">
        <v>10359</v>
      </c>
      <c r="I75" s="36">
        <v>10208</v>
      </c>
      <c r="L75" s="41">
        <f t="shared" ca="1" si="8"/>
        <v>0.79438868560759923</v>
      </c>
      <c r="M75" s="44">
        <v>71</v>
      </c>
      <c r="N75" s="44">
        <v>73</v>
      </c>
      <c r="O75" s="44">
        <f t="shared" ca="1" si="11"/>
        <v>1142</v>
      </c>
      <c r="P75" s="53">
        <f t="shared" ca="1" si="12"/>
        <v>12.99777065725516</v>
      </c>
      <c r="Q75" s="41">
        <f t="shared" ca="1" si="13"/>
        <v>14843</v>
      </c>
      <c r="R75" s="41"/>
      <c r="S75" s="41"/>
      <c r="T75" s="41"/>
      <c r="U75" s="41"/>
    </row>
    <row r="76" spans="1:22" ht="15" x14ac:dyDescent="0.25">
      <c r="A76" s="49">
        <v>74</v>
      </c>
      <c r="B76" s="50">
        <f t="shared" ca="1" si="7"/>
        <v>9874</v>
      </c>
      <c r="C76" s="51">
        <f t="shared" ca="1" si="9"/>
        <v>18878</v>
      </c>
      <c r="D76" s="52">
        <f t="shared" ca="1" si="10"/>
        <v>19211</v>
      </c>
      <c r="E76" s="55"/>
      <c r="F76" s="14">
        <v>74</v>
      </c>
      <c r="G76" s="36">
        <v>2490</v>
      </c>
      <c r="H76" s="36">
        <v>11930</v>
      </c>
      <c r="I76" s="36">
        <v>12037</v>
      </c>
      <c r="L76" s="41">
        <f t="shared" ca="1" si="8"/>
        <v>0.52146524481628909</v>
      </c>
      <c r="M76" s="44">
        <v>73</v>
      </c>
      <c r="N76" s="44">
        <v>74</v>
      </c>
      <c r="O76" s="44">
        <f t="shared" ca="1" si="11"/>
        <v>1156</v>
      </c>
      <c r="P76" s="53">
        <f t="shared" ca="1" si="12"/>
        <v>16.618151594734819</v>
      </c>
      <c r="Q76" s="41">
        <f t="shared" ca="1" si="13"/>
        <v>19211</v>
      </c>
      <c r="R76" s="41"/>
      <c r="S76" s="41"/>
      <c r="T76" s="41"/>
      <c r="U76" s="41"/>
    </row>
    <row r="77" spans="1:22" ht="15" x14ac:dyDescent="0.25">
      <c r="A77" s="49">
        <v>75</v>
      </c>
      <c r="B77" s="50">
        <f t="shared" ca="1" si="7"/>
        <v>7125</v>
      </c>
      <c r="C77" s="51">
        <f t="shared" ca="1" si="9"/>
        <v>19211</v>
      </c>
      <c r="D77" s="52">
        <f t="shared" ca="1" si="10"/>
        <v>17632</v>
      </c>
      <c r="E77" s="55"/>
      <c r="F77" s="14">
        <v>75</v>
      </c>
      <c r="G77" s="36">
        <v>2452</v>
      </c>
      <c r="H77" s="36">
        <v>12037</v>
      </c>
      <c r="I77" s="36">
        <v>12275</v>
      </c>
      <c r="L77" s="41">
        <f t="shared" ca="1" si="8"/>
        <v>0.62721958330245797</v>
      </c>
      <c r="M77" s="44">
        <v>74</v>
      </c>
      <c r="N77" s="44">
        <v>75</v>
      </c>
      <c r="O77" s="44">
        <f t="shared" ca="1" si="11"/>
        <v>1170</v>
      </c>
      <c r="P77" s="53">
        <f t="shared" ca="1" si="12"/>
        <v>15.069919731092906</v>
      </c>
      <c r="Q77" s="41">
        <f ca="1">ROUND(O77*P77,0)</f>
        <v>17632</v>
      </c>
      <c r="R77" s="41"/>
      <c r="S77" s="41"/>
      <c r="T77" s="41"/>
      <c r="U77" s="41"/>
    </row>
    <row r="78" spans="1:22" ht="15" x14ac:dyDescent="0.25">
      <c r="A78"/>
      <c r="B78"/>
      <c r="C78"/>
      <c r="D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5" x14ac:dyDescent="0.25">
      <c r="A79"/>
      <c r="B79"/>
      <c r="C79"/>
      <c r="D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5" x14ac:dyDescent="0.25">
      <c r="A80"/>
      <c r="B80"/>
      <c r="C80"/>
      <c r="D80"/>
      <c r="E80" s="57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" x14ac:dyDescent="0.25">
      <c r="A81"/>
      <c r="B81"/>
      <c r="C81"/>
      <c r="D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5" x14ac:dyDescent="0.25"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5" x14ac:dyDescent="0.25"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5" x14ac:dyDescent="0.25"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5" x14ac:dyDescent="0.25"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15" x14ac:dyDescent="0.25"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" x14ac:dyDescent="0.25"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5" x14ac:dyDescent="0.25"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5" x14ac:dyDescent="0.25"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1.LALB23TrendLine</vt:lpstr>
      <vt:lpstr>2.LALB23DataAna&amp;Formula</vt:lpstr>
      <vt:lpstr>4.LALB23Solver&amp;Formulas</vt:lpstr>
      <vt:lpstr>1.ES.MAD.MSE.MAPE.TS.Resi</vt:lpstr>
      <vt:lpstr>1.ForcReg</vt:lpstr>
      <vt:lpstr>2.Regression</vt:lpstr>
      <vt:lpstr>3.Orders-Arrived</vt:lpstr>
      <vt:lpstr>0.ArdiData</vt:lpstr>
      <vt:lpstr>0.ArdiData&amp;FixedData</vt:lpstr>
      <vt:lpstr>BookData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2021-02-09T19:26:36Z</dcterms:modified>
</cp:coreProperties>
</file>