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ink/ink1.xml" ContentType="application/inkml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Slides\"/>
    </mc:Choice>
  </mc:AlternateContent>
  <bookViews>
    <workbookView xWindow="0" yWindow="0" windowWidth="14712" windowHeight="6900" activeTab="3"/>
  </bookViews>
  <sheets>
    <sheet name="0.ArdiData" sheetId="9" r:id="rId1"/>
    <sheet name="1.DemandForecast" sheetId="11" r:id="rId2"/>
    <sheet name="2.Total Cost" sheetId="12" r:id="rId3"/>
    <sheet name="3. DemandCurves" sheetId="13" r:id="rId4"/>
  </sheets>
  <definedNames>
    <definedName name="page1">'1.DemandForecast'!$A$3</definedName>
    <definedName name="page2">'2.Total Cost'!$C$33</definedName>
    <definedName name="page3">'3. DemandCurves'!$Y$5</definedName>
    <definedName name="solver_adj" localSheetId="1" hidden="1">'1.DemandForecast'!$N$20:$N$21</definedName>
    <definedName name="solver_adj" localSheetId="2" hidden="1">'2.Total Cost'!$B$9:$B$12</definedName>
    <definedName name="solver_adj" localSheetId="3" hidden="1">'3. DemandCurves'!$B$10:$B$11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1" hidden="1">2</definedName>
    <definedName name="solver_drv" localSheetId="2" hidden="1">1</definedName>
    <definedName name="solver_drv" localSheetId="3" hidden="1">2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2" hidden="1">'2.Total Cost'!$D$5</definedName>
    <definedName name="solver_lhs1" localSheetId="3" hidden="1">'3. DemandCurves'!$E$4</definedName>
    <definedName name="solver_lhs2" localSheetId="3" hidden="1">'3. DemandCurves'!$E$4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1" hidden="1">0</definedName>
    <definedName name="solver_num" localSheetId="2" hidden="1">1</definedName>
    <definedName name="solver_num" localSheetId="3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1" hidden="1">'1.DemandForecast'!$N$22</definedName>
    <definedName name="solver_opt" localSheetId="2" hidden="1">'2.Total Cost'!$E$5</definedName>
    <definedName name="solver_opt" localSheetId="3" hidden="1">'3. DemandCurves'!$D$5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1" hidden="1">2</definedName>
    <definedName name="solver_rbv" localSheetId="2" hidden="1">1</definedName>
    <definedName name="solver_rbv" localSheetId="3" hidden="1">2</definedName>
    <definedName name="solver_rel1" localSheetId="2" hidden="1">2</definedName>
    <definedName name="solver_rel1" localSheetId="3" hidden="1">2</definedName>
    <definedName name="solver_rel2" localSheetId="3" hidden="1">2</definedName>
    <definedName name="solver_rhs1" localSheetId="2" hidden="1">1200</definedName>
    <definedName name="solver_rhs1" localSheetId="3" hidden="1">2.5</definedName>
    <definedName name="solver_rhs2" localSheetId="3" hidden="1">1.25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1" hidden="1">2</definedName>
    <definedName name="solver_scl" localSheetId="2" hidden="1">1</definedName>
    <definedName name="solver_scl" localSheetId="3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1" hidden="1">2</definedName>
    <definedName name="solver_typ" localSheetId="2" hidden="1">3</definedName>
    <definedName name="solver_typ" localSheetId="3" hidden="1">3</definedName>
    <definedName name="solver_val" localSheetId="1" hidden="1">0</definedName>
    <definedName name="solver_val" localSheetId="2" hidden="1">16</definedName>
    <definedName name="solver_val" localSheetId="3" hidden="1">175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3" l="1"/>
  <c r="E4" i="13"/>
  <c r="J11" i="13" s="1"/>
  <c r="K11" i="13" s="1"/>
  <c r="D5" i="13"/>
  <c r="D2" i="13" s="1"/>
  <c r="R6" i="13"/>
  <c r="S6" i="13"/>
  <c r="T6" i="13"/>
  <c r="D8" i="13"/>
  <c r="D9" i="13"/>
  <c r="E9" i="13" s="1"/>
  <c r="J13" i="13"/>
  <c r="K13" i="13" s="1"/>
  <c r="J18" i="13"/>
  <c r="K18" i="13"/>
  <c r="J19" i="13"/>
  <c r="K19" i="13" s="1"/>
  <c r="L19" i="13" s="1"/>
  <c r="J21" i="13"/>
  <c r="K21" i="13" s="1"/>
  <c r="J26" i="13"/>
  <c r="K26" i="13"/>
  <c r="J27" i="13"/>
  <c r="K27" i="13" s="1"/>
  <c r="L27" i="13" s="1"/>
  <c r="J29" i="13"/>
  <c r="K29" i="13" s="1"/>
  <c r="J34" i="13"/>
  <c r="K34" i="13"/>
  <c r="J35" i="13"/>
  <c r="K35" i="13" s="1"/>
  <c r="L35" i="13" s="1"/>
  <c r="J37" i="13"/>
  <c r="K37" i="13" s="1"/>
  <c r="J42" i="13"/>
  <c r="K42" i="13"/>
  <c r="J43" i="13"/>
  <c r="K43" i="13" s="1"/>
  <c r="L43" i="13" s="1"/>
  <c r="J45" i="13"/>
  <c r="K45" i="13" s="1"/>
  <c r="J49" i="13"/>
  <c r="K49" i="13"/>
  <c r="J50" i="13"/>
  <c r="K50" i="13" s="1"/>
  <c r="L50" i="13" s="1"/>
  <c r="J51" i="13"/>
  <c r="K51" i="13" s="1"/>
  <c r="J52" i="13"/>
  <c r="K52" i="13" s="1"/>
  <c r="L52" i="13" s="1"/>
  <c r="J55" i="13"/>
  <c r="K55" i="13" s="1"/>
  <c r="J56" i="13"/>
  <c r="K56" i="13" s="1"/>
  <c r="J57" i="13"/>
  <c r="K57" i="13" s="1"/>
  <c r="J58" i="13"/>
  <c r="K58" i="13"/>
  <c r="J60" i="13"/>
  <c r="K60" i="13"/>
  <c r="J61" i="13"/>
  <c r="K61" i="13" s="1"/>
  <c r="L61" i="13" s="1"/>
  <c r="J63" i="13"/>
  <c r="K63" i="13" s="1"/>
  <c r="J64" i="13"/>
  <c r="K64" i="13" s="1"/>
  <c r="J65" i="13"/>
  <c r="K65" i="13"/>
  <c r="J67" i="13"/>
  <c r="K67" i="13" s="1"/>
  <c r="J68" i="13"/>
  <c r="K68" i="13"/>
  <c r="L68" i="13" s="1"/>
  <c r="J69" i="13"/>
  <c r="K69" i="13" s="1"/>
  <c r="J70" i="13"/>
  <c r="K70" i="13"/>
  <c r="J71" i="13"/>
  <c r="K71" i="13" s="1"/>
  <c r="J72" i="13"/>
  <c r="K72" i="13" s="1"/>
  <c r="L72" i="13" s="1"/>
  <c r="D2" i="12"/>
  <c r="D5" i="12"/>
  <c r="E5" i="12"/>
  <c r="F5" i="12"/>
  <c r="G5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N4" i="13"/>
  <c r="N2" i="13"/>
  <c r="O2" i="13"/>
  <c r="O4" i="13"/>
  <c r="M4" i="13"/>
  <c r="N3" i="13"/>
  <c r="O3" i="13"/>
  <c r="M3" i="13"/>
  <c r="M2" i="13"/>
  <c r="J53" i="13" l="1"/>
  <c r="K53" i="13" s="1"/>
  <c r="L53" i="13" s="1"/>
  <c r="J48" i="13"/>
  <c r="K48" i="13" s="1"/>
  <c r="L49" i="13" s="1"/>
  <c r="J40" i="13"/>
  <c r="K40" i="13" s="1"/>
  <c r="J32" i="13"/>
  <c r="K32" i="13" s="1"/>
  <c r="L32" i="13" s="1"/>
  <c r="J24" i="13"/>
  <c r="K24" i="13" s="1"/>
  <c r="J16" i="13"/>
  <c r="K16" i="13" s="1"/>
  <c r="L16" i="13" s="1"/>
  <c r="J6" i="13"/>
  <c r="K6" i="13" s="1"/>
  <c r="L71" i="13"/>
  <c r="J66" i="13"/>
  <c r="K66" i="13" s="1"/>
  <c r="L66" i="13" s="1"/>
  <c r="J59" i="13"/>
  <c r="K59" i="13" s="1"/>
  <c r="L59" i="13" s="1"/>
  <c r="J47" i="13"/>
  <c r="K47" i="13" s="1"/>
  <c r="J39" i="13"/>
  <c r="K39" i="13" s="1"/>
  <c r="L40" i="13" s="1"/>
  <c r="J31" i="13"/>
  <c r="K31" i="13" s="1"/>
  <c r="J23" i="13"/>
  <c r="K23" i="13" s="1"/>
  <c r="J15" i="13"/>
  <c r="K15" i="13" s="1"/>
  <c r="E6" i="13"/>
  <c r="L58" i="13"/>
  <c r="L21" i="13"/>
  <c r="L51" i="13"/>
  <c r="J44" i="13"/>
  <c r="K44" i="13" s="1"/>
  <c r="L45" i="13" s="1"/>
  <c r="J36" i="13"/>
  <c r="K36" i="13" s="1"/>
  <c r="L37" i="13" s="1"/>
  <c r="J28" i="13"/>
  <c r="K28" i="13" s="1"/>
  <c r="L29" i="13" s="1"/>
  <c r="J20" i="13"/>
  <c r="K20" i="13" s="1"/>
  <c r="L56" i="13"/>
  <c r="L57" i="13"/>
  <c r="L20" i="13"/>
  <c r="L11" i="13"/>
  <c r="L34" i="13"/>
  <c r="L18" i="13"/>
  <c r="L47" i="13"/>
  <c r="L44" i="13"/>
  <c r="L28" i="13"/>
  <c r="L69" i="13"/>
  <c r="L70" i="13"/>
  <c r="L64" i="13"/>
  <c r="L65" i="13"/>
  <c r="J10" i="13"/>
  <c r="K10" i="13" s="1"/>
  <c r="J7" i="13"/>
  <c r="K7" i="13" s="1"/>
  <c r="L7" i="13" s="1"/>
  <c r="J12" i="13"/>
  <c r="K12" i="13" s="1"/>
  <c r="L12" i="13" s="1"/>
  <c r="J8" i="13"/>
  <c r="K8" i="13" s="1"/>
  <c r="J41" i="13"/>
  <c r="K41" i="13" s="1"/>
  <c r="L41" i="13" s="1"/>
  <c r="J33" i="13"/>
  <c r="K33" i="13" s="1"/>
  <c r="J25" i="13"/>
  <c r="K25" i="13" s="1"/>
  <c r="L25" i="13" s="1"/>
  <c r="J17" i="13"/>
  <c r="K17" i="13" s="1"/>
  <c r="J5" i="13"/>
  <c r="K5" i="13" s="1"/>
  <c r="J2" i="13"/>
  <c r="J62" i="13"/>
  <c r="K62" i="13" s="1"/>
  <c r="L62" i="13" s="1"/>
  <c r="J54" i="13"/>
  <c r="K54" i="13" s="1"/>
  <c r="J46" i="13"/>
  <c r="K46" i="13" s="1"/>
  <c r="L46" i="13" s="1"/>
  <c r="J38" i="13"/>
  <c r="K38" i="13" s="1"/>
  <c r="L38" i="13" s="1"/>
  <c r="J30" i="13"/>
  <c r="K30" i="13" s="1"/>
  <c r="L30" i="13" s="1"/>
  <c r="J22" i="13"/>
  <c r="K22" i="13" s="1"/>
  <c r="L22" i="13" s="1"/>
  <c r="J14" i="13"/>
  <c r="K14" i="13" s="1"/>
  <c r="L14" i="13" s="1"/>
  <c r="J9" i="13"/>
  <c r="K9" i="13" s="1"/>
  <c r="E8" i="13"/>
  <c r="F8" i="13" s="1"/>
  <c r="G5" i="13"/>
  <c r="J4" i="13"/>
  <c r="K4" i="13" s="1"/>
  <c r="G2" i="13"/>
  <c r="F9" i="13"/>
  <c r="G4" i="13"/>
  <c r="J3" i="13"/>
  <c r="K3" i="13" s="1"/>
  <c r="F1" i="11"/>
  <c r="G3" i="11" s="1"/>
  <c r="D1" i="11"/>
  <c r="L60" i="13" l="1"/>
  <c r="L5" i="13"/>
  <c r="L48" i="13"/>
  <c r="L36" i="13"/>
  <c r="L67" i="13"/>
  <c r="L17" i="13"/>
  <c r="L33" i="13"/>
  <c r="L26" i="13"/>
  <c r="L24" i="13"/>
  <c r="L54" i="13"/>
  <c r="L8" i="13"/>
  <c r="L42" i="13"/>
  <c r="L10" i="13"/>
  <c r="L13" i="13"/>
  <c r="L63" i="13"/>
  <c r="L2" i="13"/>
  <c r="K2" i="13"/>
  <c r="R3" i="13" s="1"/>
  <c r="R4" i="13" s="1"/>
  <c r="R5" i="13" s="1"/>
  <c r="L31" i="13"/>
  <c r="L9" i="13"/>
  <c r="L15" i="13"/>
  <c r="F10" i="13"/>
  <c r="L23" i="13"/>
  <c r="L4" i="13"/>
  <c r="L55" i="13"/>
  <c r="L6" i="13"/>
  <c r="L39" i="13"/>
  <c r="G5" i="11"/>
  <c r="O8" i="11"/>
  <c r="F5" i="11"/>
  <c r="F7" i="11"/>
  <c r="L3" i="13" l="1"/>
  <c r="N5" i="11"/>
  <c r="G4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H1" i="11" l="1"/>
  <c r="K19" i="11" s="1"/>
  <c r="P23" i="11"/>
  <c r="F3" i="11"/>
  <c r="N6" i="11" l="1"/>
  <c r="F4" i="11" l="1"/>
  <c r="F8" i="11"/>
  <c r="F9" i="11"/>
  <c r="F12" i="11"/>
  <c r="F13" i="11"/>
  <c r="F16" i="11"/>
  <c r="F17" i="11"/>
  <c r="F20" i="11"/>
  <c r="F21" i="11"/>
  <c r="F24" i="11"/>
  <c r="F25" i="11"/>
  <c r="F28" i="11"/>
  <c r="F29" i="11"/>
  <c r="F32" i="11"/>
  <c r="F33" i="11"/>
  <c r="F36" i="11"/>
  <c r="F37" i="11"/>
  <c r="F40" i="11"/>
  <c r="F41" i="11"/>
  <c r="F44" i="11"/>
  <c r="F45" i="11"/>
  <c r="F48" i="11"/>
  <c r="F49" i="11"/>
  <c r="F52" i="11"/>
  <c r="F6" i="11"/>
  <c r="F51" i="11" l="1"/>
  <c r="F47" i="11"/>
  <c r="F43" i="11"/>
  <c r="F39" i="11"/>
  <c r="F35" i="11"/>
  <c r="F31" i="11"/>
  <c r="F27" i="11"/>
  <c r="F23" i="11"/>
  <c r="F19" i="11"/>
  <c r="F15" i="11"/>
  <c r="F11" i="11"/>
  <c r="F50" i="11"/>
  <c r="F46" i="11"/>
  <c r="F42" i="11"/>
  <c r="F38" i="11"/>
  <c r="F34" i="11"/>
  <c r="F30" i="11"/>
  <c r="F26" i="11"/>
  <c r="F22" i="11"/>
  <c r="F18" i="11"/>
  <c r="F14" i="11"/>
  <c r="F10" i="11"/>
  <c r="K15" i="11" s="1"/>
  <c r="AF4" i="9" l="1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" i="9"/>
  <c r="AB77" i="9" l="1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AI1" i="9"/>
  <c r="AH1" i="9"/>
  <c r="AE10" i="9" l="1"/>
  <c r="AE5" i="9"/>
  <c r="AE9" i="9"/>
  <c r="AE13" i="9"/>
  <c r="AE17" i="9"/>
  <c r="AE21" i="9"/>
  <c r="AG21" i="9" s="1"/>
  <c r="AE25" i="9"/>
  <c r="AE29" i="9"/>
  <c r="AE33" i="9"/>
  <c r="AG33" i="9" s="1"/>
  <c r="AE37" i="9"/>
  <c r="AG37" i="9" s="1"/>
  <c r="AE41" i="9"/>
  <c r="AE45" i="9"/>
  <c r="AE49" i="9"/>
  <c r="AE53" i="9"/>
  <c r="AE57" i="9"/>
  <c r="AE61" i="9"/>
  <c r="AG61" i="9" s="1"/>
  <c r="AE65" i="9"/>
  <c r="AE69" i="9"/>
  <c r="AE73" i="9"/>
  <c r="AE77" i="9"/>
  <c r="AG77" i="9" s="1"/>
  <c r="AE6" i="9"/>
  <c r="AE14" i="9"/>
  <c r="AE18" i="9"/>
  <c r="AE22" i="9"/>
  <c r="AE26" i="9"/>
  <c r="AE30" i="9"/>
  <c r="AG30" i="9" s="1"/>
  <c r="AE34" i="9"/>
  <c r="AE38" i="9"/>
  <c r="AE42" i="9"/>
  <c r="AE46" i="9"/>
  <c r="AE50" i="9"/>
  <c r="AE54" i="9"/>
  <c r="AE58" i="9"/>
  <c r="AE62" i="9"/>
  <c r="AE66" i="9"/>
  <c r="AE70" i="9"/>
  <c r="AE74" i="9"/>
  <c r="AE7" i="9"/>
  <c r="AE11" i="9"/>
  <c r="AE15" i="9"/>
  <c r="AE19" i="9"/>
  <c r="AE23" i="9"/>
  <c r="AE27" i="9"/>
  <c r="AE31" i="9"/>
  <c r="AE35" i="9"/>
  <c r="AE39" i="9"/>
  <c r="AE43" i="9"/>
  <c r="AE47" i="9"/>
  <c r="AG47" i="9" s="1"/>
  <c r="AE51" i="9"/>
  <c r="AE55" i="9"/>
  <c r="AE59" i="9"/>
  <c r="AG59" i="9" s="1"/>
  <c r="AE63" i="9"/>
  <c r="AE67" i="9"/>
  <c r="AE71" i="9"/>
  <c r="AE75" i="9"/>
  <c r="AE4" i="9"/>
  <c r="AE8" i="9"/>
  <c r="AE12" i="9"/>
  <c r="AE16" i="9"/>
  <c r="AE20" i="9"/>
  <c r="AE24" i="9"/>
  <c r="AE28" i="9"/>
  <c r="AE32" i="9"/>
  <c r="AE36" i="9"/>
  <c r="AE40" i="9"/>
  <c r="AE44" i="9"/>
  <c r="AE48" i="9"/>
  <c r="AE52" i="9"/>
  <c r="AE56" i="9"/>
  <c r="AE60" i="9"/>
  <c r="AE64" i="9"/>
  <c r="AE68" i="9"/>
  <c r="AE72" i="9"/>
  <c r="AG72" i="9" s="1"/>
  <c r="AE76" i="9"/>
  <c r="AE3" i="9"/>
  <c r="AG3" i="9" s="1"/>
  <c r="AG5" i="9" l="1"/>
  <c r="D5" i="9" s="1"/>
  <c r="AG60" i="9"/>
  <c r="D60" i="9" s="1"/>
  <c r="AG44" i="9"/>
  <c r="D44" i="9" s="1"/>
  <c r="AG28" i="9"/>
  <c r="D28" i="9" s="1"/>
  <c r="AG74" i="9"/>
  <c r="D74" i="9" s="1"/>
  <c r="AG50" i="9"/>
  <c r="D50" i="9" s="1"/>
  <c r="AG22" i="9"/>
  <c r="D22" i="9" s="1"/>
  <c r="AG65" i="9"/>
  <c r="D65" i="9" s="1"/>
  <c r="AG49" i="9"/>
  <c r="D49" i="9" s="1"/>
  <c r="AG42" i="9"/>
  <c r="D42" i="9" s="1"/>
  <c r="AG31" i="9"/>
  <c r="D31" i="9" s="1"/>
  <c r="AG27" i="9"/>
  <c r="D27" i="9" s="1"/>
  <c r="AG23" i="9"/>
  <c r="D23" i="9" s="1"/>
  <c r="AG76" i="9"/>
  <c r="D76" i="9" s="1"/>
  <c r="AG56" i="9"/>
  <c r="D56" i="9" s="1"/>
  <c r="AG40" i="9"/>
  <c r="D40" i="9" s="1"/>
  <c r="AG24" i="9"/>
  <c r="D24" i="9" s="1"/>
  <c r="AG70" i="9"/>
  <c r="D70" i="9" s="1"/>
  <c r="AG38" i="9"/>
  <c r="D38" i="9" s="1"/>
  <c r="AG45" i="9"/>
  <c r="D45" i="9" s="1"/>
  <c r="AG29" i="9"/>
  <c r="D29" i="9" s="1"/>
  <c r="AG66" i="9"/>
  <c r="D66" i="9" s="1"/>
  <c r="AG34" i="9"/>
  <c r="D34" i="9" s="1"/>
  <c r="AG75" i="9"/>
  <c r="D75" i="9" s="1"/>
  <c r="AG71" i="9"/>
  <c r="D71" i="9" s="1"/>
  <c r="AG67" i="9"/>
  <c r="D67" i="9" s="1"/>
  <c r="AG68" i="9"/>
  <c r="D68" i="9" s="1"/>
  <c r="AG52" i="9"/>
  <c r="D52" i="9" s="1"/>
  <c r="AG36" i="9"/>
  <c r="D36" i="9" s="1"/>
  <c r="AG20" i="9"/>
  <c r="D20" i="9" s="1"/>
  <c r="AG62" i="9"/>
  <c r="D62" i="9" s="1"/>
  <c r="AG73" i="9"/>
  <c r="D73" i="9" s="1"/>
  <c r="AG57" i="9"/>
  <c r="D57" i="9" s="1"/>
  <c r="AG41" i="9"/>
  <c r="D41" i="9" s="1"/>
  <c r="AG25" i="9"/>
  <c r="D25" i="9" s="1"/>
  <c r="AG54" i="9"/>
  <c r="D54" i="9" s="1"/>
  <c r="AG63" i="9"/>
  <c r="D63" i="9" s="1"/>
  <c r="AG55" i="9"/>
  <c r="D55" i="9" s="1"/>
  <c r="AG51" i="9"/>
  <c r="D51" i="9" s="1"/>
  <c r="AG64" i="9"/>
  <c r="D64" i="9" s="1"/>
  <c r="AG48" i="9"/>
  <c r="D48" i="9" s="1"/>
  <c r="AG32" i="9"/>
  <c r="D32" i="9" s="1"/>
  <c r="AG4" i="9"/>
  <c r="D4" i="9" s="1"/>
  <c r="AG58" i="9"/>
  <c r="D58" i="9" s="1"/>
  <c r="AG26" i="9"/>
  <c r="D26" i="9" s="1"/>
  <c r="AG69" i="9"/>
  <c r="D69" i="9" s="1"/>
  <c r="AG53" i="9"/>
  <c r="D53" i="9" s="1"/>
  <c r="AG46" i="9"/>
  <c r="D46" i="9" s="1"/>
  <c r="AG43" i="9"/>
  <c r="AG39" i="9"/>
  <c r="D39" i="9" s="1"/>
  <c r="AG35" i="9"/>
  <c r="D35" i="9" s="1"/>
  <c r="D61" i="9"/>
  <c r="D72" i="9"/>
  <c r="D30" i="9"/>
  <c r="D37" i="9"/>
  <c r="D21" i="9"/>
  <c r="D47" i="9"/>
  <c r="D59" i="9"/>
  <c r="D33" i="9"/>
  <c r="D77" i="9"/>
  <c r="D43" i="9" l="1"/>
  <c r="D3" i="9"/>
  <c r="AG6" i="9"/>
  <c r="AG7" i="9"/>
  <c r="AG10" i="9"/>
  <c r="AG11" i="9"/>
  <c r="AG8" i="9" l="1"/>
  <c r="D6" i="9"/>
  <c r="AG14" i="9"/>
  <c r="AG16" i="9"/>
  <c r="D8" i="9" l="1"/>
  <c r="AG12" i="9"/>
  <c r="AG13" i="9"/>
  <c r="AG9" i="9"/>
  <c r="D7" i="9"/>
  <c r="D10" i="9"/>
  <c r="D11" i="9"/>
  <c r="AG15" i="9" l="1"/>
  <c r="D9" i="9"/>
  <c r="D13" i="9"/>
  <c r="D12" i="9"/>
  <c r="D14" i="9"/>
  <c r="D16" i="9"/>
  <c r="AG18" i="9" l="1"/>
  <c r="D15" i="9"/>
  <c r="AG17" i="9" l="1"/>
  <c r="AG19" i="9"/>
  <c r="B67" i="9" l="1"/>
  <c r="B30" i="9"/>
  <c r="B3" i="9"/>
  <c r="C3" i="9"/>
  <c r="C35" i="9"/>
  <c r="C67" i="9"/>
  <c r="C58" i="9"/>
  <c r="C73" i="9"/>
  <c r="C29" i="9"/>
  <c r="C60" i="9"/>
  <c r="C32" i="9"/>
  <c r="C30" i="9"/>
  <c r="C61" i="9"/>
  <c r="C17" i="9"/>
  <c r="C64" i="9"/>
  <c r="C68" i="9"/>
  <c r="C24" i="9"/>
  <c r="C59" i="9"/>
  <c r="C15" i="9"/>
  <c r="C53" i="9"/>
  <c r="C26" i="9"/>
  <c r="C9" i="9"/>
  <c r="C33" i="9"/>
  <c r="C57" i="9"/>
  <c r="C54" i="9"/>
  <c r="C4" i="9"/>
  <c r="C43" i="9"/>
  <c r="C14" i="9"/>
  <c r="C36" i="9"/>
  <c r="C39" i="9"/>
  <c r="C70" i="9"/>
  <c r="C23" i="9"/>
  <c r="C65" i="9"/>
  <c r="C41" i="9"/>
  <c r="C49" i="9"/>
  <c r="C19" i="9"/>
  <c r="C37" i="9"/>
  <c r="C72" i="9"/>
  <c r="C21" i="9"/>
  <c r="C48" i="9"/>
  <c r="C31" i="9"/>
  <c r="C55" i="9"/>
  <c r="C16" i="9"/>
  <c r="C25" i="9"/>
  <c r="C74" i="9"/>
  <c r="C11" i="9"/>
  <c r="C51" i="9"/>
  <c r="C47" i="9"/>
  <c r="C69" i="9"/>
  <c r="C77" i="9"/>
  <c r="C50" i="9"/>
  <c r="C13" i="9"/>
  <c r="C62" i="9"/>
  <c r="C52" i="9"/>
  <c r="C42" i="9"/>
  <c r="C5" i="9"/>
  <c r="C38" i="9"/>
  <c r="C28" i="9"/>
  <c r="C66" i="9"/>
  <c r="C40" i="9"/>
  <c r="C7" i="9"/>
  <c r="C71" i="9"/>
  <c r="C56" i="9"/>
  <c r="C45" i="9"/>
  <c r="C6" i="9"/>
  <c r="C44" i="9"/>
  <c r="C18" i="9"/>
  <c r="C8" i="9"/>
  <c r="C46" i="9"/>
  <c r="C20" i="9"/>
  <c r="C10" i="9"/>
  <c r="C63" i="9"/>
  <c r="C22" i="9"/>
  <c r="C75" i="9"/>
  <c r="C34" i="9"/>
  <c r="C27" i="9"/>
  <c r="C12" i="9"/>
  <c r="C76" i="9"/>
  <c r="B51" i="9"/>
  <c r="B58" i="9"/>
  <c r="B16" i="9"/>
  <c r="B33" i="9"/>
  <c r="B25" i="9"/>
  <c r="B24" i="9"/>
  <c r="B55" i="9"/>
  <c r="B17" i="9"/>
  <c r="B34" i="9"/>
  <c r="B31" i="9"/>
  <c r="B57" i="9"/>
  <c r="B18" i="9"/>
  <c r="B48" i="9"/>
  <c r="B29" i="9"/>
  <c r="B22" i="9"/>
  <c r="B68" i="9"/>
  <c r="B41" i="9"/>
  <c r="B77" i="9"/>
  <c r="B7" i="9"/>
  <c r="B8" i="9"/>
  <c r="B49" i="9"/>
  <c r="B36" i="9"/>
  <c r="B26" i="9"/>
  <c r="B21" i="9"/>
  <c r="B64" i="9"/>
  <c r="B28" i="9"/>
  <c r="B37" i="9"/>
  <c r="B10" i="9"/>
  <c r="B70" i="9"/>
  <c r="B53" i="9"/>
  <c r="B61" i="9"/>
  <c r="B23" i="9"/>
  <c r="B20" i="9"/>
  <c r="B44" i="9"/>
  <c r="B62" i="9"/>
  <c r="B69" i="9"/>
  <c r="B15" i="9"/>
  <c r="B74" i="9"/>
  <c r="B60" i="9"/>
  <c r="B5" i="9"/>
  <c r="B9" i="9"/>
  <c r="B39" i="9"/>
  <c r="B42" i="9"/>
  <c r="B75" i="9"/>
  <c r="B47" i="9"/>
  <c r="B50" i="9"/>
  <c r="B72" i="9"/>
  <c r="B71" i="9"/>
  <c r="B40" i="9"/>
  <c r="B13" i="9"/>
  <c r="D19" i="9"/>
  <c r="B76" i="9"/>
  <c r="B14" i="9"/>
  <c r="B32" i="9"/>
  <c r="B6" i="9"/>
  <c r="B38" i="9"/>
  <c r="B56" i="9"/>
  <c r="B45" i="9"/>
  <c r="B11" i="9"/>
  <c r="B52" i="9"/>
  <c r="B43" i="9"/>
  <c r="B46" i="9"/>
  <c r="B73" i="9"/>
  <c r="B54" i="9"/>
  <c r="B4" i="9"/>
  <c r="B66" i="9"/>
  <c r="B27" i="9"/>
  <c r="B65" i="9"/>
  <c r="B59" i="9"/>
  <c r="D17" i="9"/>
  <c r="B63" i="9"/>
  <c r="B35" i="9"/>
  <c r="B19" i="9"/>
  <c r="B12" i="9"/>
  <c r="D18" i="9"/>
  <c r="P9" i="9" l="1"/>
  <c r="A20" i="11"/>
  <c r="A44" i="11"/>
  <c r="A28" i="11"/>
  <c r="A52" i="11"/>
  <c r="A11" i="11"/>
  <c r="A41" i="11"/>
  <c r="A39" i="11"/>
  <c r="A4" i="11"/>
  <c r="A9" i="11"/>
  <c r="A17" i="11"/>
  <c r="A12" i="11"/>
  <c r="A22" i="11"/>
  <c r="A46" i="11"/>
  <c r="A6" i="11"/>
  <c r="A7" i="11"/>
  <c r="A38" i="11"/>
  <c r="A31" i="11"/>
  <c r="A37" i="11"/>
  <c r="A36" i="11"/>
  <c r="A26" i="11"/>
  <c r="A24" i="11"/>
  <c r="A29" i="11"/>
  <c r="A35" i="11"/>
  <c r="A27" i="11"/>
  <c r="A8" i="11"/>
  <c r="A45" i="11"/>
  <c r="A40" i="11"/>
  <c r="A5" i="11"/>
  <c r="A13" i="11"/>
  <c r="A47" i="11"/>
  <c r="A25" i="11"/>
  <c r="A48" i="11"/>
  <c r="A19" i="11"/>
  <c r="A23" i="11"/>
  <c r="A14" i="11"/>
  <c r="A30" i="11"/>
  <c r="A34" i="11"/>
  <c r="A10" i="11"/>
  <c r="A18" i="11"/>
  <c r="A42" i="11"/>
  <c r="A50" i="11"/>
  <c r="A51" i="11"/>
  <c r="A16" i="11"/>
  <c r="A21" i="11"/>
  <c r="A49" i="11"/>
  <c r="A43" i="11"/>
  <c r="A33" i="11"/>
  <c r="A15" i="11"/>
  <c r="A32" i="11"/>
  <c r="A3" i="11"/>
  <c r="M20" i="11"/>
  <c r="N9" i="11"/>
  <c r="M21" i="11"/>
  <c r="M22" i="11" s="1"/>
  <c r="P2" i="9"/>
  <c r="O2" i="9"/>
  <c r="Q2" i="9"/>
  <c r="P4" i="9"/>
  <c r="P6" i="9"/>
  <c r="P3" i="9"/>
  <c r="Q6" i="9"/>
  <c r="Q4" i="9"/>
  <c r="Q3" i="9"/>
  <c r="Q9" i="9"/>
  <c r="O6" i="9"/>
  <c r="O9" i="9"/>
  <c r="O4" i="9"/>
  <c r="O3" i="9"/>
  <c r="D4" i="11" l="1"/>
  <c r="D3" i="11"/>
  <c r="E3" i="11" s="1"/>
  <c r="D5" i="11"/>
  <c r="E5" i="11" s="1"/>
  <c r="D9" i="11"/>
  <c r="E9" i="11" s="1"/>
  <c r="D13" i="11"/>
  <c r="D18" i="11"/>
  <c r="D22" i="11"/>
  <c r="D26" i="11"/>
  <c r="E26" i="11" s="1"/>
  <c r="D30" i="11"/>
  <c r="D34" i="11"/>
  <c r="D38" i="11"/>
  <c r="D42" i="11"/>
  <c r="E42" i="11" s="1"/>
  <c r="D46" i="11"/>
  <c r="D50" i="11"/>
  <c r="D7" i="11"/>
  <c r="E7" i="11" s="1"/>
  <c r="D11" i="11"/>
  <c r="E11" i="11" s="1"/>
  <c r="D15" i="11"/>
  <c r="D20" i="11"/>
  <c r="D28" i="11"/>
  <c r="D32" i="11"/>
  <c r="D40" i="11"/>
  <c r="D48" i="11"/>
  <c r="D16" i="11"/>
  <c r="D17" i="11"/>
  <c r="E17" i="11" s="1"/>
  <c r="D25" i="11"/>
  <c r="D33" i="11"/>
  <c r="D41" i="11"/>
  <c r="D49" i="11"/>
  <c r="E49" i="11" s="1"/>
  <c r="D6" i="11"/>
  <c r="E6" i="11" s="1"/>
  <c r="D10" i="11"/>
  <c r="D14" i="11"/>
  <c r="D19" i="11"/>
  <c r="E19" i="11" s="1"/>
  <c r="D23" i="11"/>
  <c r="D27" i="11"/>
  <c r="D31" i="11"/>
  <c r="D35" i="11"/>
  <c r="E35" i="11" s="1"/>
  <c r="D39" i="11"/>
  <c r="E39" i="11" s="1"/>
  <c r="D43" i="11"/>
  <c r="D47" i="11"/>
  <c r="D51" i="11"/>
  <c r="E51" i="11" s="1"/>
  <c r="D24" i="11"/>
  <c r="D36" i="11"/>
  <c r="D44" i="11"/>
  <c r="D52" i="11"/>
  <c r="E52" i="11" s="1"/>
  <c r="D8" i="11"/>
  <c r="D12" i="11"/>
  <c r="D21" i="11"/>
  <c r="D29" i="11"/>
  <c r="E29" i="11" s="1"/>
  <c r="D37" i="11"/>
  <c r="E37" i="11" s="1"/>
  <c r="D45" i="11"/>
  <c r="T4" i="9"/>
  <c r="T9" i="9"/>
  <c r="E48" i="11"/>
  <c r="E32" i="11"/>
  <c r="E14" i="11"/>
  <c r="E38" i="11"/>
  <c r="E22" i="11"/>
  <c r="E12" i="11"/>
  <c r="E47" i="11"/>
  <c r="E31" i="11"/>
  <c r="E13" i="11"/>
  <c r="E44" i="11"/>
  <c r="E28" i="11"/>
  <c r="E10" i="11"/>
  <c r="E50" i="11"/>
  <c r="E34" i="11"/>
  <c r="E21" i="11"/>
  <c r="E4" i="11"/>
  <c r="E25" i="11"/>
  <c r="E43" i="11"/>
  <c r="E27" i="11"/>
  <c r="E33" i="11"/>
  <c r="E40" i="11"/>
  <c r="E24" i="11"/>
  <c r="E46" i="11"/>
  <c r="E30" i="11"/>
  <c r="E20" i="11"/>
  <c r="E45" i="11"/>
  <c r="E15" i="11"/>
  <c r="E23" i="11"/>
  <c r="E36" i="11"/>
  <c r="E18" i="11"/>
  <c r="E8" i="11"/>
  <c r="E16" i="11"/>
  <c r="E41" i="11"/>
  <c r="T6" i="9"/>
  <c r="T3" i="9"/>
  <c r="U4" i="9"/>
  <c r="T2" i="9"/>
  <c r="U9" i="9"/>
  <c r="U3" i="9"/>
  <c r="U6" i="9"/>
  <c r="U2" i="9"/>
  <c r="Q7" i="9"/>
  <c r="Q5" i="9"/>
  <c r="Q8" i="9" s="1"/>
  <c r="P5" i="9"/>
  <c r="P7" i="9"/>
  <c r="O5" i="9"/>
  <c r="O8" i="9" s="1"/>
  <c r="O7" i="9"/>
  <c r="N8" i="11" l="1"/>
  <c r="K14" i="11"/>
  <c r="U7" i="9"/>
  <c r="T5" i="9"/>
  <c r="U5" i="9"/>
  <c r="T7" i="9"/>
  <c r="P8" i="9"/>
  <c r="U8" i="9" s="1"/>
  <c r="R5" i="9"/>
  <c r="S5" i="9" s="1"/>
  <c r="O6" i="11" l="1"/>
  <c r="K17" i="11"/>
  <c r="K13" i="11"/>
  <c r="K16" i="11" s="1"/>
  <c r="R9" i="11" s="1"/>
  <c r="R10" i="11" s="1"/>
  <c r="K2" i="11"/>
  <c r="T8" i="9"/>
  <c r="R3" i="9"/>
  <c r="S3" i="9" s="1"/>
  <c r="R4" i="9"/>
  <c r="G2" i="9" s="1"/>
  <c r="R11" i="11" l="1"/>
  <c r="H2" i="9"/>
  <c r="G3" i="9" l="1"/>
  <c r="I2" i="9"/>
  <c r="J2" i="9" s="1"/>
  <c r="F2" i="9"/>
  <c r="H3" i="9" l="1"/>
  <c r="I3" i="9" l="1"/>
  <c r="J3" i="9" s="1"/>
  <c r="G4" i="9"/>
  <c r="F3" i="9"/>
  <c r="H4" i="9" l="1"/>
  <c r="I4" i="9" l="1"/>
  <c r="J4" i="9" s="1"/>
  <c r="G5" i="9"/>
  <c r="F4" i="9"/>
  <c r="H5" i="9" l="1"/>
  <c r="I5" i="9" l="1"/>
  <c r="J5" i="9" s="1"/>
  <c r="G6" i="9"/>
  <c r="F5" i="9"/>
  <c r="H6" i="9" l="1"/>
  <c r="I6" i="9" l="1"/>
  <c r="J6" i="9" s="1"/>
  <c r="G7" i="9"/>
  <c r="F6" i="9"/>
  <c r="H7" i="9" l="1"/>
  <c r="I7" i="9" l="1"/>
  <c r="J7" i="9" s="1"/>
  <c r="G8" i="9"/>
  <c r="F7" i="9"/>
  <c r="H8" i="9" l="1"/>
  <c r="I8" i="9" l="1"/>
  <c r="J8" i="9" s="1"/>
  <c r="G9" i="9"/>
  <c r="F8" i="9"/>
  <c r="H9" i="9" l="1"/>
  <c r="I9" i="9" l="1"/>
  <c r="J9" i="9" s="1"/>
  <c r="G10" i="9"/>
  <c r="F9" i="9"/>
  <c r="H10" i="9" l="1"/>
  <c r="I10" i="9" l="1"/>
  <c r="J10" i="9" s="1"/>
  <c r="G11" i="9"/>
  <c r="F10" i="9"/>
  <c r="H11" i="9" l="1"/>
  <c r="I11" i="9" l="1"/>
  <c r="J11" i="9" s="1"/>
  <c r="G12" i="9"/>
  <c r="F11" i="9"/>
  <c r="H12" i="9" l="1"/>
  <c r="I12" i="9" l="1"/>
  <c r="J12" i="9" s="1"/>
  <c r="G13" i="9"/>
  <c r="F12" i="9"/>
  <c r="H13" i="9" l="1"/>
  <c r="I13" i="9" l="1"/>
  <c r="J13" i="9" s="1"/>
  <c r="G14" i="9"/>
  <c r="F13" i="9"/>
  <c r="H14" i="9" l="1"/>
  <c r="I14" i="9" s="1"/>
  <c r="F14" i="9" l="1"/>
  <c r="J14" i="9"/>
  <c r="J15" i="9" l="1"/>
  <c r="K2" i="9" l="1"/>
  <c r="K6" i="9"/>
  <c r="K10" i="9"/>
  <c r="L4" i="9"/>
  <c r="L8" i="9"/>
  <c r="L12" i="9"/>
  <c r="K3" i="9"/>
  <c r="K7" i="9"/>
  <c r="K11" i="9"/>
  <c r="L5" i="9"/>
  <c r="L9" i="9"/>
  <c r="K12" i="9"/>
  <c r="K4" i="9"/>
  <c r="K8" i="9"/>
  <c r="L6" i="9"/>
  <c r="L10" i="9"/>
  <c r="K13" i="9"/>
  <c r="K5" i="9"/>
  <c r="K9" i="9"/>
  <c r="L3" i="9"/>
  <c r="L7" i="9"/>
  <c r="L11" i="9"/>
  <c r="L2" i="9"/>
  <c r="L13" i="9"/>
  <c r="L14" i="9"/>
  <c r="K14" i="9"/>
  <c r="K15" i="9" l="1"/>
</calcChain>
</file>

<file path=xl/sharedStrings.xml><?xml version="1.0" encoding="utf-8"?>
<sst xmlns="http://schemas.openxmlformats.org/spreadsheetml/2006/main" count="111" uniqueCount="94">
  <si>
    <t>At</t>
  </si>
  <si>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</si>
  <si>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</si>
  <si>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</si>
  <si>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</si>
  <si>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</si>
  <si>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</si>
  <si>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</si>
  <si>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</si>
  <si>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</si>
  <si>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</si>
  <si>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</si>
  <si>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</si>
  <si>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</si>
  <si>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Skew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</si>
  <si>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</si>
  <si>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</si>
  <si>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</si>
  <si>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</si>
  <si>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</si>
  <si>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</si>
  <si>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</si>
  <si>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</si>
  <si>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</si>
  <si>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Day</t>
  </si>
  <si>
    <t>Yhat (Reg)</t>
  </si>
  <si>
    <t>SE</t>
  </si>
  <si>
    <t>SUMMARY OUTPUT</t>
  </si>
  <si>
    <t>Regression Statistics</t>
  </si>
  <si>
    <t>Correlation</t>
  </si>
  <si>
    <t>Multiple R</t>
  </si>
  <si>
    <t>Coefficient of Determination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</si>
  <si>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</si>
  <si>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</si>
  <si>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</si>
  <si>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</si>
  <si>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</si>
  <si>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</si>
  <si>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</si>
  <si>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</si>
  <si>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</si>
  <si>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</si>
  <si>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</si>
  <si>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</si>
  <si>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</si>
  <si>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</si>
  <si>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</si>
  <si>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</si>
  <si>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</si>
  <si>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</si>
  <si>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</si>
  <si>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X Variable 1</t>
  </si>
  <si>
    <t>Rand-TR</t>
  </si>
  <si>
    <t>ST</t>
  </si>
  <si>
    <t>Ybar</t>
  </si>
  <si>
    <t>SSE</t>
  </si>
  <si>
    <t>SST</t>
  </si>
  <si>
    <t>SSR</t>
  </si>
  <si>
    <t>Statistics</t>
  </si>
  <si>
    <t>Set 1</t>
  </si>
  <si>
    <t>Set 2</t>
  </si>
  <si>
    <t>Set 3</t>
  </si>
  <si>
    <t>Range/Mean</t>
  </si>
  <si>
    <t>MSR</t>
  </si>
  <si>
    <t>MSE</t>
  </si>
  <si>
    <t>P(F)Left</t>
  </si>
  <si>
    <t>P(F)Right</t>
  </si>
  <si>
    <t>Intercept (b0)</t>
  </si>
  <si>
    <t>X Variable 1 (b1)</t>
  </si>
  <si>
    <t>Xbar</t>
  </si>
  <si>
    <r>
      <t>(X-Xbar)</t>
    </r>
    <r>
      <rPr>
        <vertAlign val="superscript"/>
        <sz val="11"/>
        <color theme="1"/>
        <rFont val="Calibri"/>
        <family val="2"/>
        <scheme val="minor"/>
      </rPr>
      <t xml:space="preserve">2 </t>
    </r>
  </si>
  <si>
    <t>Sb1</t>
  </si>
  <si>
    <r>
      <t>SQRT(SUM(X-Xbar)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</si>
  <si>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</si>
  <si>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</si>
  <si>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</si>
  <si>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t>V</t>
  </si>
  <si>
    <t>R2</t>
  </si>
  <si>
    <t>b1</t>
  </si>
  <si>
    <t>b0</t>
  </si>
  <si>
    <t>StdErr</t>
  </si>
  <si>
    <t>R-Squared</t>
  </si>
  <si>
    <t>Slope</t>
  </si>
  <si>
    <t>Total Cost</t>
  </si>
  <si>
    <t xml:space="preserve">Production </t>
  </si>
  <si>
    <t>TC</t>
  </si>
  <si>
    <t>Q</t>
  </si>
  <si>
    <t>R</t>
  </si>
  <si>
    <t>R vs. P</t>
  </si>
  <si>
    <t>P</t>
  </si>
  <si>
    <t>Price</t>
  </si>
  <si>
    <t>Sales</t>
  </si>
  <si>
    <t>Watch the lecture here</t>
  </si>
  <si>
    <t>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</si>
</sst>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"/>
    <numFmt numFmtId="166" formatCode="0.00000"/>
    <numFmt numFmtId="167" formatCode="0.0000000"/>
    <numFmt numFmtId="168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Book Antiqua"/>
      <family val="1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8"/>
      <color rgb="FFFF0000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7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7" fillId="0" borderId="16" xfId="0" applyFont="1" applyFill="1" applyBorder="1" applyAlignment="1">
      <alignment horizontal="centerContinuous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2" fontId="8" fillId="0" borderId="0" xfId="0" applyNumberFormat="1" applyFont="1" applyFill="1" applyBorder="1" applyAlignment="1"/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8" fillId="0" borderId="14" xfId="0" applyFont="1" applyFill="1" applyBorder="1" applyAlignment="1"/>
    <xf numFmtId="0" fontId="7" fillId="0" borderId="16" xfId="0" applyFont="1" applyFill="1" applyBorder="1" applyAlignment="1">
      <alignment horizontal="center"/>
    </xf>
    <xf numFmtId="0" fontId="0" fillId="0" borderId="14" xfId="0" applyFill="1" applyBorder="1" applyAlignment="1"/>
    <xf numFmtId="2" fontId="0" fillId="0" borderId="14" xfId="0" applyNumberFormat="1" applyFill="1" applyBorder="1" applyAlignment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5" borderId="5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4" xfId="0" applyBorder="1" applyAlignment="1">
      <alignment horizontal="left"/>
    </xf>
    <xf numFmtId="164" fontId="0" fillId="5" borderId="7" xfId="0" applyNumberForma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8" borderId="4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164" fontId="6" fillId="6" borderId="9" xfId="0" applyNumberFormat="1" applyFon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5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4" fillId="0" borderId="0" xfId="1" applyFont="1"/>
    <xf numFmtId="0" fontId="10" fillId="0" borderId="0" xfId="3" applyFont="1"/>
    <xf numFmtId="0" fontId="9" fillId="4" borderId="0" xfId="1" applyFont="1" applyFill="1"/>
    <xf numFmtId="0" fontId="4" fillId="4" borderId="0" xfId="1" applyFont="1" applyFill="1" applyAlignment="1">
      <alignment horizontal="right"/>
    </xf>
    <xf numFmtId="0" fontId="4" fillId="4" borderId="0" xfId="1" applyFont="1" applyFill="1" applyAlignment="1">
      <alignment horizontal="left"/>
    </xf>
    <xf numFmtId="0" fontId="4" fillId="0" borderId="11" xfId="1" applyFont="1" applyFill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0" fillId="0" borderId="0" xfId="2" applyFont="1"/>
    <xf numFmtId="0" fontId="10" fillId="0" borderId="0" xfId="2" quotePrefix="1" applyFont="1"/>
    <xf numFmtId="0" fontId="12" fillId="0" borderId="0" xfId="1" applyFont="1"/>
    <xf numFmtId="0" fontId="4" fillId="5" borderId="0" xfId="1" applyFont="1" applyFill="1"/>
    <xf numFmtId="0" fontId="4" fillId="0" borderId="10" xfId="1" applyFont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10" fillId="0" borderId="0" xfId="2" applyFont="1" applyFill="1"/>
    <xf numFmtId="0" fontId="10" fillId="0" borderId="2" xfId="2" applyFont="1" applyBorder="1" applyAlignment="1">
      <alignment horizontal="center"/>
    </xf>
    <xf numFmtId="1" fontId="10" fillId="0" borderId="2" xfId="2" applyNumberFormat="1" applyFont="1" applyFill="1" applyBorder="1" applyAlignment="1">
      <alignment horizontal="center"/>
    </xf>
    <xf numFmtId="1" fontId="10" fillId="0" borderId="3" xfId="2" applyNumberFormat="1" applyFont="1" applyBorder="1" applyAlignment="1">
      <alignment horizontal="center"/>
    </xf>
    <xf numFmtId="1" fontId="10" fillId="0" borderId="13" xfId="2" applyNumberFormat="1" applyFont="1" applyBorder="1" applyAlignment="1">
      <alignment horizontal="center"/>
    </xf>
    <xf numFmtId="2" fontId="10" fillId="0" borderId="13" xfId="2" applyNumberFormat="1" applyFont="1" applyBorder="1" applyAlignment="1">
      <alignment horizontal="center"/>
    </xf>
    <xf numFmtId="2" fontId="10" fillId="0" borderId="3" xfId="2" applyNumberFormat="1" applyFont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6" borderId="0" xfId="1" applyFont="1" applyFill="1" applyAlignment="1">
      <alignment horizontal="center"/>
    </xf>
    <xf numFmtId="0" fontId="4" fillId="7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4" xfId="2" applyFont="1" applyBorder="1" applyAlignment="1">
      <alignment horizontal="center"/>
    </xf>
    <xf numFmtId="1" fontId="10" fillId="0" borderId="4" xfId="2" applyNumberFormat="1" applyFont="1" applyBorder="1" applyAlignment="1">
      <alignment horizontal="center"/>
    </xf>
    <xf numFmtId="1" fontId="10" fillId="0" borderId="5" xfId="2" applyNumberFormat="1" applyFont="1" applyBorder="1" applyAlignment="1">
      <alignment horizontal="center"/>
    </xf>
    <xf numFmtId="1" fontId="10" fillId="0" borderId="0" xfId="2" applyNumberFormat="1" applyFont="1" applyBorder="1" applyAlignment="1">
      <alignment horizontal="center"/>
    </xf>
    <xf numFmtId="2" fontId="10" fillId="0" borderId="0" xfId="2" applyNumberFormat="1" applyFont="1" applyBorder="1" applyAlignment="1">
      <alignment horizontal="center"/>
    </xf>
    <xf numFmtId="2" fontId="10" fillId="0" borderId="5" xfId="2" applyNumberFormat="1" applyFont="1" applyBorder="1" applyAlignment="1">
      <alignment horizontal="center"/>
    </xf>
    <xf numFmtId="0" fontId="4" fillId="0" borderId="0" xfId="4" applyFont="1"/>
    <xf numFmtId="0" fontId="10" fillId="0" borderId="6" xfId="2" applyFont="1" applyBorder="1" applyAlignment="1">
      <alignment horizontal="center"/>
    </xf>
    <xf numFmtId="1" fontId="10" fillId="0" borderId="6" xfId="2" applyNumberFormat="1" applyFont="1" applyBorder="1" applyAlignment="1">
      <alignment horizontal="center"/>
    </xf>
    <xf numFmtId="1" fontId="10" fillId="0" borderId="7" xfId="2" applyNumberFormat="1" applyFont="1" applyBorder="1" applyAlignment="1">
      <alignment horizontal="center"/>
    </xf>
    <xf numFmtId="1" fontId="10" fillId="0" borderId="14" xfId="2" applyNumberFormat="1" applyFont="1" applyBorder="1" applyAlignment="1">
      <alignment horizontal="center"/>
    </xf>
    <xf numFmtId="2" fontId="10" fillId="0" borderId="14" xfId="2" applyNumberFormat="1" applyFont="1" applyBorder="1" applyAlignment="1">
      <alignment horizontal="center"/>
    </xf>
    <xf numFmtId="2" fontId="10" fillId="0" borderId="7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0" xfId="2" applyFont="1" applyBorder="1"/>
    <xf numFmtId="0" fontId="10" fillId="0" borderId="0" xfId="2" applyFont="1" applyAlignment="1">
      <alignment horizontal="center"/>
    </xf>
    <xf numFmtId="165" fontId="13" fillId="0" borderId="13" xfId="2" applyNumberFormat="1" applyFont="1" applyFill="1" applyBorder="1"/>
    <xf numFmtId="165" fontId="13" fillId="0" borderId="0" xfId="2" applyNumberFormat="1" applyFont="1" applyFill="1" applyBorder="1"/>
    <xf numFmtId="165" fontId="13" fillId="0" borderId="14" xfId="2" applyNumberFormat="1" applyFont="1" applyFill="1" applyBorder="1"/>
    <xf numFmtId="0" fontId="13" fillId="0" borderId="8" xfId="2" applyFont="1" applyFill="1" applyBorder="1"/>
    <xf numFmtId="0" fontId="13" fillId="0" borderId="9" xfId="2" applyFont="1" applyFill="1" applyBorder="1"/>
    <xf numFmtId="0" fontId="13" fillId="0" borderId="15" xfId="2" applyFont="1" applyFill="1" applyBorder="1"/>
    <xf numFmtId="165" fontId="13" fillId="0" borderId="8" xfId="2" applyNumberFormat="1" applyFont="1" applyFill="1" applyBorder="1"/>
    <xf numFmtId="165" fontId="13" fillId="0" borderId="9" xfId="2" applyNumberFormat="1" applyFont="1" applyFill="1" applyBorder="1"/>
    <xf numFmtId="165" fontId="13" fillId="0" borderId="15" xfId="2" applyNumberFormat="1" applyFont="1" applyFill="1" applyBorder="1"/>
    <xf numFmtId="0" fontId="10" fillId="0" borderId="10" xfId="2" applyFont="1" applyBorder="1"/>
    <xf numFmtId="0" fontId="10" fillId="0" borderId="11" xfId="2" applyFont="1" applyBorder="1"/>
    <xf numFmtId="0" fontId="10" fillId="0" borderId="1" xfId="2" applyFont="1" applyBorder="1"/>
    <xf numFmtId="2" fontId="0" fillId="0" borderId="0" xfId="0" applyNumberFormat="1"/>
    <xf numFmtId="164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67" fontId="0" fillId="0" borderId="0" xfId="0" applyNumberFormat="1"/>
    <xf numFmtId="166" fontId="0" fillId="0" borderId="0" xfId="0" applyNumberFormat="1" applyFill="1"/>
    <xf numFmtId="165" fontId="0" fillId="0" borderId="0" xfId="0" applyNumberFormat="1"/>
    <xf numFmtId="164" fontId="0" fillId="0" borderId="0" xfId="0" applyNumberFormat="1" applyFill="1" applyAlignment="1">
      <alignment horizontal="center"/>
    </xf>
    <xf numFmtId="0" fontId="0" fillId="0" borderId="10" xfId="0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Fill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/>
    </xf>
    <xf numFmtId="168" fontId="4" fillId="0" borderId="6" xfId="0" applyNumberFormat="1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5" applyFont="1"/>
  </cellXfs>
  <cellStyles count="6">
    <cellStyle name="Hyperlink" xfId="5" builtinId="8"/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0.16</c:v>
                </c:pt>
                <c:pt idx="3">
                  <c:v>0.14666666666666667</c:v>
                </c:pt>
                <c:pt idx="4">
                  <c:v>0.12</c:v>
                </c:pt>
                <c:pt idx="5">
                  <c:v>0.16</c:v>
                </c:pt>
                <c:pt idx="6">
                  <c:v>0.12</c:v>
                </c:pt>
                <c:pt idx="7">
                  <c:v>0.08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0599352"/>
        <c:axId val="242183088"/>
      </c:barChart>
      <c:catAx>
        <c:axId val="24059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183088"/>
        <c:crosses val="autoZero"/>
        <c:auto val="1"/>
        <c:lblAlgn val="ctr"/>
        <c:lblOffset val="100"/>
        <c:noMultiLvlLbl val="0"/>
      </c:catAx>
      <c:valAx>
        <c:axId val="24218308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0599352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'2.Total Cost'!$B$17</c:f>
          <c:strCache>
            <c:ptCount val="1"/>
            <c:pt idx="0">
              <c:v>R2≈1, R&gt;0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036324657891049"/>
                  <c:y val="-1.92664208113226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'2.Total Cost'!$B$18:$B$26</c:f>
              <c:numCache>
                <c:formatCode>General</c:formatCode>
                <c:ptCount val="9"/>
                <c:pt idx="0">
                  <c:v>1525</c:v>
                </c:pt>
                <c:pt idx="1">
                  <c:v>1985</c:v>
                </c:pt>
                <c:pt idx="2">
                  <c:v>1844</c:v>
                </c:pt>
                <c:pt idx="3">
                  <c:v>2049</c:v>
                </c:pt>
                <c:pt idx="4">
                  <c:v>2786</c:v>
                </c:pt>
                <c:pt idx="5">
                  <c:v>3007</c:v>
                </c:pt>
                <c:pt idx="6">
                  <c:v>3287</c:v>
                </c:pt>
                <c:pt idx="7">
                  <c:v>3962</c:v>
                </c:pt>
                <c:pt idx="8">
                  <c:v>4045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23-469A-BB10-D24FA51B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'2.Total Cost'!$C$17</c:f>
          <c:strCache>
            <c:ptCount val="1"/>
            <c:pt idx="0">
              <c:v>R2≈1, R&lt;1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8123665791776026"/>
                  <c:y val="-0.471934615767965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'2.Total Cost'!$C$18:$C$26</c:f>
              <c:numCache>
                <c:formatCode>General</c:formatCode>
                <c:ptCount val="9"/>
                <c:pt idx="0">
                  <c:v>2737</c:v>
                </c:pt>
                <c:pt idx="1">
                  <c:v>2019</c:v>
                </c:pt>
                <c:pt idx="2">
                  <c:v>2110</c:v>
                </c:pt>
                <c:pt idx="3">
                  <c:v>2141</c:v>
                </c:pt>
                <c:pt idx="4">
                  <c:v>1347</c:v>
                </c:pt>
                <c:pt idx="5">
                  <c:v>1316</c:v>
                </c:pt>
                <c:pt idx="6">
                  <c:v>841</c:v>
                </c:pt>
                <c:pt idx="7">
                  <c:v>985</c:v>
                </c:pt>
                <c:pt idx="8">
                  <c:v>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A8-40C6-8715-9FE1DF01B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'2.Total Cost'!$D$17</c:f>
          <c:strCache>
            <c:ptCount val="1"/>
            <c:pt idx="0">
              <c:v>R2≈0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5979571303587057"/>
                  <c:y val="-0.286755146172766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lang="en-US"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'2.Total Cost'!$A$18:$A$26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'2.Total Cost'!$D$18:$D$26</c:f>
              <c:numCache>
                <c:formatCode>General</c:formatCode>
                <c:ptCount val="9"/>
                <c:pt idx="0">
                  <c:v>1746</c:v>
                </c:pt>
                <c:pt idx="1">
                  <c:v>514</c:v>
                </c:pt>
                <c:pt idx="2">
                  <c:v>6862</c:v>
                </c:pt>
                <c:pt idx="3">
                  <c:v>2441</c:v>
                </c:pt>
                <c:pt idx="4">
                  <c:v>7149</c:v>
                </c:pt>
                <c:pt idx="5">
                  <c:v>3967</c:v>
                </c:pt>
                <c:pt idx="6">
                  <c:v>1534</c:v>
                </c:pt>
                <c:pt idx="7">
                  <c:v>2985</c:v>
                </c:pt>
                <c:pt idx="8">
                  <c:v>4587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87-448F-A646-7981842D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 DemandCurves'!$A$2</c:f>
          <c:strCache>
            <c:ptCount val="1"/>
            <c:pt idx="0">
              <c:v>P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7884714362621333E-2"/>
                  <c:y val="-0.63624433646332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'3.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DA-4AB9-802C-5059134F3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2552"/>
        <c:axId val="619792944"/>
      </c:scatterChart>
      <c:valAx>
        <c:axId val="619792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944"/>
        <c:crosses val="autoZero"/>
        <c:crossBetween val="midCat"/>
      </c:valAx>
      <c:valAx>
        <c:axId val="61979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2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 DemandCurves'!$R$6</c:f>
          <c:strCache>
            <c:ptCount val="1"/>
            <c:pt idx="0">
              <c:v>P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'3.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8D-44F9-87DC-B732C822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4120"/>
        <c:axId val="619794512"/>
      </c:scatterChart>
      <c:valAx>
        <c:axId val="61979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512"/>
        <c:crosses val="autoZero"/>
        <c:crossBetween val="midCat"/>
      </c:valAx>
      <c:valAx>
        <c:axId val="61979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 DemandCurves'!$S$6</c:f>
          <c:strCache>
            <c:ptCount val="1"/>
            <c:pt idx="0">
              <c:v>R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'3.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A8-42C3-820F-9BE5F78DA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 DemandCurves'!$T$6</c:f>
          <c:strCache>
            <c:ptCount val="1"/>
            <c:pt idx="0">
              <c:v>P and MR vs. Q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'3.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E0-47CC-84B6-0E06A43F9814}"/>
            </c:ext>
          </c:extLst>
        </c:ser>
        <c:ser>
          <c:idx val="1"/>
          <c:order val="1"/>
          <c:tx>
            <c:v>MR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'3. DemandCurves'!$I$2:$I$72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'3. DemandCurves'!$L$2:$L$72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167.5</c:v>
                </c:pt>
                <c:pt idx="3">
                  <c:v>162.5</c:v>
                </c:pt>
                <c:pt idx="4">
                  <c:v>157.5</c:v>
                </c:pt>
                <c:pt idx="5">
                  <c:v>152.5</c:v>
                </c:pt>
                <c:pt idx="6">
                  <c:v>147.5</c:v>
                </c:pt>
                <c:pt idx="7">
                  <c:v>142.5</c:v>
                </c:pt>
                <c:pt idx="8">
                  <c:v>137.5</c:v>
                </c:pt>
                <c:pt idx="9">
                  <c:v>132.5</c:v>
                </c:pt>
                <c:pt idx="10">
                  <c:v>127.5</c:v>
                </c:pt>
                <c:pt idx="11">
                  <c:v>122.5</c:v>
                </c:pt>
                <c:pt idx="12">
                  <c:v>117.5</c:v>
                </c:pt>
                <c:pt idx="13">
                  <c:v>112.5</c:v>
                </c:pt>
                <c:pt idx="14">
                  <c:v>107.5</c:v>
                </c:pt>
                <c:pt idx="15">
                  <c:v>102.5</c:v>
                </c:pt>
                <c:pt idx="16">
                  <c:v>97.5</c:v>
                </c:pt>
                <c:pt idx="17">
                  <c:v>92.5</c:v>
                </c:pt>
                <c:pt idx="18">
                  <c:v>87.5</c:v>
                </c:pt>
                <c:pt idx="19">
                  <c:v>82.5</c:v>
                </c:pt>
                <c:pt idx="20">
                  <c:v>77.5</c:v>
                </c:pt>
                <c:pt idx="21">
                  <c:v>72.5</c:v>
                </c:pt>
                <c:pt idx="22">
                  <c:v>67.5</c:v>
                </c:pt>
                <c:pt idx="23">
                  <c:v>62.5</c:v>
                </c:pt>
                <c:pt idx="24">
                  <c:v>57.5</c:v>
                </c:pt>
                <c:pt idx="25">
                  <c:v>52.5</c:v>
                </c:pt>
                <c:pt idx="26">
                  <c:v>47.5</c:v>
                </c:pt>
                <c:pt idx="27">
                  <c:v>42.5</c:v>
                </c:pt>
                <c:pt idx="28">
                  <c:v>37.5</c:v>
                </c:pt>
                <c:pt idx="29">
                  <c:v>32.5</c:v>
                </c:pt>
                <c:pt idx="30">
                  <c:v>27.5</c:v>
                </c:pt>
                <c:pt idx="31">
                  <c:v>22.5</c:v>
                </c:pt>
                <c:pt idx="32">
                  <c:v>17.5</c:v>
                </c:pt>
                <c:pt idx="33">
                  <c:v>12.5</c:v>
                </c:pt>
                <c:pt idx="34">
                  <c:v>7.5</c:v>
                </c:pt>
                <c:pt idx="35">
                  <c:v>2.5</c:v>
                </c:pt>
                <c:pt idx="36">
                  <c:v>-2.5</c:v>
                </c:pt>
                <c:pt idx="37">
                  <c:v>-7.5</c:v>
                </c:pt>
                <c:pt idx="38">
                  <c:v>-12.5</c:v>
                </c:pt>
                <c:pt idx="39">
                  <c:v>-17.5</c:v>
                </c:pt>
                <c:pt idx="40">
                  <c:v>-22.5</c:v>
                </c:pt>
                <c:pt idx="41">
                  <c:v>-27.5</c:v>
                </c:pt>
                <c:pt idx="42">
                  <c:v>-32.5</c:v>
                </c:pt>
                <c:pt idx="43">
                  <c:v>-37.5</c:v>
                </c:pt>
                <c:pt idx="44">
                  <c:v>-42.5</c:v>
                </c:pt>
                <c:pt idx="45">
                  <c:v>-47.5</c:v>
                </c:pt>
                <c:pt idx="46">
                  <c:v>-52.5</c:v>
                </c:pt>
                <c:pt idx="47">
                  <c:v>-57.5</c:v>
                </c:pt>
                <c:pt idx="48">
                  <c:v>-62.5</c:v>
                </c:pt>
                <c:pt idx="49">
                  <c:v>-67.5</c:v>
                </c:pt>
                <c:pt idx="50">
                  <c:v>-72.5</c:v>
                </c:pt>
                <c:pt idx="51">
                  <c:v>-77.5</c:v>
                </c:pt>
                <c:pt idx="52">
                  <c:v>-82.5</c:v>
                </c:pt>
                <c:pt idx="53">
                  <c:v>-87.5</c:v>
                </c:pt>
                <c:pt idx="54">
                  <c:v>-92.5</c:v>
                </c:pt>
                <c:pt idx="55">
                  <c:v>-97.5</c:v>
                </c:pt>
                <c:pt idx="56">
                  <c:v>-102.5</c:v>
                </c:pt>
                <c:pt idx="57">
                  <c:v>-107.5</c:v>
                </c:pt>
                <c:pt idx="58">
                  <c:v>-112.5</c:v>
                </c:pt>
                <c:pt idx="59">
                  <c:v>-117.5</c:v>
                </c:pt>
                <c:pt idx="60">
                  <c:v>-122.5</c:v>
                </c:pt>
                <c:pt idx="61">
                  <c:v>-127.5</c:v>
                </c:pt>
                <c:pt idx="62">
                  <c:v>-132.5</c:v>
                </c:pt>
                <c:pt idx="63">
                  <c:v>-137.5</c:v>
                </c:pt>
                <c:pt idx="64">
                  <c:v>-142.5</c:v>
                </c:pt>
                <c:pt idx="65">
                  <c:v>-147.5</c:v>
                </c:pt>
                <c:pt idx="66">
                  <c:v>-152.5</c:v>
                </c:pt>
                <c:pt idx="67">
                  <c:v>-157.5</c:v>
                </c:pt>
                <c:pt idx="68">
                  <c:v>-162.5</c:v>
                </c:pt>
                <c:pt idx="69">
                  <c:v>-167.5</c:v>
                </c:pt>
                <c:pt idx="70">
                  <c:v>-172.5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E0-47CC-84B6-0E06A43F9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6080"/>
        <c:axId val="619796472"/>
      </c:scatterChart>
      <c:valAx>
        <c:axId val="61979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472"/>
        <c:crosses val="autoZero"/>
        <c:crossBetween val="midCat"/>
      </c:valAx>
      <c:valAx>
        <c:axId val="61979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6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Exponential Fit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 DemandCurves'!$B$4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1.9118547681539807E-3"/>
                  <c:y val="-0.718323126275882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'3. DemandCurves'!$A$5:$A$12</c:f>
              <c:numCache>
                <c:formatCode>General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32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</c:numCache>
            </c:numRef>
          </c:xVal>
          <c:yVal>
            <c:numRef>
              <c:f>'3. DemandCurves'!$B$5:$B$12</c:f>
              <c:numCache>
                <c:formatCode>General</c:formatCode>
                <c:ptCount val="8"/>
                <c:pt idx="0">
                  <c:v>135</c:v>
                </c:pt>
                <c:pt idx="1">
                  <c:v>130</c:v>
                </c:pt>
                <c:pt idx="2">
                  <c:v>89</c:v>
                </c:pt>
                <c:pt idx="3">
                  <c:v>62</c:v>
                </c:pt>
                <c:pt idx="4">
                  <c:v>60</c:v>
                </c:pt>
                <c:pt idx="5">
                  <c:v>31.6</c:v>
                </c:pt>
                <c:pt idx="6">
                  <c:v>28.4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CA-40AB-8324-B8FE0D66C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793728"/>
        <c:axId val="619797256"/>
      </c:scatterChart>
      <c:valAx>
        <c:axId val="61979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7256"/>
        <c:crosses val="autoZero"/>
        <c:crossBetween val="midCat"/>
      </c:valAx>
      <c:valAx>
        <c:axId val="61979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 DemandCurves'!$S$7</c:f>
          <c:strCache>
            <c:ptCount val="1"/>
            <c:pt idx="0">
              <c:v>R vs. P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'3. DemandCurves'!$J$2:$J$72</c:f>
              <c:numCache>
                <c:formatCode>General</c:formatCode>
                <c:ptCount val="71"/>
                <c:pt idx="0">
                  <c:v>175</c:v>
                </c:pt>
                <c:pt idx="1">
                  <c:v>172.5</c:v>
                </c:pt>
                <c:pt idx="2">
                  <c:v>170</c:v>
                </c:pt>
                <c:pt idx="3">
                  <c:v>167.5</c:v>
                </c:pt>
                <c:pt idx="4">
                  <c:v>165</c:v>
                </c:pt>
                <c:pt idx="5">
                  <c:v>162.5</c:v>
                </c:pt>
                <c:pt idx="6">
                  <c:v>160</c:v>
                </c:pt>
                <c:pt idx="7">
                  <c:v>157.5</c:v>
                </c:pt>
                <c:pt idx="8">
                  <c:v>155</c:v>
                </c:pt>
                <c:pt idx="9">
                  <c:v>152.5</c:v>
                </c:pt>
                <c:pt idx="10">
                  <c:v>150</c:v>
                </c:pt>
                <c:pt idx="11">
                  <c:v>147.5</c:v>
                </c:pt>
                <c:pt idx="12">
                  <c:v>145</c:v>
                </c:pt>
                <c:pt idx="13">
                  <c:v>142.5</c:v>
                </c:pt>
                <c:pt idx="14">
                  <c:v>140</c:v>
                </c:pt>
                <c:pt idx="15">
                  <c:v>137.5</c:v>
                </c:pt>
                <c:pt idx="16">
                  <c:v>135</c:v>
                </c:pt>
                <c:pt idx="17">
                  <c:v>132.5</c:v>
                </c:pt>
                <c:pt idx="18">
                  <c:v>130</c:v>
                </c:pt>
                <c:pt idx="19">
                  <c:v>127.5</c:v>
                </c:pt>
                <c:pt idx="20">
                  <c:v>125</c:v>
                </c:pt>
                <c:pt idx="21">
                  <c:v>122.5</c:v>
                </c:pt>
                <c:pt idx="22">
                  <c:v>120</c:v>
                </c:pt>
                <c:pt idx="23">
                  <c:v>117.5</c:v>
                </c:pt>
                <c:pt idx="24">
                  <c:v>115</c:v>
                </c:pt>
                <c:pt idx="25">
                  <c:v>112.5</c:v>
                </c:pt>
                <c:pt idx="26">
                  <c:v>110</c:v>
                </c:pt>
                <c:pt idx="27">
                  <c:v>107.5</c:v>
                </c:pt>
                <c:pt idx="28">
                  <c:v>105</c:v>
                </c:pt>
                <c:pt idx="29">
                  <c:v>102.5</c:v>
                </c:pt>
                <c:pt idx="30">
                  <c:v>100</c:v>
                </c:pt>
                <c:pt idx="31">
                  <c:v>97.5</c:v>
                </c:pt>
                <c:pt idx="32">
                  <c:v>95</c:v>
                </c:pt>
                <c:pt idx="33">
                  <c:v>92.5</c:v>
                </c:pt>
                <c:pt idx="34">
                  <c:v>90</c:v>
                </c:pt>
                <c:pt idx="35">
                  <c:v>87.5</c:v>
                </c:pt>
                <c:pt idx="36">
                  <c:v>85</c:v>
                </c:pt>
                <c:pt idx="37">
                  <c:v>82.5</c:v>
                </c:pt>
                <c:pt idx="38">
                  <c:v>80</c:v>
                </c:pt>
                <c:pt idx="39">
                  <c:v>77.5</c:v>
                </c:pt>
                <c:pt idx="40">
                  <c:v>75</c:v>
                </c:pt>
                <c:pt idx="41">
                  <c:v>72.5</c:v>
                </c:pt>
                <c:pt idx="42">
                  <c:v>70</c:v>
                </c:pt>
                <c:pt idx="43">
                  <c:v>67.5</c:v>
                </c:pt>
                <c:pt idx="44">
                  <c:v>65</c:v>
                </c:pt>
                <c:pt idx="45">
                  <c:v>62.5</c:v>
                </c:pt>
                <c:pt idx="46">
                  <c:v>60</c:v>
                </c:pt>
                <c:pt idx="47">
                  <c:v>57.5</c:v>
                </c:pt>
                <c:pt idx="48">
                  <c:v>55</c:v>
                </c:pt>
                <c:pt idx="49">
                  <c:v>52.5</c:v>
                </c:pt>
                <c:pt idx="50">
                  <c:v>50</c:v>
                </c:pt>
                <c:pt idx="51">
                  <c:v>47.5</c:v>
                </c:pt>
                <c:pt idx="52">
                  <c:v>45</c:v>
                </c:pt>
                <c:pt idx="53">
                  <c:v>42.5</c:v>
                </c:pt>
                <c:pt idx="54">
                  <c:v>40</c:v>
                </c:pt>
                <c:pt idx="55">
                  <c:v>37.5</c:v>
                </c:pt>
                <c:pt idx="56">
                  <c:v>35</c:v>
                </c:pt>
                <c:pt idx="57">
                  <c:v>32.5</c:v>
                </c:pt>
                <c:pt idx="58">
                  <c:v>30</c:v>
                </c:pt>
                <c:pt idx="59">
                  <c:v>27.5</c:v>
                </c:pt>
                <c:pt idx="60">
                  <c:v>25</c:v>
                </c:pt>
                <c:pt idx="61">
                  <c:v>22.5</c:v>
                </c:pt>
                <c:pt idx="62">
                  <c:v>20</c:v>
                </c:pt>
                <c:pt idx="63">
                  <c:v>17.5</c:v>
                </c:pt>
                <c:pt idx="64">
                  <c:v>15</c:v>
                </c:pt>
                <c:pt idx="65">
                  <c:v>12.5</c:v>
                </c:pt>
                <c:pt idx="66">
                  <c:v>10</c:v>
                </c:pt>
                <c:pt idx="67">
                  <c:v>7.5</c:v>
                </c:pt>
                <c:pt idx="68">
                  <c:v>5</c:v>
                </c:pt>
                <c:pt idx="69">
                  <c:v>2.5</c:v>
                </c:pt>
                <c:pt idx="70">
                  <c:v>0</c:v>
                </c:pt>
              </c:numCache>
            </c:numRef>
          </c:xVal>
          <c:yVal>
            <c:numRef>
              <c:f>'3. DemandCurves'!$K$2:$K$72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76-441C-88A0-A146FED3C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0.16</c:v>
                </c:pt>
                <c:pt idx="3">
                  <c:v>0.14666666666666667</c:v>
                </c:pt>
                <c:pt idx="4">
                  <c:v>0.12</c:v>
                </c:pt>
                <c:pt idx="5">
                  <c:v>0.16</c:v>
                </c:pt>
                <c:pt idx="6">
                  <c:v>0.12</c:v>
                </c:pt>
                <c:pt idx="7">
                  <c:v>0.08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2183872"/>
        <c:axId val="242184264"/>
      </c:barChart>
      <c:catAx>
        <c:axId val="2421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184264"/>
        <c:crosses val="autoZero"/>
        <c:auto val="1"/>
        <c:lblAlgn val="ctr"/>
        <c:lblOffset val="100"/>
        <c:noMultiLvlLbl val="0"/>
      </c:catAx>
      <c:valAx>
        <c:axId val="24218426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2183872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0 - 2000</c:v>
                </c:pt>
                <c:pt idx="1">
                  <c:v>2000 - 4000</c:v>
                </c:pt>
                <c:pt idx="2">
                  <c:v>4000 - 6000</c:v>
                </c:pt>
                <c:pt idx="3">
                  <c:v>6000 - 8000</c:v>
                </c:pt>
                <c:pt idx="4">
                  <c:v>8000 - 10000</c:v>
                </c:pt>
                <c:pt idx="5">
                  <c:v>10000 - 12000</c:v>
                </c:pt>
                <c:pt idx="6">
                  <c:v>12000 - 14000</c:v>
                </c:pt>
                <c:pt idx="7">
                  <c:v>14000 - 16000</c:v>
                </c:pt>
                <c:pt idx="8">
                  <c:v>16000 - 18000</c:v>
                </c:pt>
                <c:pt idx="9">
                  <c:v>18000 - 20000</c:v>
                </c:pt>
                <c:pt idx="10">
                  <c:v>20000 - 22000</c:v>
                </c:pt>
                <c:pt idx="11">
                  <c:v>22000 - 24000</c:v>
                </c:pt>
                <c:pt idx="12">
                  <c:v>24000 - 26000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0.10666666666666667</c:v>
                </c:pt>
                <c:pt idx="2">
                  <c:v>0.16</c:v>
                </c:pt>
                <c:pt idx="3">
                  <c:v>0.14666666666666667</c:v>
                </c:pt>
                <c:pt idx="4">
                  <c:v>0.12</c:v>
                </c:pt>
                <c:pt idx="5">
                  <c:v>0.16</c:v>
                </c:pt>
                <c:pt idx="6">
                  <c:v>0.12</c:v>
                </c:pt>
                <c:pt idx="7">
                  <c:v>0.08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2185048"/>
        <c:axId val="241698928"/>
      </c:barChart>
      <c:catAx>
        <c:axId val="242185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98928"/>
        <c:crosses val="autoZero"/>
        <c:auto val="1"/>
        <c:lblAlgn val="ctr"/>
        <c:lblOffset val="100"/>
        <c:noMultiLvlLbl val="0"/>
      </c:catAx>
      <c:valAx>
        <c:axId val="24169892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24218504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8047</c:v>
                </c:pt>
                <c:pt idx="1">
                  <c:v>4313</c:v>
                </c:pt>
                <c:pt idx="2">
                  <c:v>4866</c:v>
                </c:pt>
                <c:pt idx="3">
                  <c:v>18774</c:v>
                </c:pt>
                <c:pt idx="4">
                  <c:v>5612</c:v>
                </c:pt>
                <c:pt idx="5">
                  <c:v>16194</c:v>
                </c:pt>
                <c:pt idx="6">
                  <c:v>15557</c:v>
                </c:pt>
                <c:pt idx="7">
                  <c:v>12493</c:v>
                </c:pt>
                <c:pt idx="8">
                  <c:v>6982</c:v>
                </c:pt>
                <c:pt idx="9">
                  <c:v>7197</c:v>
                </c:pt>
                <c:pt idx="10">
                  <c:v>8055</c:v>
                </c:pt>
                <c:pt idx="11">
                  <c:v>2925</c:v>
                </c:pt>
                <c:pt idx="12">
                  <c:v>4710</c:v>
                </c:pt>
                <c:pt idx="13">
                  <c:v>6862</c:v>
                </c:pt>
                <c:pt idx="14">
                  <c:v>11255</c:v>
                </c:pt>
                <c:pt idx="15">
                  <c:v>16775</c:v>
                </c:pt>
                <c:pt idx="16">
                  <c:v>12172</c:v>
                </c:pt>
                <c:pt idx="17">
                  <c:v>12753</c:v>
                </c:pt>
                <c:pt idx="18">
                  <c:v>3482</c:v>
                </c:pt>
                <c:pt idx="19">
                  <c:v>14182</c:v>
                </c:pt>
                <c:pt idx="20">
                  <c:v>11989</c:v>
                </c:pt>
                <c:pt idx="21">
                  <c:v>4550</c:v>
                </c:pt>
                <c:pt idx="22">
                  <c:v>4541</c:v>
                </c:pt>
                <c:pt idx="23">
                  <c:v>10162</c:v>
                </c:pt>
                <c:pt idx="24">
                  <c:v>3413</c:v>
                </c:pt>
                <c:pt idx="25">
                  <c:v>5944</c:v>
                </c:pt>
                <c:pt idx="26">
                  <c:v>6090</c:v>
                </c:pt>
                <c:pt idx="27">
                  <c:v>2191</c:v>
                </c:pt>
                <c:pt idx="28">
                  <c:v>7205</c:v>
                </c:pt>
                <c:pt idx="29">
                  <c:v>10648</c:v>
                </c:pt>
                <c:pt idx="30">
                  <c:v>2671</c:v>
                </c:pt>
                <c:pt idx="31">
                  <c:v>7016</c:v>
                </c:pt>
                <c:pt idx="32">
                  <c:v>6652</c:v>
                </c:pt>
                <c:pt idx="33">
                  <c:v>9223</c:v>
                </c:pt>
                <c:pt idx="34">
                  <c:v>12697</c:v>
                </c:pt>
                <c:pt idx="35">
                  <c:v>10078</c:v>
                </c:pt>
                <c:pt idx="36">
                  <c:v>4022</c:v>
                </c:pt>
                <c:pt idx="37">
                  <c:v>11463</c:v>
                </c:pt>
                <c:pt idx="38">
                  <c:v>10230</c:v>
                </c:pt>
                <c:pt idx="39">
                  <c:v>6990</c:v>
                </c:pt>
                <c:pt idx="40">
                  <c:v>9854</c:v>
                </c:pt>
                <c:pt idx="41">
                  <c:v>17546</c:v>
                </c:pt>
                <c:pt idx="42">
                  <c:v>5427</c:v>
                </c:pt>
                <c:pt idx="43">
                  <c:v>10351</c:v>
                </c:pt>
                <c:pt idx="44">
                  <c:v>11266</c:v>
                </c:pt>
                <c:pt idx="45">
                  <c:v>7789</c:v>
                </c:pt>
                <c:pt idx="46">
                  <c:v>3538</c:v>
                </c:pt>
                <c:pt idx="47">
                  <c:v>1779</c:v>
                </c:pt>
                <c:pt idx="48">
                  <c:v>10409</c:v>
                </c:pt>
                <c:pt idx="49">
                  <c:v>8766</c:v>
                </c:pt>
                <c:pt idx="50">
                  <c:v>15434</c:v>
                </c:pt>
                <c:pt idx="51">
                  <c:v>9365</c:v>
                </c:pt>
                <c:pt idx="52">
                  <c:v>13105</c:v>
                </c:pt>
                <c:pt idx="53">
                  <c:v>2904</c:v>
                </c:pt>
                <c:pt idx="54">
                  <c:v>13392</c:v>
                </c:pt>
                <c:pt idx="55">
                  <c:v>13702</c:v>
                </c:pt>
                <c:pt idx="56">
                  <c:v>7788</c:v>
                </c:pt>
                <c:pt idx="57">
                  <c:v>15556</c:v>
                </c:pt>
                <c:pt idx="58">
                  <c:v>11314</c:v>
                </c:pt>
                <c:pt idx="59">
                  <c:v>19194</c:v>
                </c:pt>
                <c:pt idx="60">
                  <c:v>8725</c:v>
                </c:pt>
                <c:pt idx="61">
                  <c:v>4219</c:v>
                </c:pt>
                <c:pt idx="62">
                  <c:v>4668</c:v>
                </c:pt>
                <c:pt idx="63">
                  <c:v>9825</c:v>
                </c:pt>
                <c:pt idx="64">
                  <c:v>14193</c:v>
                </c:pt>
                <c:pt idx="65">
                  <c:v>16595</c:v>
                </c:pt>
                <c:pt idx="66">
                  <c:v>12114</c:v>
                </c:pt>
                <c:pt idx="67">
                  <c:v>2542</c:v>
                </c:pt>
                <c:pt idx="68">
                  <c:v>4252</c:v>
                </c:pt>
                <c:pt idx="69">
                  <c:v>9883</c:v>
                </c:pt>
                <c:pt idx="70">
                  <c:v>13571</c:v>
                </c:pt>
                <c:pt idx="71">
                  <c:v>6891</c:v>
                </c:pt>
                <c:pt idx="72">
                  <c:v>16126</c:v>
                </c:pt>
                <c:pt idx="73">
                  <c:v>14710</c:v>
                </c:pt>
                <c:pt idx="74">
                  <c:v>10392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699712"/>
        <c:axId val="241700104"/>
      </c:scatterChart>
      <c:valAx>
        <c:axId val="24169971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0104"/>
        <c:crosses val="autoZero"/>
        <c:crossBetween val="midCat"/>
      </c:valAx>
      <c:valAx>
        <c:axId val="241700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699712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1779</c:v>
                </c:pt>
                <c:pt idx="1">
                  <c:v>2191</c:v>
                </c:pt>
                <c:pt idx="2">
                  <c:v>2542</c:v>
                </c:pt>
                <c:pt idx="3">
                  <c:v>2671</c:v>
                </c:pt>
                <c:pt idx="4">
                  <c:v>2904</c:v>
                </c:pt>
                <c:pt idx="5">
                  <c:v>2925</c:v>
                </c:pt>
                <c:pt idx="6">
                  <c:v>3482</c:v>
                </c:pt>
                <c:pt idx="7">
                  <c:v>3413</c:v>
                </c:pt>
                <c:pt idx="8">
                  <c:v>4252</c:v>
                </c:pt>
                <c:pt idx="9">
                  <c:v>3538</c:v>
                </c:pt>
                <c:pt idx="10">
                  <c:v>4022</c:v>
                </c:pt>
                <c:pt idx="11">
                  <c:v>4219</c:v>
                </c:pt>
                <c:pt idx="12">
                  <c:v>4541</c:v>
                </c:pt>
                <c:pt idx="13">
                  <c:v>4668</c:v>
                </c:pt>
                <c:pt idx="14">
                  <c:v>4866</c:v>
                </c:pt>
                <c:pt idx="15">
                  <c:v>4313</c:v>
                </c:pt>
                <c:pt idx="16">
                  <c:v>4710</c:v>
                </c:pt>
                <c:pt idx="17">
                  <c:v>4550</c:v>
                </c:pt>
                <c:pt idx="18">
                  <c:v>5427</c:v>
                </c:pt>
                <c:pt idx="19">
                  <c:v>5612</c:v>
                </c:pt>
                <c:pt idx="20">
                  <c:v>6862</c:v>
                </c:pt>
                <c:pt idx="21">
                  <c:v>6090</c:v>
                </c:pt>
                <c:pt idx="22">
                  <c:v>6652</c:v>
                </c:pt>
                <c:pt idx="23">
                  <c:v>6891</c:v>
                </c:pt>
                <c:pt idx="24">
                  <c:v>5944</c:v>
                </c:pt>
                <c:pt idx="25">
                  <c:v>6990</c:v>
                </c:pt>
                <c:pt idx="26">
                  <c:v>6982</c:v>
                </c:pt>
                <c:pt idx="27">
                  <c:v>8047</c:v>
                </c:pt>
                <c:pt idx="28">
                  <c:v>8055</c:v>
                </c:pt>
                <c:pt idx="29">
                  <c:v>7016</c:v>
                </c:pt>
                <c:pt idx="30">
                  <c:v>7205</c:v>
                </c:pt>
                <c:pt idx="31">
                  <c:v>7197</c:v>
                </c:pt>
                <c:pt idx="32">
                  <c:v>7788</c:v>
                </c:pt>
                <c:pt idx="33">
                  <c:v>7789</c:v>
                </c:pt>
                <c:pt idx="34">
                  <c:v>8725</c:v>
                </c:pt>
                <c:pt idx="35">
                  <c:v>9825</c:v>
                </c:pt>
                <c:pt idx="36">
                  <c:v>8766</c:v>
                </c:pt>
                <c:pt idx="37">
                  <c:v>9223</c:v>
                </c:pt>
                <c:pt idx="38">
                  <c:v>9365</c:v>
                </c:pt>
                <c:pt idx="39">
                  <c:v>9883</c:v>
                </c:pt>
                <c:pt idx="40">
                  <c:v>9854</c:v>
                </c:pt>
                <c:pt idx="41">
                  <c:v>10392</c:v>
                </c:pt>
                <c:pt idx="42">
                  <c:v>10230</c:v>
                </c:pt>
                <c:pt idx="43">
                  <c:v>10351</c:v>
                </c:pt>
                <c:pt idx="44">
                  <c:v>10409</c:v>
                </c:pt>
                <c:pt idx="45">
                  <c:v>10648</c:v>
                </c:pt>
                <c:pt idx="46">
                  <c:v>10078</c:v>
                </c:pt>
                <c:pt idx="47">
                  <c:v>10162</c:v>
                </c:pt>
                <c:pt idx="48">
                  <c:v>11266</c:v>
                </c:pt>
                <c:pt idx="49">
                  <c:v>11255</c:v>
                </c:pt>
                <c:pt idx="50">
                  <c:v>11314</c:v>
                </c:pt>
                <c:pt idx="51">
                  <c:v>12114</c:v>
                </c:pt>
                <c:pt idx="52">
                  <c:v>11989</c:v>
                </c:pt>
                <c:pt idx="53">
                  <c:v>11463</c:v>
                </c:pt>
                <c:pt idx="54">
                  <c:v>12172</c:v>
                </c:pt>
                <c:pt idx="55">
                  <c:v>12493</c:v>
                </c:pt>
                <c:pt idx="56">
                  <c:v>12753</c:v>
                </c:pt>
                <c:pt idx="57">
                  <c:v>13702</c:v>
                </c:pt>
                <c:pt idx="58">
                  <c:v>12697</c:v>
                </c:pt>
                <c:pt idx="59">
                  <c:v>13105</c:v>
                </c:pt>
                <c:pt idx="60">
                  <c:v>13392</c:v>
                </c:pt>
                <c:pt idx="61">
                  <c:v>13571</c:v>
                </c:pt>
                <c:pt idx="62">
                  <c:v>14193</c:v>
                </c:pt>
                <c:pt idx="63">
                  <c:v>14182</c:v>
                </c:pt>
                <c:pt idx="64">
                  <c:v>15557</c:v>
                </c:pt>
                <c:pt idx="65">
                  <c:v>15434</c:v>
                </c:pt>
                <c:pt idx="66">
                  <c:v>15556</c:v>
                </c:pt>
                <c:pt idx="67">
                  <c:v>14710</c:v>
                </c:pt>
                <c:pt idx="68">
                  <c:v>16126</c:v>
                </c:pt>
                <c:pt idx="69">
                  <c:v>16194</c:v>
                </c:pt>
                <c:pt idx="70">
                  <c:v>16775</c:v>
                </c:pt>
                <c:pt idx="71">
                  <c:v>19194</c:v>
                </c:pt>
                <c:pt idx="72">
                  <c:v>16595</c:v>
                </c:pt>
                <c:pt idx="73">
                  <c:v>17546</c:v>
                </c:pt>
                <c:pt idx="74">
                  <c:v>18774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1280"/>
        <c:axId val="241701672"/>
      </c:scatterChart>
      <c:valAx>
        <c:axId val="24170128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1672"/>
        <c:crosses val="autoZero"/>
        <c:crossBetween val="midCat"/>
      </c:valAx>
      <c:valAx>
        <c:axId val="241701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701280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1779</c:v>
                </c:pt>
                <c:pt idx="1">
                  <c:v>2191</c:v>
                </c:pt>
                <c:pt idx="2">
                  <c:v>2542</c:v>
                </c:pt>
                <c:pt idx="3">
                  <c:v>2904</c:v>
                </c:pt>
                <c:pt idx="4">
                  <c:v>3413</c:v>
                </c:pt>
                <c:pt idx="5">
                  <c:v>2671</c:v>
                </c:pt>
                <c:pt idx="6">
                  <c:v>2925</c:v>
                </c:pt>
                <c:pt idx="7">
                  <c:v>3538</c:v>
                </c:pt>
                <c:pt idx="8">
                  <c:v>4252</c:v>
                </c:pt>
                <c:pt idx="9">
                  <c:v>4022</c:v>
                </c:pt>
                <c:pt idx="10">
                  <c:v>3482</c:v>
                </c:pt>
                <c:pt idx="11">
                  <c:v>4219</c:v>
                </c:pt>
                <c:pt idx="12">
                  <c:v>4313</c:v>
                </c:pt>
                <c:pt idx="13">
                  <c:v>4550</c:v>
                </c:pt>
                <c:pt idx="14">
                  <c:v>5612</c:v>
                </c:pt>
                <c:pt idx="15">
                  <c:v>4668</c:v>
                </c:pt>
                <c:pt idx="16">
                  <c:v>4710</c:v>
                </c:pt>
                <c:pt idx="17">
                  <c:v>4866</c:v>
                </c:pt>
                <c:pt idx="18">
                  <c:v>5427</c:v>
                </c:pt>
                <c:pt idx="19">
                  <c:v>6652</c:v>
                </c:pt>
                <c:pt idx="20">
                  <c:v>4541</c:v>
                </c:pt>
                <c:pt idx="21">
                  <c:v>5944</c:v>
                </c:pt>
                <c:pt idx="22">
                  <c:v>6990</c:v>
                </c:pt>
                <c:pt idx="23">
                  <c:v>6862</c:v>
                </c:pt>
                <c:pt idx="24">
                  <c:v>7788</c:v>
                </c:pt>
                <c:pt idx="25">
                  <c:v>6090</c:v>
                </c:pt>
                <c:pt idx="26">
                  <c:v>7016</c:v>
                </c:pt>
                <c:pt idx="27">
                  <c:v>6982</c:v>
                </c:pt>
                <c:pt idx="28">
                  <c:v>8055</c:v>
                </c:pt>
                <c:pt idx="29">
                  <c:v>7789</c:v>
                </c:pt>
                <c:pt idx="30">
                  <c:v>6891</c:v>
                </c:pt>
                <c:pt idx="31">
                  <c:v>7197</c:v>
                </c:pt>
                <c:pt idx="32">
                  <c:v>8047</c:v>
                </c:pt>
                <c:pt idx="33">
                  <c:v>10162</c:v>
                </c:pt>
                <c:pt idx="34">
                  <c:v>9365</c:v>
                </c:pt>
                <c:pt idx="35">
                  <c:v>7205</c:v>
                </c:pt>
                <c:pt idx="36">
                  <c:v>8766</c:v>
                </c:pt>
                <c:pt idx="37">
                  <c:v>9854</c:v>
                </c:pt>
                <c:pt idx="38">
                  <c:v>10409</c:v>
                </c:pt>
                <c:pt idx="39">
                  <c:v>10351</c:v>
                </c:pt>
                <c:pt idx="40">
                  <c:v>8725</c:v>
                </c:pt>
                <c:pt idx="41">
                  <c:v>9223</c:v>
                </c:pt>
                <c:pt idx="42">
                  <c:v>11255</c:v>
                </c:pt>
                <c:pt idx="43">
                  <c:v>11266</c:v>
                </c:pt>
                <c:pt idx="44">
                  <c:v>12697</c:v>
                </c:pt>
                <c:pt idx="45">
                  <c:v>9825</c:v>
                </c:pt>
                <c:pt idx="46">
                  <c:v>10230</c:v>
                </c:pt>
                <c:pt idx="47">
                  <c:v>12114</c:v>
                </c:pt>
                <c:pt idx="48">
                  <c:v>10392</c:v>
                </c:pt>
                <c:pt idx="49">
                  <c:v>13392</c:v>
                </c:pt>
                <c:pt idx="50">
                  <c:v>11463</c:v>
                </c:pt>
                <c:pt idx="51">
                  <c:v>9883</c:v>
                </c:pt>
                <c:pt idx="52">
                  <c:v>11314</c:v>
                </c:pt>
                <c:pt idx="53">
                  <c:v>12493</c:v>
                </c:pt>
                <c:pt idx="54">
                  <c:v>14710</c:v>
                </c:pt>
                <c:pt idx="55">
                  <c:v>12172</c:v>
                </c:pt>
                <c:pt idx="56">
                  <c:v>10078</c:v>
                </c:pt>
                <c:pt idx="57">
                  <c:v>13702</c:v>
                </c:pt>
                <c:pt idx="58">
                  <c:v>14182</c:v>
                </c:pt>
                <c:pt idx="59">
                  <c:v>15556</c:v>
                </c:pt>
                <c:pt idx="60">
                  <c:v>10648</c:v>
                </c:pt>
                <c:pt idx="61">
                  <c:v>13571</c:v>
                </c:pt>
                <c:pt idx="62">
                  <c:v>15557</c:v>
                </c:pt>
                <c:pt idx="63">
                  <c:v>16595</c:v>
                </c:pt>
                <c:pt idx="64">
                  <c:v>16126</c:v>
                </c:pt>
                <c:pt idx="65">
                  <c:v>11989</c:v>
                </c:pt>
                <c:pt idx="66">
                  <c:v>12753</c:v>
                </c:pt>
                <c:pt idx="67">
                  <c:v>13105</c:v>
                </c:pt>
                <c:pt idx="68">
                  <c:v>15434</c:v>
                </c:pt>
                <c:pt idx="69">
                  <c:v>18774</c:v>
                </c:pt>
                <c:pt idx="70">
                  <c:v>14193</c:v>
                </c:pt>
                <c:pt idx="71">
                  <c:v>16194</c:v>
                </c:pt>
                <c:pt idx="72">
                  <c:v>16775</c:v>
                </c:pt>
                <c:pt idx="73">
                  <c:v>17546</c:v>
                </c:pt>
                <c:pt idx="74">
                  <c:v>19194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2456"/>
        <c:axId val="241702848"/>
      </c:scatterChart>
      <c:valAx>
        <c:axId val="24170245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241702848"/>
        <c:crosses val="autoZero"/>
        <c:crossBetween val="midCat"/>
      </c:valAx>
      <c:valAx>
        <c:axId val="241702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170245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'1.DemandForecast'!$R$2</c:f>
          <c:strCache>
            <c:ptCount val="1"/>
            <c:pt idx="0">
              <c:v>Regression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'1.DemandForecast'!$C$2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'1.DemandForecast'!$B$3:$B$52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'1.DemandForecast'!$C$3:$C$52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4D-46A1-AEAF-8263DD15336B}"/>
            </c:ext>
          </c:extLst>
        </c:ser>
        <c:ser>
          <c:idx val="1"/>
          <c:order val="1"/>
          <c:tx>
            <c:strRef>
              <c:f>'1.DemandForecast'!$D$2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'1.DemandForecast'!$B$3:$B$52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'1.DemandForecast'!$D$3:$D$52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4D-46A1-AEAF-8263DD153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3632"/>
        <c:axId val="241704024"/>
      </c:scatterChart>
      <c:valAx>
        <c:axId val="241703632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4024"/>
        <c:crosses val="autoZero"/>
        <c:crossBetween val="midCat"/>
      </c:valAx>
      <c:valAx>
        <c:axId val="24170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'1.DemandForecast'!$C$2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'1.DemandForecast'!$B$3:$B$52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'1.DemandForecast'!$C$3:$C$52</c:f>
              <c:numCache>
                <c:formatCode>General</c:formatCode>
                <c:ptCount val="50"/>
                <c:pt idx="0">
                  <c:v>26</c:v>
                </c:pt>
                <c:pt idx="1">
                  <c:v>22</c:v>
                </c:pt>
                <c:pt idx="2">
                  <c:v>11</c:v>
                </c:pt>
                <c:pt idx="3">
                  <c:v>3</c:v>
                </c:pt>
                <c:pt idx="4">
                  <c:v>28</c:v>
                </c:pt>
                <c:pt idx="5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32</c:v>
                </c:pt>
                <c:pt idx="9">
                  <c:v>41</c:v>
                </c:pt>
                <c:pt idx="10">
                  <c:v>9</c:v>
                </c:pt>
                <c:pt idx="11">
                  <c:v>14</c:v>
                </c:pt>
                <c:pt idx="12">
                  <c:v>35</c:v>
                </c:pt>
                <c:pt idx="13">
                  <c:v>39</c:v>
                </c:pt>
                <c:pt idx="14">
                  <c:v>28</c:v>
                </c:pt>
                <c:pt idx="15">
                  <c:v>19</c:v>
                </c:pt>
                <c:pt idx="16">
                  <c:v>68</c:v>
                </c:pt>
                <c:pt idx="17">
                  <c:v>16</c:v>
                </c:pt>
                <c:pt idx="18">
                  <c:v>27</c:v>
                </c:pt>
                <c:pt idx="19">
                  <c:v>10</c:v>
                </c:pt>
                <c:pt idx="20">
                  <c:v>27</c:v>
                </c:pt>
                <c:pt idx="21">
                  <c:v>38</c:v>
                </c:pt>
                <c:pt idx="22">
                  <c:v>38</c:v>
                </c:pt>
                <c:pt idx="23">
                  <c:v>32</c:v>
                </c:pt>
                <c:pt idx="24">
                  <c:v>36</c:v>
                </c:pt>
                <c:pt idx="25">
                  <c:v>53</c:v>
                </c:pt>
                <c:pt idx="26">
                  <c:v>45</c:v>
                </c:pt>
                <c:pt idx="27">
                  <c:v>23</c:v>
                </c:pt>
                <c:pt idx="28">
                  <c:v>16</c:v>
                </c:pt>
                <c:pt idx="29">
                  <c:v>20</c:v>
                </c:pt>
                <c:pt idx="30">
                  <c:v>29</c:v>
                </c:pt>
                <c:pt idx="31">
                  <c:v>78</c:v>
                </c:pt>
                <c:pt idx="32">
                  <c:v>3</c:v>
                </c:pt>
                <c:pt idx="33">
                  <c:v>31</c:v>
                </c:pt>
                <c:pt idx="34">
                  <c:v>12</c:v>
                </c:pt>
                <c:pt idx="35">
                  <c:v>55</c:v>
                </c:pt>
                <c:pt idx="36">
                  <c:v>20</c:v>
                </c:pt>
                <c:pt idx="37">
                  <c:v>6</c:v>
                </c:pt>
                <c:pt idx="38">
                  <c:v>59</c:v>
                </c:pt>
                <c:pt idx="39">
                  <c:v>51</c:v>
                </c:pt>
                <c:pt idx="40">
                  <c:v>2</c:v>
                </c:pt>
                <c:pt idx="41">
                  <c:v>67</c:v>
                </c:pt>
                <c:pt idx="42">
                  <c:v>65</c:v>
                </c:pt>
                <c:pt idx="43">
                  <c:v>43</c:v>
                </c:pt>
                <c:pt idx="44">
                  <c:v>27</c:v>
                </c:pt>
                <c:pt idx="45">
                  <c:v>31</c:v>
                </c:pt>
                <c:pt idx="46">
                  <c:v>43</c:v>
                </c:pt>
                <c:pt idx="47">
                  <c:v>15</c:v>
                </c:pt>
                <c:pt idx="48">
                  <c:v>37</c:v>
                </c:pt>
                <c:pt idx="49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9A-45A2-BCD4-FDDF8B6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0888"/>
        <c:axId val="241704808"/>
      </c:scatterChart>
      <c:scatterChart>
        <c:scatterStyle val="smoothMarker"/>
        <c:varyColors val="0"/>
        <c:ser>
          <c:idx val="1"/>
          <c:order val="1"/>
          <c:tx>
            <c:strRef>
              <c:f>'1.DemandForecast'!$D$2</c:f>
              <c:strCache>
                <c:ptCount val="1"/>
                <c:pt idx="0">
                  <c:v>Yhat (Reg)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'1.DemandForecast'!$B$3:$B$52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'1.DemandForecast'!$D$3:$D$52</c:f>
              <c:numCache>
                <c:formatCode>0.0</c:formatCode>
                <c:ptCount val="50"/>
                <c:pt idx="0">
                  <c:v>19.818823529411763</c:v>
                </c:pt>
                <c:pt idx="1">
                  <c:v>20.229483793517407</c:v>
                </c:pt>
                <c:pt idx="2">
                  <c:v>20.640144057623047</c:v>
                </c:pt>
                <c:pt idx="3">
                  <c:v>21.050804321728691</c:v>
                </c:pt>
                <c:pt idx="4">
                  <c:v>21.461464585834332</c:v>
                </c:pt>
                <c:pt idx="5">
                  <c:v>21.872124849939976</c:v>
                </c:pt>
                <c:pt idx="6">
                  <c:v>22.282785114045616</c:v>
                </c:pt>
                <c:pt idx="7">
                  <c:v>22.69344537815126</c:v>
                </c:pt>
                <c:pt idx="8">
                  <c:v>23.104105642256901</c:v>
                </c:pt>
                <c:pt idx="9">
                  <c:v>23.514765906362545</c:v>
                </c:pt>
                <c:pt idx="10">
                  <c:v>23.925426170468185</c:v>
                </c:pt>
                <c:pt idx="11">
                  <c:v>24.336086434573829</c:v>
                </c:pt>
                <c:pt idx="12">
                  <c:v>24.74674669867947</c:v>
                </c:pt>
                <c:pt idx="13">
                  <c:v>25.15740696278511</c:v>
                </c:pt>
                <c:pt idx="14">
                  <c:v>25.568067226890754</c:v>
                </c:pt>
                <c:pt idx="15">
                  <c:v>25.978727490996398</c:v>
                </c:pt>
                <c:pt idx="16">
                  <c:v>26.389387755102039</c:v>
                </c:pt>
                <c:pt idx="17">
                  <c:v>26.800048019207679</c:v>
                </c:pt>
                <c:pt idx="18">
                  <c:v>27.210708283313323</c:v>
                </c:pt>
                <c:pt idx="19">
                  <c:v>27.621368547418967</c:v>
                </c:pt>
                <c:pt idx="20">
                  <c:v>28.032028811524608</c:v>
                </c:pt>
                <c:pt idx="21">
                  <c:v>28.442689075630248</c:v>
                </c:pt>
                <c:pt idx="22">
                  <c:v>28.853349339735892</c:v>
                </c:pt>
                <c:pt idx="23">
                  <c:v>29.264009603841533</c:v>
                </c:pt>
                <c:pt idx="24">
                  <c:v>29.674669867947173</c:v>
                </c:pt>
                <c:pt idx="25">
                  <c:v>30.085330132052817</c:v>
                </c:pt>
                <c:pt idx="26">
                  <c:v>30.495990396158462</c:v>
                </c:pt>
                <c:pt idx="27">
                  <c:v>30.906650660264102</c:v>
                </c:pt>
                <c:pt idx="28">
                  <c:v>31.317310924369743</c:v>
                </c:pt>
                <c:pt idx="29">
                  <c:v>31.727971188475387</c:v>
                </c:pt>
                <c:pt idx="30">
                  <c:v>32.138631452581031</c:v>
                </c:pt>
                <c:pt idx="31">
                  <c:v>32.549291716686668</c:v>
                </c:pt>
                <c:pt idx="32">
                  <c:v>32.959951980792312</c:v>
                </c:pt>
                <c:pt idx="33">
                  <c:v>33.370612244897956</c:v>
                </c:pt>
                <c:pt idx="34">
                  <c:v>33.7812725090036</c:v>
                </c:pt>
                <c:pt idx="35">
                  <c:v>34.191932773109244</c:v>
                </c:pt>
                <c:pt idx="36">
                  <c:v>34.602593037214881</c:v>
                </c:pt>
                <c:pt idx="37">
                  <c:v>35.013253301320525</c:v>
                </c:pt>
                <c:pt idx="38">
                  <c:v>35.423913565426162</c:v>
                </c:pt>
                <c:pt idx="39">
                  <c:v>35.834573829531806</c:v>
                </c:pt>
                <c:pt idx="40">
                  <c:v>36.24523409363745</c:v>
                </c:pt>
                <c:pt idx="41">
                  <c:v>36.655894357743094</c:v>
                </c:pt>
                <c:pt idx="42">
                  <c:v>37.066554621848738</c:v>
                </c:pt>
                <c:pt idx="43">
                  <c:v>37.477214885954382</c:v>
                </c:pt>
                <c:pt idx="44">
                  <c:v>37.887875150060019</c:v>
                </c:pt>
                <c:pt idx="45">
                  <c:v>38.298535414165663</c:v>
                </c:pt>
                <c:pt idx="46">
                  <c:v>38.7091956782713</c:v>
                </c:pt>
                <c:pt idx="47">
                  <c:v>39.119855942376944</c:v>
                </c:pt>
                <c:pt idx="48">
                  <c:v>39.530516206482588</c:v>
                </c:pt>
                <c:pt idx="49">
                  <c:v>39.941176470588232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9A-45A2-BCD4-FDDF8B670861}"/>
            </c:ext>
          </c:extLst>
        </c:ser>
        <c:ser>
          <c:idx val="2"/>
          <c:order val="2"/>
          <c:tx>
            <c:v>Ybar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'1.DemandForecast'!$O$22:$O$23</c:f>
              <c:numCache>
                <c:formatCode>General</c:formatCode>
                <c:ptCount val="2"/>
                <c:pt idx="1">
                  <c:v>50</c:v>
                </c:pt>
              </c:numCache>
            </c:numRef>
          </c:xVal>
          <c:yVal>
            <c:numRef>
              <c:f>'1.DemandForecast'!$P$22:$P$23</c:f>
              <c:numCache>
                <c:formatCode>General</c:formatCode>
                <c:ptCount val="2"/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9A-45A2-BCD4-FDDF8B6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700888"/>
        <c:axId val="241704808"/>
      </c:scatterChart>
      <c:valAx>
        <c:axId val="241700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4808"/>
        <c:crosses val="autoZero"/>
        <c:crossBetween val="midCat"/>
      </c:valAx>
      <c:valAx>
        <c:axId val="24170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700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'2.Total Cost'!$B$3</c:f>
          <c:strCache>
            <c:ptCount val="1"/>
            <c:pt idx="0">
              <c:v>Total Cost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295297462817147"/>
                  <c:y val="-2.20799286881592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'2.Total Cost'!$A$4:$A$12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'2.Total Cost'!$B$4:$B$12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2E-410E-98A2-BBA50560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1" Type="http://schemas.openxmlformats.org/officeDocument/2006/relationships/customXml" Target="../ink/ink1.xml"/><Relationship Id="rId6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287576</xdr:colOff>
      <xdr:row>17</xdr:row>
      <xdr:rowOff>97990</xdr:rowOff>
    </xdr:from>
    <xdr:to>
      <xdr:col>12</xdr:col>
      <xdr:colOff>259001</xdr:colOff>
      <xdr:row>30</xdr:row>
      <xdr:rowOff>131326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475075</xdr:colOff>
      <xdr:row>17</xdr:row>
      <xdr:rowOff>100599</xdr:rowOff>
    </xdr:from>
    <xdr:to>
      <xdr:col>18</xdr:col>
      <xdr:colOff>227034</xdr:colOff>
      <xdr:row>30</xdr:row>
      <xdr:rowOff>129174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340683</xdr:colOff>
      <xdr:row>17</xdr:row>
      <xdr:rowOff>103209</xdr:rowOff>
    </xdr:from>
    <xdr:to>
      <xdr:col>25</xdr:col>
      <xdr:colOff>234864</xdr:colOff>
      <xdr:row>30</xdr:row>
      <xdr:rowOff>117496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328417</xdr:colOff>
      <xdr:row>31</xdr:row>
      <xdr:rowOff>150899</xdr:rowOff>
    </xdr:from>
    <xdr:to>
      <xdr:col>12</xdr:col>
      <xdr:colOff>274007</xdr:colOff>
      <xdr:row>47</xdr:row>
      <xdr:rowOff>23486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415058</xdr:colOff>
      <xdr:row>31</xdr:row>
      <xdr:rowOff>158273</xdr:rowOff>
    </xdr:from>
    <xdr:to>
      <xdr:col>18</xdr:col>
      <xdr:colOff>153967</xdr:colOff>
      <xdr:row>47</xdr:row>
      <xdr:rowOff>41821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377999</xdr:colOff>
      <xdr:row>31</xdr:row>
      <xdr:rowOff>130479</xdr:rowOff>
    </xdr:from>
    <xdr:to>
      <xdr:col>25</xdr:col>
      <xdr:colOff>292274</xdr:colOff>
      <xdr:row>47</xdr:row>
      <xdr:rowOff>20876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383715</xdr:colOff>
      <xdr:row>18</xdr:row>
      <xdr:rowOff>126675</xdr:rowOff>
    </xdr:from>
    <xdr:to>
      <xdr:col>3</xdr:col>
      <xdr:colOff>384075</xdr:colOff>
      <xdr:row>18</xdr:row>
      <xdr:rowOff>133515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1602915" y="3431850"/>
            <a:ext cx="360" cy="6840"/>
          </xdr14:xfrm>
        </xdr:contentPart>
      </mc:Choice>
      <mc:Fallback xmlns="">
        <xdr:pic>
          <xdr:nvPicPr>
            <xdr:cNvPr id="9" name="Ink 8"/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91035" y="3419970"/>
              <a:ext cx="24120" cy="30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18</xdr:col>
      <xdr:colOff>497087</xdr:colOff>
      <xdr:row>2</xdr:row>
      <xdr:rowOff>72030</xdr:rowOff>
    </xdr:from>
    <xdr:to>
      <xdr:col>27</xdr:col>
      <xdr:colOff>59531</xdr:colOff>
      <xdr:row>20</xdr:row>
      <xdr:rowOff>148828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15876</xdr:colOff>
      <xdr:row>21</xdr:row>
      <xdr:rowOff>188513</xdr:rowOff>
    </xdr:from>
    <xdr:to>
      <xdr:col>20</xdr:col>
      <xdr:colOff>351236</xdr:colOff>
      <xdr:row>36</xdr:row>
      <xdr:rowOff>61909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13</xdr:col>
      <xdr:colOff>823515</xdr:colOff>
      <xdr:row>0</xdr:row>
      <xdr:rowOff>119063</xdr:rowOff>
    </xdr:from>
    <xdr:to>
      <xdr:col>16</xdr:col>
      <xdr:colOff>671235</xdr:colOff>
      <xdr:row>3</xdr:row>
      <xdr:rowOff>45171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16406" y="119063"/>
          <a:ext cx="2219048" cy="580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161636</xdr:colOff>
      <xdr:row>4</xdr:row>
      <xdr:rowOff>6350</xdr:rowOff>
    </xdr:from>
    <xdr:to>
      <xdr:col>16</xdr:col>
      <xdr:colOff>466436</xdr:colOff>
      <xdr:row>18</xdr:row>
      <xdr:rowOff>80818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</xdr:row>
      <xdr:rowOff>206663</xdr:rowOff>
    </xdr:from>
    <xdr:to>
      <xdr:col>24</xdr:col>
      <xdr:colOff>285750</xdr:colOff>
      <xdr:row>18</xdr:row>
      <xdr:rowOff>84570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161637</xdr:colOff>
      <xdr:row>19</xdr:row>
      <xdr:rowOff>9526</xdr:rowOff>
    </xdr:from>
    <xdr:to>
      <xdr:col>16</xdr:col>
      <xdr:colOff>466437</xdr:colOff>
      <xdr:row>33</xdr:row>
      <xdr:rowOff>62634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18</xdr:row>
      <xdr:rowOff>205798</xdr:rowOff>
    </xdr:from>
    <xdr:to>
      <xdr:col>24</xdr:col>
      <xdr:colOff>304800</xdr:colOff>
      <xdr:row>33</xdr:row>
      <xdr:rowOff>57726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23468</xdr:colOff>
      <xdr:row>10</xdr:row>
      <xdr:rowOff>29078</xdr:rowOff>
    </xdr:from>
    <xdr:to>
      <xdr:col>20</xdr:col>
      <xdr:colOff>378880</xdr:colOff>
      <xdr:row>24</xdr:row>
      <xdr:rowOff>134584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12365</xdr:colOff>
      <xdr:row>27</xdr:row>
      <xdr:rowOff>9859</xdr:rowOff>
    </xdr:from>
    <xdr:to>
      <xdr:col>20</xdr:col>
      <xdr:colOff>357147</xdr:colOff>
      <xdr:row>41</xdr:row>
      <xdr:rowOff>86058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15994</xdr:colOff>
      <xdr:row>9</xdr:row>
      <xdr:rowOff>211807</xdr:rowOff>
    </xdr:from>
    <xdr:to>
      <xdr:col>28</xdr:col>
      <xdr:colOff>320794</xdr:colOff>
      <xdr:row>24</xdr:row>
      <xdr:rowOff>93509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588951</xdr:colOff>
      <xdr:row>26</xdr:row>
      <xdr:rowOff>199289</xdr:rowOff>
    </xdr:from>
    <xdr:to>
      <xdr:col>30</xdr:col>
      <xdr:colOff>100001</xdr:colOff>
      <xdr:row>41</xdr:row>
      <xdr:rowOff>93650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</xdr:row>
      <xdr:rowOff>68139</xdr:rowOff>
    </xdr:from>
    <xdr:to>
      <xdr:col>7</xdr:col>
      <xdr:colOff>65942</xdr:colOff>
      <xdr:row>27</xdr:row>
      <xdr:rowOff>49089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427182</xdr:colOff>
      <xdr:row>9</xdr:row>
      <xdr:rowOff>103909</xdr:rowOff>
    </xdr:from>
    <xdr:to>
      <xdr:col>36</xdr:col>
      <xdr:colOff>108526</xdr:colOff>
      <xdr:row>23</xdr:row>
      <xdr:rowOff>201050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968" units="cm"/>
          <inkml:channel name="Y" type="integer" max="2240" units="cm"/>
          <inkml:channel name="T" type="integer" max="2.14748E9" units="dev"/>
        </inkml:traceFormat>
        <inkml:channelProperties>
          <inkml:channelProperty channel="X" name="resolution" value="128" units="1/cm"/>
          <inkml:channelProperty channel="Y" name="resolution" value="128.73564" units="1/cm"/>
          <inkml:channelProperty channel="T" name="resolution" value="1" units="1/dev"/>
        </inkml:channelProperties>
      </inkml:inkSource>
      <inkml:timestamp xml:id="ts0" timeString="2016-09-28T06:44:18.66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-442 1490 0,'0'0'0,"0"0"0,0 0 0,0 0 0,0 0 0,0 0 0,0 9 0,0-9 0,0 0 0,0 0 0,0 9 0,0-9 0,0 0 0,0 0 0,0 0 0,0 0 0,0 0 0,0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2_qlQiYTL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topLeftCell="A2" zoomScale="73" zoomScaleNormal="73" workbookViewId="0">
      <selection activeCell="P54" sqref="P54"/>
    </sheetView>
  </sheetViews>
  <sheetFormatPr defaultColWidth="9.109375" defaultRowHeight="13.8" x14ac:dyDescent="0.3"/>
  <cols>
    <col min="1" max="1" width="4.5546875" style="50" bestFit="1" customWidth="1"/>
    <col min="2" max="2" width="9.6640625" style="50" bestFit="1" customWidth="1"/>
    <col min="3" max="3" width="6.6640625" style="50" bestFit="1" customWidth="1"/>
    <col min="4" max="4" width="11.6640625" style="50" bestFit="1" customWidth="1"/>
    <col min="5" max="5" width="9.109375" style="58" customWidth="1"/>
    <col min="6" max="6" width="13" style="50" customWidth="1"/>
    <col min="7" max="8" width="5.88671875" style="50" customWidth="1"/>
    <col min="9" max="9" width="9.6640625" style="50" customWidth="1"/>
    <col min="10" max="10" width="6" style="50" bestFit="1" customWidth="1"/>
    <col min="11" max="11" width="4.88671875" style="50" bestFit="1" customWidth="1"/>
    <col min="12" max="12" width="8.6640625" style="50" bestFit="1" customWidth="1"/>
    <col min="13" max="13" width="9.109375" style="50"/>
    <col min="14" max="14" width="12.109375" style="50" bestFit="1" customWidth="1"/>
    <col min="15" max="15" width="11.6640625" style="50" bestFit="1" customWidth="1"/>
    <col min="16" max="16" width="12.44140625" style="50" bestFit="1" customWidth="1"/>
    <col min="17" max="17" width="12.109375" style="50" bestFit="1" customWidth="1"/>
    <col min="18" max="21" width="9.33203125" style="50" bestFit="1" customWidth="1"/>
    <col min="22" max="23" width="9.109375" style="50"/>
    <col min="24" max="24" width="9.33203125" style="50" bestFit="1" customWidth="1"/>
    <col min="25" max="27" width="9.109375" style="50"/>
    <col min="28" max="30" width="9.33203125" style="50" bestFit="1" customWidth="1"/>
    <col min="31" max="31" width="12.33203125" style="50" customWidth="1"/>
    <col min="32" max="36" width="9.33203125" style="50" bestFit="1" customWidth="1"/>
    <col min="37" max="16384" width="9.109375" style="50"/>
  </cols>
  <sheetData>
    <row r="1" spans="1:37" ht="15" thickBot="1" x14ac:dyDescent="0.35">
      <c r="A1" s="43" t="s">
        <v>15</v>
      </c>
      <c r="B1" s="44"/>
      <c r="C1" s="45"/>
      <c r="D1" s="44"/>
      <c r="E1" s="46"/>
      <c r="F1" s="47" t="s">
        <v>2</v>
      </c>
      <c r="G1" s="47" t="s">
        <v>3</v>
      </c>
      <c r="H1" s="48" t="s">
        <v>4</v>
      </c>
      <c r="I1" s="49" t="s">
        <v>5</v>
      </c>
      <c r="J1" s="49" t="s">
        <v>6</v>
      </c>
      <c r="K1" s="49" t="s">
        <v>7</v>
      </c>
      <c r="L1" s="49" t="s">
        <v>8</v>
      </c>
      <c r="N1" s="94" t="s">
        <v>58</v>
      </c>
      <c r="O1" s="94" t="s">
        <v>59</v>
      </c>
      <c r="P1" s="96" t="s">
        <v>60</v>
      </c>
      <c r="Q1" s="95" t="s">
        <v>61</v>
      </c>
      <c r="R1" s="51" t="s">
        <v>21</v>
      </c>
      <c r="AB1" s="41"/>
      <c r="AC1" s="52" t="s">
        <v>16</v>
      </c>
      <c r="AD1" s="52"/>
      <c r="AE1" s="52"/>
      <c r="AF1" s="41"/>
      <c r="AG1" s="41"/>
      <c r="AH1" s="53">
        <f ca="1">RANDBETWEEN(100,150)</f>
        <v>127</v>
      </c>
      <c r="AI1" s="53">
        <f ca="1">RANDBETWEEN(5,15)</f>
        <v>13</v>
      </c>
      <c r="AJ1" s="53">
        <v>0.1</v>
      </c>
      <c r="AK1" s="41"/>
    </row>
    <row r="2" spans="1:37" ht="15" thickBot="1" x14ac:dyDescent="0.35">
      <c r="A2" s="54" t="s">
        <v>1</v>
      </c>
      <c r="B2" s="55" t="s">
        <v>23</v>
      </c>
      <c r="C2" s="56" t="s">
        <v>17</v>
      </c>
      <c r="D2" s="57" t="s">
        <v>20</v>
      </c>
      <c r="F2" s="59" t="str">
        <f ca="1">G2&amp;" - "&amp;H2</f>
        <v>0 - 2000</v>
      </c>
      <c r="G2" s="60">
        <f ca="1">R4</f>
        <v>0</v>
      </c>
      <c r="H2" s="61">
        <f ca="1">G2+$S$5</f>
        <v>2000</v>
      </c>
      <c r="I2" s="62">
        <f ca="1">COUNTIF($C$3:$C$77, "&lt;"&amp;H2)</f>
        <v>1</v>
      </c>
      <c r="J2" s="62">
        <f ca="1">I2</f>
        <v>1</v>
      </c>
      <c r="K2" s="63">
        <f t="shared" ref="K2:K14" ca="1" si="0">J2/$J$15</f>
        <v>1.3333333333333334E-2</v>
      </c>
      <c r="L2" s="64">
        <f t="shared" ref="L2:L14" ca="1" si="1">I2/$J$15</f>
        <v>1.3333333333333334E-2</v>
      </c>
      <c r="N2" s="88" t="s">
        <v>9</v>
      </c>
      <c r="O2" s="85">
        <f ca="1">AVERAGE(B$3:B$77)</f>
        <v>9308.8799999999992</v>
      </c>
      <c r="P2" s="91">
        <f ca="1">AVERAGE(C$3:C$77)</f>
        <v>9308.8799999999992</v>
      </c>
      <c r="Q2" s="91">
        <f ca="1">AVERAGE(D$3:D$77)</f>
        <v>9308.8799999999992</v>
      </c>
      <c r="T2" s="50" t="b">
        <f ca="1">O2=P2</f>
        <v>1</v>
      </c>
      <c r="U2" s="50" t="b">
        <f ca="1">P2=Q2</f>
        <v>1</v>
      </c>
      <c r="X2" s="50">
        <v>20</v>
      </c>
      <c r="AB2" s="41"/>
      <c r="AC2" s="53"/>
      <c r="AD2" s="53"/>
      <c r="AE2" s="53" t="s">
        <v>22</v>
      </c>
      <c r="AF2" s="41" t="s">
        <v>18</v>
      </c>
      <c r="AG2" s="41" t="s">
        <v>19</v>
      </c>
      <c r="AH2" s="41"/>
      <c r="AI2" s="42"/>
      <c r="AJ2" s="41"/>
      <c r="AK2" s="41"/>
    </row>
    <row r="3" spans="1:37" ht="14.4" x14ac:dyDescent="0.3">
      <c r="A3" s="2">
        <v>1</v>
      </c>
      <c r="B3" s="65">
        <f t="shared" ref="B3:B34" ca="1" si="2">INDEX($AG$3:$AG$77,RANK(AB3,$AB$3:$AB$77))</f>
        <v>8047</v>
      </c>
      <c r="C3" s="66">
        <f ca="1">SMALL($AG$3:$AG$77,AC3)</f>
        <v>1779</v>
      </c>
      <c r="D3" s="67">
        <f ca="1">AG3</f>
        <v>1779</v>
      </c>
      <c r="E3" s="68"/>
      <c r="F3" s="69" t="str">
        <f t="shared" ref="F3:F14" ca="1" si="3">G3&amp;" - "&amp;H3</f>
        <v>2000 - 4000</v>
      </c>
      <c r="G3" s="70">
        <f ca="1">H2</f>
        <v>2000</v>
      </c>
      <c r="H3" s="71">
        <f ca="1">G3+$S$5</f>
        <v>4000</v>
      </c>
      <c r="I3" s="72">
        <f t="shared" ref="I3:I14" ca="1" si="4">COUNTIF($C$3:$C$77, "&lt;"&amp;H3)</f>
        <v>9</v>
      </c>
      <c r="J3" s="72">
        <f ca="1">I3-I2</f>
        <v>8</v>
      </c>
      <c r="K3" s="73">
        <f t="shared" ca="1" si="0"/>
        <v>0.10666666666666667</v>
      </c>
      <c r="L3" s="74">
        <f t="shared" ca="1" si="1"/>
        <v>0.12</v>
      </c>
      <c r="N3" s="89" t="s">
        <v>10</v>
      </c>
      <c r="O3" s="86">
        <f ca="1">MAX(B$3:B$77)</f>
        <v>19194</v>
      </c>
      <c r="P3" s="92">
        <f ca="1">MAX(C$3:C$77)</f>
        <v>19194</v>
      </c>
      <c r="Q3" s="92">
        <f ca="1">MAX(D$3:D$77)</f>
        <v>19194</v>
      </c>
      <c r="R3" s="50">
        <f ca="1">ROUNDUP(O3/S5,0)</f>
        <v>10</v>
      </c>
      <c r="S3" s="50">
        <f ca="1">R3*S5</f>
        <v>20000</v>
      </c>
      <c r="T3" s="50" t="b">
        <f t="shared" ref="T3:T8" ca="1" si="5">O3=P3</f>
        <v>1</v>
      </c>
      <c r="U3" s="50" t="b">
        <f t="shared" ref="U3:U9" ca="1" si="6">P3=Q3</f>
        <v>1</v>
      </c>
      <c r="AB3" s="41">
        <f t="shared" ref="AB3:AB66" ca="1" si="7">RAND()</f>
        <v>0.60999849357276781</v>
      </c>
      <c r="AC3" s="53">
        <v>1</v>
      </c>
      <c r="AD3" s="53">
        <v>1</v>
      </c>
      <c r="AE3" s="53">
        <f ca="1">INT($AH$1+$AI$1*AD3)</f>
        <v>140</v>
      </c>
      <c r="AF3" s="75">
        <f ca="1">(((IF(MOD(AD3,5)&lt;&gt;0,MOD(AD3,5),5))+12)+_xlfn.NORM.S.INV(RAND()))</f>
        <v>12.709662598664794</v>
      </c>
      <c r="AG3" s="41">
        <f ca="1">ROUND(AE3*AF3,0)</f>
        <v>1779</v>
      </c>
      <c r="AH3" s="41"/>
      <c r="AI3" s="42"/>
      <c r="AJ3" s="41"/>
      <c r="AK3" s="41"/>
    </row>
    <row r="4" spans="1:37" ht="14.4" x14ac:dyDescent="0.3">
      <c r="A4" s="2">
        <v>2</v>
      </c>
      <c r="B4" s="65">
        <f t="shared" ca="1" si="2"/>
        <v>4313</v>
      </c>
      <c r="C4" s="66">
        <f t="shared" ref="C4:C67" ca="1" si="8">SMALL($AG$3:$AG$77,AC4)</f>
        <v>2191</v>
      </c>
      <c r="D4" s="67">
        <f t="shared" ref="D4:D67" ca="1" si="9">AG4</f>
        <v>2191</v>
      </c>
      <c r="E4" s="68"/>
      <c r="F4" s="69" t="str">
        <f t="shared" ca="1" si="3"/>
        <v>4000 - 6000</v>
      </c>
      <c r="G4" s="70">
        <f t="shared" ref="G4:G13" ca="1" si="10">H3</f>
        <v>4000</v>
      </c>
      <c r="H4" s="71">
        <f t="shared" ref="H4:H14" ca="1" si="11">G4+$S$5</f>
        <v>6000</v>
      </c>
      <c r="I4" s="72">
        <f t="shared" ca="1" si="4"/>
        <v>21</v>
      </c>
      <c r="J4" s="72">
        <f t="shared" ref="J4:J14" ca="1" si="12">I4-I3</f>
        <v>12</v>
      </c>
      <c r="K4" s="73">
        <f t="shared" ca="1" si="0"/>
        <v>0.16</v>
      </c>
      <c r="L4" s="74">
        <f t="shared" ca="1" si="1"/>
        <v>0.28000000000000003</v>
      </c>
      <c r="N4" s="89" t="s">
        <v>11</v>
      </c>
      <c r="O4" s="86">
        <f ca="1">MIN(B$3:B$77)</f>
        <v>1779</v>
      </c>
      <c r="P4" s="92">
        <f ca="1">MIN(C$3:C$77)</f>
        <v>1779</v>
      </c>
      <c r="Q4" s="92">
        <f ca="1">MIN(D$3:D$77)</f>
        <v>1779</v>
      </c>
      <c r="R4" s="50">
        <f ca="1">S5*INT(O4/S5)</f>
        <v>0</v>
      </c>
      <c r="T4" s="50" t="b">
        <f ca="1">O4=P4</f>
        <v>1</v>
      </c>
      <c r="U4" s="50" t="b">
        <f t="shared" ca="1" si="6"/>
        <v>1</v>
      </c>
      <c r="AB4" s="41">
        <f t="shared" ca="1" si="7"/>
        <v>0.87180312451285513</v>
      </c>
      <c r="AC4" s="53">
        <v>2</v>
      </c>
      <c r="AD4" s="53">
        <v>2</v>
      </c>
      <c r="AE4" s="53">
        <f t="shared" ref="AE4:AE67" ca="1" si="13">INT($AH$1+$AI$1*AD4)</f>
        <v>153</v>
      </c>
      <c r="AF4" s="75">
        <f t="shared" ref="AF4:AF67" ca="1" si="14">(((IF(MOD(AD4,5)&lt;&gt;0,MOD(AD4,5),5))+12)+_xlfn.NORM.S.INV(RAND()))</f>
        <v>14.322448747458969</v>
      </c>
      <c r="AG4" s="41">
        <f t="shared" ref="AG4:AG67" ca="1" si="15">ROUND(AE4*AF4,0)</f>
        <v>2191</v>
      </c>
      <c r="AH4" s="41"/>
      <c r="AI4" s="42"/>
      <c r="AJ4" s="41"/>
      <c r="AK4" s="41"/>
    </row>
    <row r="5" spans="1:37" ht="14.4" x14ac:dyDescent="0.3">
      <c r="A5" s="2">
        <v>3</v>
      </c>
      <c r="B5" s="65">
        <f t="shared" ca="1" si="2"/>
        <v>4866</v>
      </c>
      <c r="C5" s="66">
        <f t="shared" ca="1" si="8"/>
        <v>2542</v>
      </c>
      <c r="D5" s="67">
        <f t="shared" ca="1" si="9"/>
        <v>2542</v>
      </c>
      <c r="E5" s="68"/>
      <c r="F5" s="69" t="str">
        <f t="shared" ca="1" si="3"/>
        <v>6000 - 8000</v>
      </c>
      <c r="G5" s="70">
        <f t="shared" ca="1" si="10"/>
        <v>6000</v>
      </c>
      <c r="H5" s="71">
        <f t="shared" ca="1" si="11"/>
        <v>8000</v>
      </c>
      <c r="I5" s="72">
        <f t="shared" ca="1" si="4"/>
        <v>32</v>
      </c>
      <c r="J5" s="72">
        <f t="shared" ca="1" si="12"/>
        <v>11</v>
      </c>
      <c r="K5" s="73">
        <f t="shared" ca="1" si="0"/>
        <v>0.14666666666666667</v>
      </c>
      <c r="L5" s="74">
        <f t="shared" ca="1" si="1"/>
        <v>0.42666666666666669</v>
      </c>
      <c r="N5" s="89" t="s">
        <v>2</v>
      </c>
      <c r="O5" s="86">
        <f ca="1">O3-O4</f>
        <v>17415</v>
      </c>
      <c r="P5" s="92">
        <f ca="1">P3-P4</f>
        <v>17415</v>
      </c>
      <c r="Q5" s="92">
        <f ca="1">Q3-Q4</f>
        <v>17415</v>
      </c>
      <c r="R5" s="50">
        <f ca="1">ROUND(O5/10,0)</f>
        <v>1742</v>
      </c>
      <c r="S5" s="50">
        <f ca="1">ROUND(R5,-LEN(R5)+1)</f>
        <v>2000</v>
      </c>
      <c r="T5" s="50" t="b">
        <f t="shared" ca="1" si="5"/>
        <v>1</v>
      </c>
      <c r="U5" s="50" t="b">
        <f t="shared" ca="1" si="6"/>
        <v>1</v>
      </c>
      <c r="AB5" s="41">
        <f t="shared" ca="1" si="7"/>
        <v>0.80927543115163969</v>
      </c>
      <c r="AC5" s="53">
        <v>3</v>
      </c>
      <c r="AD5" s="53">
        <v>3</v>
      </c>
      <c r="AE5" s="53">
        <f t="shared" ca="1" si="13"/>
        <v>166</v>
      </c>
      <c r="AF5" s="75">
        <f t="shared" ca="1" si="14"/>
        <v>15.311989187524471</v>
      </c>
      <c r="AG5" s="41">
        <f t="shared" ca="1" si="15"/>
        <v>2542</v>
      </c>
      <c r="AH5" s="41"/>
      <c r="AI5" s="42"/>
      <c r="AJ5" s="41"/>
      <c r="AK5" s="41"/>
    </row>
    <row r="6" spans="1:37" ht="14.4" x14ac:dyDescent="0.3">
      <c r="A6" s="2">
        <v>4</v>
      </c>
      <c r="B6" s="65">
        <f t="shared" ca="1" si="2"/>
        <v>18774</v>
      </c>
      <c r="C6" s="66">
        <f t="shared" ca="1" si="8"/>
        <v>2671</v>
      </c>
      <c r="D6" s="67">
        <f t="shared" ca="1" si="9"/>
        <v>2904</v>
      </c>
      <c r="E6" s="68"/>
      <c r="F6" s="69" t="str">
        <f t="shared" ca="1" si="3"/>
        <v>8000 - 10000</v>
      </c>
      <c r="G6" s="70">
        <f t="shared" ca="1" si="10"/>
        <v>8000</v>
      </c>
      <c r="H6" s="71">
        <f t="shared" ca="1" si="11"/>
        <v>10000</v>
      </c>
      <c r="I6" s="72">
        <f t="shared" ca="1" si="4"/>
        <v>41</v>
      </c>
      <c r="J6" s="72">
        <f t="shared" ca="1" si="12"/>
        <v>9</v>
      </c>
      <c r="K6" s="73">
        <f t="shared" ca="1" si="0"/>
        <v>0.12</v>
      </c>
      <c r="L6" s="74">
        <f t="shared" ca="1" si="1"/>
        <v>0.54666666666666663</v>
      </c>
      <c r="N6" s="89" t="s">
        <v>12</v>
      </c>
      <c r="O6" s="86">
        <f ca="1">_xlfn.STDEV.S(B$3:B$77)</f>
        <v>4496.2191563158513</v>
      </c>
      <c r="P6" s="92">
        <f ca="1">_xlfn.STDEV.S(C$3:C$77)</f>
        <v>4496.2191563158513</v>
      </c>
      <c r="Q6" s="92">
        <f ca="1">_xlfn.STDEV.S(D$3:D$77)</f>
        <v>4496.2191563158513</v>
      </c>
      <c r="T6" s="50" t="b">
        <f t="shared" ca="1" si="5"/>
        <v>1</v>
      </c>
      <c r="U6" s="50" t="b">
        <f t="shared" ca="1" si="6"/>
        <v>1</v>
      </c>
      <c r="AB6" s="41">
        <f t="shared" ca="1" si="7"/>
        <v>9.3048075855299728E-2</v>
      </c>
      <c r="AC6" s="53">
        <v>4</v>
      </c>
      <c r="AD6" s="53">
        <v>4</v>
      </c>
      <c r="AE6" s="53">
        <f t="shared" ca="1" si="13"/>
        <v>179</v>
      </c>
      <c r="AF6" s="75">
        <f t="shared" ca="1" si="14"/>
        <v>16.225334466217994</v>
      </c>
      <c r="AG6" s="41">
        <f t="shared" ca="1" si="15"/>
        <v>2904</v>
      </c>
      <c r="AH6" s="41"/>
      <c r="AI6" s="42"/>
      <c r="AJ6" s="41"/>
      <c r="AK6" s="41"/>
    </row>
    <row r="7" spans="1:37" ht="14.4" x14ac:dyDescent="0.3">
      <c r="A7" s="2">
        <v>5</v>
      </c>
      <c r="B7" s="65">
        <f t="shared" ca="1" si="2"/>
        <v>5612</v>
      </c>
      <c r="C7" s="66">
        <f t="shared" ca="1" si="8"/>
        <v>2904</v>
      </c>
      <c r="D7" s="67">
        <f t="shared" ca="1" si="9"/>
        <v>3413</v>
      </c>
      <c r="E7" s="68"/>
      <c r="F7" s="69" t="str">
        <f t="shared" ca="1" si="3"/>
        <v>10000 - 12000</v>
      </c>
      <c r="G7" s="70">
        <f t="shared" ca="1" si="10"/>
        <v>10000</v>
      </c>
      <c r="H7" s="71">
        <f t="shared" ca="1" si="11"/>
        <v>12000</v>
      </c>
      <c r="I7" s="72">
        <f t="shared" ca="1" si="4"/>
        <v>53</v>
      </c>
      <c r="J7" s="72">
        <f t="shared" ca="1" si="12"/>
        <v>12</v>
      </c>
      <c r="K7" s="73">
        <f t="shared" ca="1" si="0"/>
        <v>0.16</v>
      </c>
      <c r="L7" s="74">
        <f t="shared" ca="1" si="1"/>
        <v>0.70666666666666667</v>
      </c>
      <c r="N7" s="89" t="s">
        <v>13</v>
      </c>
      <c r="O7" s="86">
        <f ca="1">O6/O2</f>
        <v>0.48300323522441491</v>
      </c>
      <c r="P7" s="92">
        <f ca="1">P6/P2</f>
        <v>0.48300323522441491</v>
      </c>
      <c r="Q7" s="92">
        <f ca="1">Q6/Q2</f>
        <v>0.48300323522441491</v>
      </c>
      <c r="T7" s="50" t="b">
        <f t="shared" ca="1" si="5"/>
        <v>1</v>
      </c>
      <c r="U7" s="50" t="b">
        <f t="shared" ca="1" si="6"/>
        <v>1</v>
      </c>
      <c r="AB7" s="41">
        <f t="shared" ca="1" si="7"/>
        <v>0.84953774225339773</v>
      </c>
      <c r="AC7" s="53">
        <v>5</v>
      </c>
      <c r="AD7" s="53">
        <v>5</v>
      </c>
      <c r="AE7" s="53">
        <f t="shared" ca="1" si="13"/>
        <v>192</v>
      </c>
      <c r="AF7" s="75">
        <f t="shared" ca="1" si="14"/>
        <v>17.777712933213493</v>
      </c>
      <c r="AG7" s="41">
        <f t="shared" ca="1" si="15"/>
        <v>3413</v>
      </c>
      <c r="AH7" s="41"/>
      <c r="AI7" s="42"/>
      <c r="AJ7" s="41"/>
      <c r="AK7" s="41"/>
    </row>
    <row r="8" spans="1:37" ht="14.4" x14ac:dyDescent="0.3">
      <c r="A8" s="2">
        <v>6</v>
      </c>
      <c r="B8" s="65">
        <f t="shared" ca="1" si="2"/>
        <v>16194</v>
      </c>
      <c r="C8" s="66">
        <f t="shared" ca="1" si="8"/>
        <v>2925</v>
      </c>
      <c r="D8" s="67">
        <f t="shared" ca="1" si="9"/>
        <v>2671</v>
      </c>
      <c r="E8" s="68"/>
      <c r="F8" s="69" t="str">
        <f t="shared" ca="1" si="3"/>
        <v>12000 - 14000</v>
      </c>
      <c r="G8" s="70">
        <f t="shared" ca="1" si="10"/>
        <v>12000</v>
      </c>
      <c r="H8" s="71">
        <f t="shared" ca="1" si="11"/>
        <v>14000</v>
      </c>
      <c r="I8" s="72">
        <f t="shared" ca="1" si="4"/>
        <v>62</v>
      </c>
      <c r="J8" s="72">
        <f t="shared" ca="1" si="12"/>
        <v>9</v>
      </c>
      <c r="K8" s="73">
        <f t="shared" ca="1" si="0"/>
        <v>0.12</v>
      </c>
      <c r="L8" s="74">
        <f t="shared" ca="1" si="1"/>
        <v>0.82666666666666666</v>
      </c>
      <c r="N8" s="89" t="s">
        <v>62</v>
      </c>
      <c r="O8" s="86">
        <f ca="1">O5/O2</f>
        <v>1.8707943383092276</v>
      </c>
      <c r="P8" s="92">
        <f ca="1">P5/P2</f>
        <v>1.8707943383092276</v>
      </c>
      <c r="Q8" s="92">
        <f ca="1">Q5/Q2</f>
        <v>1.8707943383092276</v>
      </c>
      <c r="T8" s="50" t="b">
        <f t="shared" ca="1" si="5"/>
        <v>1</v>
      </c>
      <c r="U8" s="50" t="b">
        <f t="shared" ca="1" si="6"/>
        <v>1</v>
      </c>
      <c r="AB8" s="41">
        <f t="shared" ca="1" si="7"/>
        <v>7.8032444974920456E-2</v>
      </c>
      <c r="AC8" s="53">
        <v>6</v>
      </c>
      <c r="AD8" s="53">
        <v>6</v>
      </c>
      <c r="AE8" s="53">
        <f t="shared" ca="1" si="13"/>
        <v>205</v>
      </c>
      <c r="AF8" s="75">
        <f t="shared" ca="1" si="14"/>
        <v>13.031059655581371</v>
      </c>
      <c r="AG8" s="41">
        <f t="shared" ca="1" si="15"/>
        <v>2671</v>
      </c>
      <c r="AH8" s="41"/>
      <c r="AI8" s="42"/>
      <c r="AJ8" s="41"/>
      <c r="AK8" s="41"/>
    </row>
    <row r="9" spans="1:37" ht="15" thickBot="1" x14ac:dyDescent="0.35">
      <c r="A9" s="2">
        <v>7</v>
      </c>
      <c r="B9" s="65">
        <f t="shared" ca="1" si="2"/>
        <v>15557</v>
      </c>
      <c r="C9" s="66">
        <f t="shared" ca="1" si="8"/>
        <v>3482</v>
      </c>
      <c r="D9" s="67">
        <f t="shared" ca="1" si="9"/>
        <v>2925</v>
      </c>
      <c r="E9" s="68"/>
      <c r="F9" s="69" t="str">
        <f t="shared" ca="1" si="3"/>
        <v>14000 - 16000</v>
      </c>
      <c r="G9" s="70">
        <f t="shared" ca="1" si="10"/>
        <v>14000</v>
      </c>
      <c r="H9" s="71">
        <f t="shared" ca="1" si="11"/>
        <v>16000</v>
      </c>
      <c r="I9" s="72">
        <f t="shared" ca="1" si="4"/>
        <v>68</v>
      </c>
      <c r="J9" s="72">
        <f t="shared" ca="1" si="12"/>
        <v>6</v>
      </c>
      <c r="K9" s="73">
        <f t="shared" ca="1" si="0"/>
        <v>0.08</v>
      </c>
      <c r="L9" s="74">
        <f t="shared" ca="1" si="1"/>
        <v>0.90666666666666662</v>
      </c>
      <c r="N9" s="90" t="s">
        <v>14</v>
      </c>
      <c r="O9" s="87">
        <f ca="1">SKEW(B$3:B$77)</f>
        <v>0.24313314612447195</v>
      </c>
      <c r="P9" s="93">
        <f ca="1">SKEW(C$3:C$77)</f>
        <v>0.24313314612447201</v>
      </c>
      <c r="Q9" s="93">
        <f ca="1">SKEW(D$3:D$77)</f>
        <v>0.24313314612447195</v>
      </c>
      <c r="T9" s="50" t="b">
        <f ca="1">O9=P9</f>
        <v>1</v>
      </c>
      <c r="U9" s="50" t="b">
        <f t="shared" ca="1" si="6"/>
        <v>1</v>
      </c>
      <c r="AB9" s="41">
        <f t="shared" ca="1" si="7"/>
        <v>0.16309833932545181</v>
      </c>
      <c r="AC9" s="53">
        <v>8</v>
      </c>
      <c r="AD9" s="53">
        <v>7</v>
      </c>
      <c r="AE9" s="53">
        <f t="shared" ca="1" si="13"/>
        <v>218</v>
      </c>
      <c r="AF9" s="75">
        <f t="shared" ca="1" si="14"/>
        <v>13.4173555635981</v>
      </c>
      <c r="AG9" s="41">
        <f t="shared" ca="1" si="15"/>
        <v>2925</v>
      </c>
      <c r="AH9" s="41"/>
      <c r="AI9" s="42"/>
      <c r="AJ9" s="41"/>
      <c r="AK9" s="41"/>
    </row>
    <row r="10" spans="1:37" ht="14.4" x14ac:dyDescent="0.3">
      <c r="A10" s="2">
        <v>8</v>
      </c>
      <c r="B10" s="65">
        <f t="shared" ca="1" si="2"/>
        <v>12493</v>
      </c>
      <c r="C10" s="66">
        <f t="shared" ca="1" si="8"/>
        <v>3413</v>
      </c>
      <c r="D10" s="67">
        <f t="shared" ca="1" si="9"/>
        <v>3538</v>
      </c>
      <c r="E10" s="68"/>
      <c r="F10" s="69" t="str">
        <f t="shared" ca="1" si="3"/>
        <v>16000 - 18000</v>
      </c>
      <c r="G10" s="70">
        <f t="shared" ca="1" si="10"/>
        <v>16000</v>
      </c>
      <c r="H10" s="71">
        <f t="shared" ca="1" si="11"/>
        <v>18000</v>
      </c>
      <c r="I10" s="72">
        <f t="shared" ca="1" si="4"/>
        <v>73</v>
      </c>
      <c r="J10" s="72">
        <f t="shared" ca="1" si="12"/>
        <v>5</v>
      </c>
      <c r="K10" s="73">
        <f t="shared" ca="1" si="0"/>
        <v>6.6666666666666666E-2</v>
      </c>
      <c r="L10" s="74">
        <f t="shared" ca="1" si="1"/>
        <v>0.97333333333333338</v>
      </c>
      <c r="AB10" s="41">
        <f t="shared" ca="1" si="7"/>
        <v>0.22552118858803827</v>
      </c>
      <c r="AC10" s="53">
        <v>7</v>
      </c>
      <c r="AD10" s="53">
        <v>8</v>
      </c>
      <c r="AE10" s="53">
        <f ca="1">INT($AH$1+$AI$1*AD10)</f>
        <v>231</v>
      </c>
      <c r="AF10" s="75">
        <f t="shared" ca="1" si="14"/>
        <v>15.315712786253064</v>
      </c>
      <c r="AG10" s="41">
        <f t="shared" ca="1" si="15"/>
        <v>3538</v>
      </c>
      <c r="AH10" s="41"/>
      <c r="AI10" s="42"/>
      <c r="AJ10" s="41"/>
      <c r="AK10" s="41"/>
    </row>
    <row r="11" spans="1:37" ht="14.4" x14ac:dyDescent="0.3">
      <c r="A11" s="2">
        <v>9</v>
      </c>
      <c r="B11" s="65">
        <f t="shared" ca="1" si="2"/>
        <v>6982</v>
      </c>
      <c r="C11" s="66">
        <f t="shared" ca="1" si="8"/>
        <v>4252</v>
      </c>
      <c r="D11" s="67">
        <f t="shared" ca="1" si="9"/>
        <v>4252</v>
      </c>
      <c r="E11" s="68"/>
      <c r="F11" s="69" t="str">
        <f t="shared" ca="1" si="3"/>
        <v>18000 - 20000</v>
      </c>
      <c r="G11" s="70">
        <f t="shared" ca="1" si="10"/>
        <v>18000</v>
      </c>
      <c r="H11" s="71">
        <f t="shared" ca="1" si="11"/>
        <v>20000</v>
      </c>
      <c r="I11" s="72">
        <f t="shared" ca="1" si="4"/>
        <v>75</v>
      </c>
      <c r="J11" s="72">
        <f t="shared" ca="1" si="12"/>
        <v>2</v>
      </c>
      <c r="K11" s="73">
        <f t="shared" ca="1" si="0"/>
        <v>2.6666666666666668E-2</v>
      </c>
      <c r="L11" s="74">
        <f t="shared" ca="1" si="1"/>
        <v>1</v>
      </c>
      <c r="AB11" s="41">
        <f t="shared" ca="1" si="7"/>
        <v>0.65416198787424396</v>
      </c>
      <c r="AC11" s="53">
        <v>12</v>
      </c>
      <c r="AD11" s="53">
        <v>9</v>
      </c>
      <c r="AE11" s="53">
        <f t="shared" ca="1" si="13"/>
        <v>244</v>
      </c>
      <c r="AF11" s="75">
        <f t="shared" ca="1" si="14"/>
        <v>17.427756149053081</v>
      </c>
      <c r="AG11" s="41">
        <f t="shared" ca="1" si="15"/>
        <v>4252</v>
      </c>
      <c r="AH11" s="41"/>
      <c r="AI11" s="42"/>
      <c r="AJ11" s="41"/>
      <c r="AK11" s="41"/>
    </row>
    <row r="12" spans="1:37" ht="14.4" x14ac:dyDescent="0.3">
      <c r="A12" s="2">
        <v>10</v>
      </c>
      <c r="B12" s="65">
        <f t="shared" ca="1" si="2"/>
        <v>7197</v>
      </c>
      <c r="C12" s="66">
        <f t="shared" ca="1" si="8"/>
        <v>3538</v>
      </c>
      <c r="D12" s="67">
        <f t="shared" ca="1" si="9"/>
        <v>4022</v>
      </c>
      <c r="E12" s="68"/>
      <c r="F12" s="69" t="str">
        <f t="shared" ca="1" si="3"/>
        <v>20000 - 22000</v>
      </c>
      <c r="G12" s="70">
        <f t="shared" ca="1" si="10"/>
        <v>20000</v>
      </c>
      <c r="H12" s="71">
        <f t="shared" ca="1" si="11"/>
        <v>22000</v>
      </c>
      <c r="I12" s="72">
        <f t="shared" ca="1" si="4"/>
        <v>75</v>
      </c>
      <c r="J12" s="72">
        <f t="shared" ca="1" si="12"/>
        <v>0</v>
      </c>
      <c r="K12" s="73">
        <f t="shared" ca="1" si="0"/>
        <v>0</v>
      </c>
      <c r="L12" s="74">
        <f t="shared" ca="1" si="1"/>
        <v>1</v>
      </c>
      <c r="AB12" s="41">
        <f t="shared" ca="1" si="7"/>
        <v>0.61166100812755431</v>
      </c>
      <c r="AC12" s="53">
        <v>9</v>
      </c>
      <c r="AD12" s="53">
        <v>10</v>
      </c>
      <c r="AE12" s="53">
        <f t="shared" ca="1" si="13"/>
        <v>257</v>
      </c>
      <c r="AF12" s="75">
        <f t="shared" ca="1" si="14"/>
        <v>15.648779482788955</v>
      </c>
      <c r="AG12" s="41">
        <f t="shared" ca="1" si="15"/>
        <v>4022</v>
      </c>
      <c r="AH12" s="41"/>
      <c r="AI12" s="42"/>
      <c r="AJ12" s="41"/>
      <c r="AK12" s="41"/>
    </row>
    <row r="13" spans="1:37" ht="14.4" x14ac:dyDescent="0.3">
      <c r="A13" s="2">
        <v>11</v>
      </c>
      <c r="B13" s="65">
        <f t="shared" ca="1" si="2"/>
        <v>8055</v>
      </c>
      <c r="C13" s="66">
        <f t="shared" ca="1" si="8"/>
        <v>4022</v>
      </c>
      <c r="D13" s="67">
        <f t="shared" ca="1" si="9"/>
        <v>3482</v>
      </c>
      <c r="E13" s="68"/>
      <c r="F13" s="69" t="str">
        <f t="shared" ca="1" si="3"/>
        <v>22000 - 24000</v>
      </c>
      <c r="G13" s="70">
        <f t="shared" ca="1" si="10"/>
        <v>22000</v>
      </c>
      <c r="H13" s="71">
        <f t="shared" ca="1" si="11"/>
        <v>24000</v>
      </c>
      <c r="I13" s="72">
        <f t="shared" ca="1" si="4"/>
        <v>75</v>
      </c>
      <c r="J13" s="72">
        <f t="shared" ca="1" si="12"/>
        <v>0</v>
      </c>
      <c r="K13" s="73">
        <f t="shared" ca="1" si="0"/>
        <v>0</v>
      </c>
      <c r="L13" s="74">
        <f t="shared" ca="1" si="1"/>
        <v>1</v>
      </c>
      <c r="AB13" s="41">
        <f t="shared" ca="1" si="7"/>
        <v>0.64141511393265704</v>
      </c>
      <c r="AC13" s="53">
        <v>10</v>
      </c>
      <c r="AD13" s="53">
        <v>11</v>
      </c>
      <c r="AE13" s="53">
        <f t="shared" ca="1" si="13"/>
        <v>270</v>
      </c>
      <c r="AF13" s="75">
        <f t="shared" ca="1" si="14"/>
        <v>12.897399526345019</v>
      </c>
      <c r="AG13" s="41">
        <f t="shared" ca="1" si="15"/>
        <v>3482</v>
      </c>
      <c r="AH13" s="41"/>
      <c r="AI13" s="42"/>
      <c r="AJ13" s="41"/>
      <c r="AK13" s="41"/>
    </row>
    <row r="14" spans="1:37" ht="15" thickBot="1" x14ac:dyDescent="0.35">
      <c r="A14" s="2">
        <v>12</v>
      </c>
      <c r="B14" s="65">
        <f t="shared" ca="1" si="2"/>
        <v>2925</v>
      </c>
      <c r="C14" s="66">
        <f t="shared" ca="1" si="8"/>
        <v>4219</v>
      </c>
      <c r="D14" s="67">
        <f t="shared" ca="1" si="9"/>
        <v>4219</v>
      </c>
      <c r="E14" s="68"/>
      <c r="F14" s="76" t="str">
        <f t="shared" ca="1" si="3"/>
        <v>24000 - 26000</v>
      </c>
      <c r="G14" s="77">
        <f ca="1">H13</f>
        <v>24000</v>
      </c>
      <c r="H14" s="78">
        <f t="shared" ca="1" si="11"/>
        <v>26000</v>
      </c>
      <c r="I14" s="79">
        <f t="shared" ca="1" si="4"/>
        <v>75</v>
      </c>
      <c r="J14" s="79">
        <f t="shared" ca="1" si="12"/>
        <v>0</v>
      </c>
      <c r="K14" s="80">
        <f t="shared" ca="1" si="0"/>
        <v>0</v>
      </c>
      <c r="L14" s="81">
        <f t="shared" ca="1" si="1"/>
        <v>1</v>
      </c>
      <c r="AB14" s="41">
        <f t="shared" ca="1" si="7"/>
        <v>0.93423913776467615</v>
      </c>
      <c r="AC14" s="53">
        <v>11</v>
      </c>
      <c r="AD14" s="53">
        <v>12</v>
      </c>
      <c r="AE14" s="53">
        <f t="shared" ca="1" si="13"/>
        <v>283</v>
      </c>
      <c r="AF14" s="75">
        <f t="shared" ca="1" si="14"/>
        <v>14.908986950750506</v>
      </c>
      <c r="AG14" s="41">
        <f t="shared" ca="1" si="15"/>
        <v>4219</v>
      </c>
      <c r="AH14" s="41"/>
      <c r="AI14" s="42"/>
      <c r="AJ14" s="41"/>
      <c r="AK14" s="41"/>
    </row>
    <row r="15" spans="1:37" ht="14.4" x14ac:dyDescent="0.3">
      <c r="A15" s="2">
        <v>13</v>
      </c>
      <c r="B15" s="65">
        <f t="shared" ca="1" si="2"/>
        <v>4710</v>
      </c>
      <c r="C15" s="66">
        <f t="shared" ca="1" si="8"/>
        <v>4541</v>
      </c>
      <c r="D15" s="67">
        <f t="shared" ca="1" si="9"/>
        <v>4313</v>
      </c>
      <c r="E15" s="68"/>
      <c r="F15" s="82"/>
      <c r="G15" s="72"/>
      <c r="H15" s="72"/>
      <c r="I15" s="72"/>
      <c r="J15" s="72">
        <f ca="1">SUM(J2:J14)</f>
        <v>75</v>
      </c>
      <c r="K15" s="73">
        <f ca="1">SUM(K2:K14)</f>
        <v>0.99999999999999989</v>
      </c>
      <c r="L15" s="73"/>
      <c r="AB15" s="41">
        <f t="shared" ca="1" si="7"/>
        <v>0.81440733132763077</v>
      </c>
      <c r="AC15" s="53">
        <v>14</v>
      </c>
      <c r="AD15" s="53">
        <v>13</v>
      </c>
      <c r="AE15" s="53">
        <f t="shared" ca="1" si="13"/>
        <v>296</v>
      </c>
      <c r="AF15" s="75">
        <f t="shared" ca="1" si="14"/>
        <v>14.571033186136139</v>
      </c>
      <c r="AG15" s="41">
        <f t="shared" ca="1" si="15"/>
        <v>4313</v>
      </c>
      <c r="AH15" s="41"/>
      <c r="AI15" s="42"/>
      <c r="AJ15" s="41"/>
      <c r="AK15" s="41"/>
    </row>
    <row r="16" spans="1:37" ht="14.4" x14ac:dyDescent="0.3">
      <c r="A16" s="2">
        <v>14</v>
      </c>
      <c r="B16" s="65">
        <f t="shared" ca="1" si="2"/>
        <v>6862</v>
      </c>
      <c r="C16" s="66">
        <f t="shared" ca="1" si="8"/>
        <v>4668</v>
      </c>
      <c r="D16" s="67">
        <f t="shared" ca="1" si="9"/>
        <v>4550</v>
      </c>
      <c r="E16" s="68"/>
      <c r="F16" s="83"/>
      <c r="G16" s="83"/>
      <c r="H16" s="83"/>
      <c r="I16" s="83"/>
      <c r="L16" s="83"/>
      <c r="AB16" s="41">
        <f t="shared" ca="1" si="7"/>
        <v>0.72580908447722481</v>
      </c>
      <c r="AC16" s="53">
        <v>16</v>
      </c>
      <c r="AD16" s="53">
        <v>14</v>
      </c>
      <c r="AE16" s="53">
        <f t="shared" ca="1" si="13"/>
        <v>309</v>
      </c>
      <c r="AF16" s="75">
        <f t="shared" ca="1" si="14"/>
        <v>14.725484955434677</v>
      </c>
      <c r="AG16" s="41">
        <f t="shared" ca="1" si="15"/>
        <v>4550</v>
      </c>
      <c r="AH16" s="41"/>
      <c r="AI16" s="42"/>
      <c r="AJ16" s="41"/>
      <c r="AK16" s="41"/>
    </row>
    <row r="17" spans="1:37" ht="14.4" x14ac:dyDescent="0.3">
      <c r="A17" s="2">
        <v>15</v>
      </c>
      <c r="B17" s="65">
        <f t="shared" ca="1" si="2"/>
        <v>11255</v>
      </c>
      <c r="C17" s="66">
        <f t="shared" ca="1" si="8"/>
        <v>4866</v>
      </c>
      <c r="D17" s="67">
        <f t="shared" ca="1" si="9"/>
        <v>5612</v>
      </c>
      <c r="E17" s="68"/>
      <c r="J17" s="84"/>
      <c r="K17" s="84"/>
      <c r="AB17" s="41">
        <f t="shared" ca="1" si="7"/>
        <v>0.4302295164594403</v>
      </c>
      <c r="AC17" s="53">
        <v>18</v>
      </c>
      <c r="AD17" s="53">
        <v>15</v>
      </c>
      <c r="AE17" s="53">
        <f t="shared" ca="1" si="13"/>
        <v>322</v>
      </c>
      <c r="AF17" s="75">
        <f t="shared" ca="1" si="14"/>
        <v>17.428489680976963</v>
      </c>
      <c r="AG17" s="41">
        <f t="shared" ca="1" si="15"/>
        <v>5612</v>
      </c>
      <c r="AH17" s="41"/>
      <c r="AI17" s="42"/>
      <c r="AJ17" s="41"/>
      <c r="AK17" s="41"/>
    </row>
    <row r="18" spans="1:37" ht="14.4" x14ac:dyDescent="0.3">
      <c r="A18" s="2">
        <v>16</v>
      </c>
      <c r="B18" s="65">
        <f t="shared" ca="1" si="2"/>
        <v>16775</v>
      </c>
      <c r="C18" s="66">
        <f t="shared" ca="1" si="8"/>
        <v>4313</v>
      </c>
      <c r="D18" s="67">
        <f t="shared" ca="1" si="9"/>
        <v>4668</v>
      </c>
      <c r="E18" s="68"/>
      <c r="AB18" s="41">
        <f t="shared" ca="1" si="7"/>
        <v>7.1841423598575371E-2</v>
      </c>
      <c r="AC18" s="53">
        <v>13</v>
      </c>
      <c r="AD18" s="53">
        <v>16</v>
      </c>
      <c r="AE18" s="53">
        <f t="shared" ca="1" si="13"/>
        <v>335</v>
      </c>
      <c r="AF18" s="75">
        <f t="shared" ca="1" si="14"/>
        <v>13.933521371059303</v>
      </c>
      <c r="AG18" s="41">
        <f t="shared" ca="1" si="15"/>
        <v>4668</v>
      </c>
      <c r="AH18" s="41"/>
      <c r="AI18" s="42"/>
      <c r="AJ18" s="41"/>
      <c r="AK18" s="41"/>
    </row>
    <row r="19" spans="1:37" ht="14.4" x14ac:dyDescent="0.3">
      <c r="A19" s="2">
        <v>17</v>
      </c>
      <c r="B19" s="65">
        <f t="shared" ca="1" si="2"/>
        <v>12172</v>
      </c>
      <c r="C19" s="66">
        <f t="shared" ca="1" si="8"/>
        <v>4710</v>
      </c>
      <c r="D19" s="67">
        <f t="shared" ca="1" si="9"/>
        <v>4710</v>
      </c>
      <c r="E19" s="68"/>
      <c r="AB19" s="41">
        <f t="shared" ca="1" si="7"/>
        <v>0.19696849544789852</v>
      </c>
      <c r="AC19" s="53">
        <v>17</v>
      </c>
      <c r="AD19" s="53">
        <v>17</v>
      </c>
      <c r="AE19" s="53">
        <f t="shared" ca="1" si="13"/>
        <v>348</v>
      </c>
      <c r="AF19" s="75">
        <f t="shared" ca="1" si="14"/>
        <v>13.5345263623728</v>
      </c>
      <c r="AG19" s="41">
        <f t="shared" ca="1" si="15"/>
        <v>4710</v>
      </c>
      <c r="AH19" s="41"/>
      <c r="AI19" s="42"/>
      <c r="AJ19" s="41"/>
      <c r="AK19" s="41"/>
    </row>
    <row r="20" spans="1:37" ht="14.4" x14ac:dyDescent="0.3">
      <c r="A20" s="2">
        <v>18</v>
      </c>
      <c r="B20" s="65">
        <f t="shared" ca="1" si="2"/>
        <v>12753</v>
      </c>
      <c r="C20" s="66">
        <f t="shared" ca="1" si="8"/>
        <v>4550</v>
      </c>
      <c r="D20" s="67">
        <f t="shared" ca="1" si="9"/>
        <v>4866</v>
      </c>
      <c r="E20" s="68"/>
      <c r="AB20" s="41">
        <f t="shared" ca="1" si="7"/>
        <v>0.12480143203799621</v>
      </c>
      <c r="AC20" s="53">
        <v>15</v>
      </c>
      <c r="AD20" s="53">
        <v>18</v>
      </c>
      <c r="AE20" s="53">
        <f t="shared" ca="1" si="13"/>
        <v>361</v>
      </c>
      <c r="AF20" s="75">
        <f t="shared" ca="1" si="14"/>
        <v>13.479187028552165</v>
      </c>
      <c r="AG20" s="41">
        <f t="shared" ca="1" si="15"/>
        <v>4866</v>
      </c>
      <c r="AH20" s="41"/>
      <c r="AI20" s="42"/>
      <c r="AJ20" s="41"/>
      <c r="AK20" s="41"/>
    </row>
    <row r="21" spans="1:37" ht="14.4" x14ac:dyDescent="0.3">
      <c r="A21" s="2">
        <v>19</v>
      </c>
      <c r="B21" s="65">
        <f t="shared" ca="1" si="2"/>
        <v>3482</v>
      </c>
      <c r="C21" s="66">
        <f t="shared" ca="1" si="8"/>
        <v>5427</v>
      </c>
      <c r="D21" s="67">
        <f t="shared" ca="1" si="9"/>
        <v>5427</v>
      </c>
      <c r="E21" s="68"/>
      <c r="AB21" s="41">
        <f t="shared" ca="1" si="7"/>
        <v>0.91151883466753469</v>
      </c>
      <c r="AC21" s="53">
        <v>19</v>
      </c>
      <c r="AD21" s="53">
        <v>19</v>
      </c>
      <c r="AE21" s="53">
        <f t="shared" ca="1" si="13"/>
        <v>374</v>
      </c>
      <c r="AF21" s="75">
        <f t="shared" ca="1" si="14"/>
        <v>14.509562469391998</v>
      </c>
      <c r="AG21" s="41">
        <f t="shared" ca="1" si="15"/>
        <v>5427</v>
      </c>
      <c r="AH21" s="41"/>
      <c r="AI21" s="42"/>
      <c r="AJ21" s="41"/>
      <c r="AK21" s="41"/>
    </row>
    <row r="22" spans="1:37" ht="14.4" x14ac:dyDescent="0.3">
      <c r="A22" s="2">
        <v>20</v>
      </c>
      <c r="B22" s="65">
        <f t="shared" ca="1" si="2"/>
        <v>14182</v>
      </c>
      <c r="C22" s="66">
        <f t="shared" ca="1" si="8"/>
        <v>5612</v>
      </c>
      <c r="D22" s="67">
        <f t="shared" ca="1" si="9"/>
        <v>6652</v>
      </c>
      <c r="E22" s="68"/>
      <c r="AB22" s="41">
        <f t="shared" ca="1" si="7"/>
        <v>0.18503508680493963</v>
      </c>
      <c r="AC22" s="53">
        <v>20</v>
      </c>
      <c r="AD22" s="53">
        <v>20</v>
      </c>
      <c r="AE22" s="53">
        <f t="shared" ca="1" si="13"/>
        <v>387</v>
      </c>
      <c r="AF22" s="75">
        <f t="shared" ca="1" si="14"/>
        <v>17.188418174629202</v>
      </c>
      <c r="AG22" s="41">
        <f t="shared" ca="1" si="15"/>
        <v>6652</v>
      </c>
      <c r="AH22" s="41"/>
      <c r="AI22" s="42"/>
      <c r="AJ22" s="41"/>
      <c r="AK22" s="41"/>
    </row>
    <row r="23" spans="1:37" ht="14.4" x14ac:dyDescent="0.3">
      <c r="A23" s="2">
        <v>21</v>
      </c>
      <c r="B23" s="65">
        <f t="shared" ca="1" si="2"/>
        <v>11989</v>
      </c>
      <c r="C23" s="66">
        <f t="shared" ca="1" si="8"/>
        <v>6862</v>
      </c>
      <c r="D23" s="67">
        <f t="shared" ca="1" si="9"/>
        <v>4541</v>
      </c>
      <c r="E23" s="6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41">
        <f t="shared" ca="1" si="7"/>
        <v>0.12977971532679911</v>
      </c>
      <c r="AC23" s="53">
        <v>24</v>
      </c>
      <c r="AD23" s="53">
        <v>21</v>
      </c>
      <c r="AE23" s="53">
        <f t="shared" ca="1" si="13"/>
        <v>400</v>
      </c>
      <c r="AF23" s="75">
        <f t="shared" ca="1" si="14"/>
        <v>11.352844041697368</v>
      </c>
      <c r="AG23" s="41">
        <f t="shared" ca="1" si="15"/>
        <v>4541</v>
      </c>
      <c r="AH23" s="41"/>
      <c r="AI23" s="42"/>
      <c r="AJ23" s="41"/>
      <c r="AK23" s="41"/>
    </row>
    <row r="24" spans="1:37" ht="14.4" x14ac:dyDescent="0.3">
      <c r="A24" s="2">
        <v>22</v>
      </c>
      <c r="B24" s="65">
        <f t="shared" ca="1" si="2"/>
        <v>4550</v>
      </c>
      <c r="C24" s="66">
        <f t="shared" ca="1" si="8"/>
        <v>6090</v>
      </c>
      <c r="D24" s="67">
        <f t="shared" ca="1" si="9"/>
        <v>5944</v>
      </c>
      <c r="E24" s="6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41">
        <f t="shared" ca="1" si="7"/>
        <v>0.85791876786576349</v>
      </c>
      <c r="AC24" s="53">
        <v>22</v>
      </c>
      <c r="AD24" s="53">
        <v>22</v>
      </c>
      <c r="AE24" s="53">
        <f t="shared" ca="1" si="13"/>
        <v>413</v>
      </c>
      <c r="AF24" s="75">
        <f t="shared" ca="1" si="14"/>
        <v>14.39110772773159</v>
      </c>
      <c r="AG24" s="41">
        <f t="shared" ca="1" si="15"/>
        <v>5944</v>
      </c>
      <c r="AH24" s="41"/>
      <c r="AI24" s="42"/>
      <c r="AJ24" s="41"/>
      <c r="AK24" s="41"/>
    </row>
    <row r="25" spans="1:37" ht="14.4" x14ac:dyDescent="0.3">
      <c r="A25" s="2">
        <v>23</v>
      </c>
      <c r="B25" s="65">
        <f t="shared" ca="1" si="2"/>
        <v>4541</v>
      </c>
      <c r="C25" s="66">
        <f t="shared" ca="1" si="8"/>
        <v>6652</v>
      </c>
      <c r="D25" s="67">
        <f t="shared" ca="1" si="9"/>
        <v>6990</v>
      </c>
      <c r="E25" s="6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41">
        <f t="shared" ca="1" si="7"/>
        <v>0.74940650246107454</v>
      </c>
      <c r="AC25" s="53">
        <v>23</v>
      </c>
      <c r="AD25" s="53">
        <v>23</v>
      </c>
      <c r="AE25" s="53">
        <f t="shared" ca="1" si="13"/>
        <v>426</v>
      </c>
      <c r="AF25" s="75">
        <f t="shared" ca="1" si="14"/>
        <v>16.408571366994906</v>
      </c>
      <c r="AG25" s="41">
        <f t="shared" ca="1" si="15"/>
        <v>6990</v>
      </c>
      <c r="AH25" s="41"/>
      <c r="AI25" s="42"/>
      <c r="AJ25" s="41"/>
      <c r="AK25" s="41"/>
    </row>
    <row r="26" spans="1:37" ht="14.4" x14ac:dyDescent="0.3">
      <c r="A26" s="2">
        <v>24</v>
      </c>
      <c r="B26" s="65">
        <f t="shared" ca="1" si="2"/>
        <v>10162</v>
      </c>
      <c r="C26" s="66">
        <f t="shared" ca="1" si="8"/>
        <v>6891</v>
      </c>
      <c r="D26" s="67">
        <f t="shared" ca="1" si="9"/>
        <v>6862</v>
      </c>
      <c r="E26" s="6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41">
        <f t="shared" ca="1" si="7"/>
        <v>0.60684737326312976</v>
      </c>
      <c r="AC26" s="53">
        <v>25</v>
      </c>
      <c r="AD26" s="53">
        <v>24</v>
      </c>
      <c r="AE26" s="53">
        <f t="shared" ca="1" si="13"/>
        <v>439</v>
      </c>
      <c r="AF26" s="75">
        <f t="shared" ca="1" si="14"/>
        <v>15.63063440365171</v>
      </c>
      <c r="AG26" s="41">
        <f t="shared" ca="1" si="15"/>
        <v>6862</v>
      </c>
      <c r="AH26" s="41"/>
      <c r="AI26" s="42"/>
      <c r="AJ26" s="41"/>
      <c r="AK26" s="41"/>
    </row>
    <row r="27" spans="1:37" ht="14.4" x14ac:dyDescent="0.3">
      <c r="A27" s="2">
        <v>25</v>
      </c>
      <c r="B27" s="65">
        <f t="shared" ca="1" si="2"/>
        <v>3413</v>
      </c>
      <c r="C27" s="66">
        <f t="shared" ca="1" si="8"/>
        <v>5944</v>
      </c>
      <c r="D27" s="67">
        <f t="shared" ca="1" si="9"/>
        <v>7788</v>
      </c>
      <c r="E27" s="6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41">
        <f t="shared" ca="1" si="7"/>
        <v>0.95930919973174533</v>
      </c>
      <c r="AC27" s="53">
        <v>21</v>
      </c>
      <c r="AD27" s="53">
        <v>25</v>
      </c>
      <c r="AE27" s="53">
        <f t="shared" ca="1" si="13"/>
        <v>452</v>
      </c>
      <c r="AF27" s="75">
        <f t="shared" ca="1" si="14"/>
        <v>17.230291323765286</v>
      </c>
      <c r="AG27" s="41">
        <f t="shared" ca="1" si="15"/>
        <v>7788</v>
      </c>
      <c r="AH27" s="41"/>
      <c r="AI27" s="42"/>
      <c r="AJ27" s="41"/>
      <c r="AK27" s="41"/>
    </row>
    <row r="28" spans="1:37" ht="14.4" x14ac:dyDescent="0.3">
      <c r="A28" s="2">
        <v>26</v>
      </c>
      <c r="B28" s="65">
        <f t="shared" ca="1" si="2"/>
        <v>5944</v>
      </c>
      <c r="C28" s="66">
        <f t="shared" ca="1" si="8"/>
        <v>6990</v>
      </c>
      <c r="D28" s="67">
        <f t="shared" ca="1" si="9"/>
        <v>6090</v>
      </c>
      <c r="E28" s="6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41">
        <f t="shared" ca="1" si="7"/>
        <v>0.74781175459465188</v>
      </c>
      <c r="AC28" s="53">
        <v>27</v>
      </c>
      <c r="AD28" s="53">
        <v>26</v>
      </c>
      <c r="AE28" s="53">
        <f t="shared" ca="1" si="13"/>
        <v>465</v>
      </c>
      <c r="AF28" s="75">
        <f t="shared" ca="1" si="14"/>
        <v>13.097178605164313</v>
      </c>
      <c r="AG28" s="41">
        <f t="shared" ca="1" si="15"/>
        <v>6090</v>
      </c>
      <c r="AH28" s="41"/>
      <c r="AI28" s="42"/>
      <c r="AJ28" s="41"/>
      <c r="AK28" s="41"/>
    </row>
    <row r="29" spans="1:37" ht="14.4" x14ac:dyDescent="0.3">
      <c r="A29" s="2">
        <v>27</v>
      </c>
      <c r="B29" s="65">
        <f t="shared" ca="1" si="2"/>
        <v>6090</v>
      </c>
      <c r="C29" s="66">
        <f t="shared" ca="1" si="8"/>
        <v>6982</v>
      </c>
      <c r="D29" s="67">
        <f t="shared" ca="1" si="9"/>
        <v>7016</v>
      </c>
      <c r="E29" s="6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41">
        <f t="shared" ca="1" si="7"/>
        <v>0.70386116833110057</v>
      </c>
      <c r="AC29" s="53">
        <v>26</v>
      </c>
      <c r="AD29" s="53">
        <v>27</v>
      </c>
      <c r="AE29" s="53">
        <f t="shared" ca="1" si="13"/>
        <v>478</v>
      </c>
      <c r="AF29" s="75">
        <f t="shared" ca="1" si="14"/>
        <v>14.677729432343883</v>
      </c>
      <c r="AG29" s="41">
        <f t="shared" ca="1" si="15"/>
        <v>7016</v>
      </c>
      <c r="AH29" s="41"/>
      <c r="AI29" s="42"/>
      <c r="AJ29" s="41"/>
      <c r="AK29" s="41"/>
    </row>
    <row r="30" spans="1:37" ht="14.4" x14ac:dyDescent="0.3">
      <c r="A30" s="2">
        <v>28</v>
      </c>
      <c r="B30" s="65">
        <f t="shared" ca="1" si="2"/>
        <v>2191</v>
      </c>
      <c r="C30" s="66">
        <f t="shared" ca="1" si="8"/>
        <v>8047</v>
      </c>
      <c r="D30" s="67">
        <f t="shared" ca="1" si="9"/>
        <v>6982</v>
      </c>
      <c r="E30" s="6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41">
        <f t="shared" ca="1" si="7"/>
        <v>0.98604514280102973</v>
      </c>
      <c r="AC30" s="53">
        <v>33</v>
      </c>
      <c r="AD30" s="53">
        <v>28</v>
      </c>
      <c r="AE30" s="53">
        <f t="shared" ca="1" si="13"/>
        <v>491</v>
      </c>
      <c r="AF30" s="75">
        <f t="shared" ca="1" si="14"/>
        <v>14.219355982639952</v>
      </c>
      <c r="AG30" s="41">
        <f t="shared" ca="1" si="15"/>
        <v>6982</v>
      </c>
      <c r="AH30" s="41"/>
      <c r="AI30" s="42"/>
      <c r="AJ30" s="41"/>
      <c r="AK30" s="41"/>
    </row>
    <row r="31" spans="1:37" ht="14.4" x14ac:dyDescent="0.3">
      <c r="A31" s="2">
        <v>29</v>
      </c>
      <c r="B31" s="65">
        <f t="shared" ca="1" si="2"/>
        <v>7205</v>
      </c>
      <c r="C31" s="66">
        <f t="shared" ca="1" si="8"/>
        <v>8055</v>
      </c>
      <c r="D31" s="67">
        <f t="shared" ca="1" si="9"/>
        <v>8055</v>
      </c>
      <c r="E31" s="6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41">
        <f t="shared" ca="1" si="7"/>
        <v>0.58729733839007592</v>
      </c>
      <c r="AC31" s="53">
        <v>34</v>
      </c>
      <c r="AD31" s="53">
        <v>29</v>
      </c>
      <c r="AE31" s="53">
        <f t="shared" ca="1" si="13"/>
        <v>504</v>
      </c>
      <c r="AF31" s="75">
        <f t="shared" ca="1" si="14"/>
        <v>15.981623878171385</v>
      </c>
      <c r="AG31" s="41">
        <f t="shared" ca="1" si="15"/>
        <v>8055</v>
      </c>
      <c r="AH31" s="41"/>
      <c r="AI31" s="42"/>
      <c r="AJ31" s="41"/>
      <c r="AK31" s="41"/>
    </row>
    <row r="32" spans="1:37" ht="14.4" x14ac:dyDescent="0.3">
      <c r="A32" s="2">
        <v>30</v>
      </c>
      <c r="B32" s="65">
        <f t="shared" ca="1" si="2"/>
        <v>10648</v>
      </c>
      <c r="C32" s="66">
        <f t="shared" ca="1" si="8"/>
        <v>7016</v>
      </c>
      <c r="D32" s="67">
        <f t="shared" ca="1" si="9"/>
        <v>7789</v>
      </c>
      <c r="E32" s="6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41">
        <f t="shared" ca="1" si="7"/>
        <v>0.18157509286687779</v>
      </c>
      <c r="AC32" s="53">
        <v>28</v>
      </c>
      <c r="AD32" s="53">
        <v>30</v>
      </c>
      <c r="AE32" s="53">
        <f t="shared" ca="1" si="13"/>
        <v>517</v>
      </c>
      <c r="AF32" s="75">
        <f t="shared" ca="1" si="14"/>
        <v>15.06486687864367</v>
      </c>
      <c r="AG32" s="41">
        <f t="shared" ca="1" si="15"/>
        <v>7789</v>
      </c>
      <c r="AH32" s="41"/>
      <c r="AI32" s="42"/>
      <c r="AJ32" s="41"/>
      <c r="AK32" s="41"/>
    </row>
    <row r="33" spans="1:37" ht="14.4" x14ac:dyDescent="0.3">
      <c r="A33" s="2">
        <v>31</v>
      </c>
      <c r="B33" s="65">
        <f t="shared" ca="1" si="2"/>
        <v>2671</v>
      </c>
      <c r="C33" s="66">
        <f t="shared" ca="1" si="8"/>
        <v>7205</v>
      </c>
      <c r="D33" s="67">
        <f t="shared" ca="1" si="9"/>
        <v>6891</v>
      </c>
      <c r="E33" s="6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41">
        <f t="shared" ca="1" si="7"/>
        <v>0.95717360931822815</v>
      </c>
      <c r="AC33" s="53">
        <v>30</v>
      </c>
      <c r="AD33" s="53">
        <v>31</v>
      </c>
      <c r="AE33" s="53">
        <f t="shared" ca="1" si="13"/>
        <v>530</v>
      </c>
      <c r="AF33" s="75">
        <f t="shared" ca="1" si="14"/>
        <v>13.001612795590379</v>
      </c>
      <c r="AG33" s="41">
        <f t="shared" ca="1" si="15"/>
        <v>6891</v>
      </c>
      <c r="AH33" s="41"/>
      <c r="AI33" s="42"/>
      <c r="AJ33" s="41"/>
      <c r="AK33" s="41"/>
    </row>
    <row r="34" spans="1:37" ht="14.4" x14ac:dyDescent="0.3">
      <c r="A34" s="2">
        <v>32</v>
      </c>
      <c r="B34" s="65">
        <f t="shared" ca="1" si="2"/>
        <v>7016</v>
      </c>
      <c r="C34" s="66">
        <f t="shared" ca="1" si="8"/>
        <v>7197</v>
      </c>
      <c r="D34" s="67">
        <f t="shared" ca="1" si="9"/>
        <v>7197</v>
      </c>
      <c r="E34" s="6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41">
        <f t="shared" ca="1" si="7"/>
        <v>0.69266625411796701</v>
      </c>
      <c r="AC34" s="53">
        <v>29</v>
      </c>
      <c r="AD34" s="53">
        <v>32</v>
      </c>
      <c r="AE34" s="53">
        <f t="shared" ca="1" si="13"/>
        <v>543</v>
      </c>
      <c r="AF34" s="75">
        <f t="shared" ca="1" si="14"/>
        <v>13.254140632818965</v>
      </c>
      <c r="AG34" s="41">
        <f t="shared" ca="1" si="15"/>
        <v>7197</v>
      </c>
      <c r="AH34" s="41"/>
      <c r="AI34" s="42"/>
      <c r="AJ34" s="41"/>
      <c r="AK34" s="41"/>
    </row>
    <row r="35" spans="1:37" ht="14.4" x14ac:dyDescent="0.3">
      <c r="A35" s="2">
        <v>33</v>
      </c>
      <c r="B35" s="65">
        <f t="shared" ref="B35:B67" ca="1" si="16">INDEX($AG$3:$AG$77,RANK(AB35,$AB$3:$AB$77))</f>
        <v>6652</v>
      </c>
      <c r="C35" s="66">
        <f t="shared" ca="1" si="8"/>
        <v>7788</v>
      </c>
      <c r="D35" s="67">
        <f t="shared" ca="1" si="9"/>
        <v>8047</v>
      </c>
      <c r="E35" s="6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41">
        <f t="shared" ca="1" si="7"/>
        <v>0.77368724874324435</v>
      </c>
      <c r="AC35" s="53">
        <v>31</v>
      </c>
      <c r="AD35" s="53">
        <v>33</v>
      </c>
      <c r="AE35" s="53">
        <f t="shared" ca="1" si="13"/>
        <v>556</v>
      </c>
      <c r="AF35" s="75">
        <f t="shared" ca="1" si="14"/>
        <v>14.47369385752777</v>
      </c>
      <c r="AG35" s="41">
        <f t="shared" ca="1" si="15"/>
        <v>8047</v>
      </c>
      <c r="AH35" s="41"/>
      <c r="AI35" s="42"/>
      <c r="AJ35" s="41"/>
      <c r="AK35" s="41"/>
    </row>
    <row r="36" spans="1:37" ht="14.4" x14ac:dyDescent="0.3">
      <c r="A36" s="2">
        <v>34</v>
      </c>
      <c r="B36" s="65">
        <f t="shared" ca="1" si="16"/>
        <v>9223</v>
      </c>
      <c r="C36" s="66">
        <f t="shared" ca="1" si="8"/>
        <v>7789</v>
      </c>
      <c r="D36" s="67">
        <f t="shared" ca="1" si="9"/>
        <v>10162</v>
      </c>
      <c r="E36" s="6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41">
        <f t="shared" ca="1" si="7"/>
        <v>0.48624314297749704</v>
      </c>
      <c r="AC36" s="53">
        <v>32</v>
      </c>
      <c r="AD36" s="53">
        <v>34</v>
      </c>
      <c r="AE36" s="53">
        <f t="shared" ca="1" si="13"/>
        <v>569</v>
      </c>
      <c r="AF36" s="75">
        <f t="shared" ca="1" si="14"/>
        <v>17.859590840598365</v>
      </c>
      <c r="AG36" s="41">
        <f t="shared" ca="1" si="15"/>
        <v>10162</v>
      </c>
      <c r="AH36" s="41"/>
      <c r="AI36" s="42"/>
      <c r="AJ36" s="41"/>
      <c r="AK36" s="41"/>
    </row>
    <row r="37" spans="1:37" ht="14.4" x14ac:dyDescent="0.3">
      <c r="A37" s="2">
        <v>35</v>
      </c>
      <c r="B37" s="65">
        <f t="shared" ca="1" si="16"/>
        <v>12697</v>
      </c>
      <c r="C37" s="66">
        <f t="shared" ca="1" si="8"/>
        <v>8725</v>
      </c>
      <c r="D37" s="67">
        <f t="shared" ca="1" si="9"/>
        <v>9365</v>
      </c>
      <c r="E37" s="6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41">
        <f t="shared" ca="1" si="7"/>
        <v>0.39320881328574642</v>
      </c>
      <c r="AC37" s="53">
        <v>35</v>
      </c>
      <c r="AD37" s="53">
        <v>35</v>
      </c>
      <c r="AE37" s="53">
        <f t="shared" ca="1" si="13"/>
        <v>582</v>
      </c>
      <c r="AF37" s="75">
        <f t="shared" ca="1" si="14"/>
        <v>16.090737930779895</v>
      </c>
      <c r="AG37" s="41">
        <f t="shared" ca="1" si="15"/>
        <v>9365</v>
      </c>
      <c r="AH37" s="41"/>
      <c r="AI37" s="42"/>
      <c r="AJ37" s="41"/>
      <c r="AK37" s="41"/>
    </row>
    <row r="38" spans="1:37" ht="14.4" x14ac:dyDescent="0.3">
      <c r="A38" s="2">
        <v>36</v>
      </c>
      <c r="B38" s="65">
        <f t="shared" ca="1" si="16"/>
        <v>10078</v>
      </c>
      <c r="C38" s="66">
        <f t="shared" ca="1" si="8"/>
        <v>9825</v>
      </c>
      <c r="D38" s="67">
        <f t="shared" ca="1" si="9"/>
        <v>7205</v>
      </c>
      <c r="E38" s="6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41">
        <f t="shared" ca="1" si="7"/>
        <v>0.18932877190252317</v>
      </c>
      <c r="AC38" s="53">
        <v>39</v>
      </c>
      <c r="AD38" s="53">
        <v>36</v>
      </c>
      <c r="AE38" s="53">
        <f t="shared" ca="1" si="13"/>
        <v>595</v>
      </c>
      <c r="AF38" s="75">
        <f t="shared" ca="1" si="14"/>
        <v>12.109688574067375</v>
      </c>
      <c r="AG38" s="41">
        <f t="shared" ca="1" si="15"/>
        <v>7205</v>
      </c>
      <c r="AH38" s="41"/>
      <c r="AI38" s="42"/>
      <c r="AJ38" s="41"/>
      <c r="AK38" s="41"/>
    </row>
    <row r="39" spans="1:37" ht="14.4" x14ac:dyDescent="0.3">
      <c r="A39" s="2">
        <v>37</v>
      </c>
      <c r="B39" s="65">
        <f t="shared" ca="1" si="16"/>
        <v>4022</v>
      </c>
      <c r="C39" s="66">
        <f t="shared" ca="1" si="8"/>
        <v>8766</v>
      </c>
      <c r="D39" s="67">
        <f t="shared" ca="1" si="9"/>
        <v>8766</v>
      </c>
      <c r="E39" s="6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41">
        <f t="shared" ca="1" si="7"/>
        <v>0.91206688864385166</v>
      </c>
      <c r="AC39" s="53">
        <v>36</v>
      </c>
      <c r="AD39" s="53">
        <v>37</v>
      </c>
      <c r="AE39" s="53">
        <f t="shared" ca="1" si="13"/>
        <v>608</v>
      </c>
      <c r="AF39" s="75">
        <f t="shared" ca="1" si="14"/>
        <v>14.418336238765077</v>
      </c>
      <c r="AG39" s="41">
        <f t="shared" ca="1" si="15"/>
        <v>8766</v>
      </c>
      <c r="AH39" s="41"/>
      <c r="AI39" s="42"/>
      <c r="AJ39" s="41"/>
      <c r="AK39" s="41"/>
    </row>
    <row r="40" spans="1:37" ht="14.4" x14ac:dyDescent="0.3">
      <c r="A40" s="2">
        <v>38</v>
      </c>
      <c r="B40" s="65">
        <f t="shared" ca="1" si="16"/>
        <v>11463</v>
      </c>
      <c r="C40" s="66">
        <f t="shared" ca="1" si="8"/>
        <v>9223</v>
      </c>
      <c r="D40" s="67">
        <f t="shared" ca="1" si="9"/>
        <v>9854</v>
      </c>
      <c r="E40" s="6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41">
        <f t="shared" ca="1" si="7"/>
        <v>0.2717686115966278</v>
      </c>
      <c r="AC40" s="53">
        <v>37</v>
      </c>
      <c r="AD40" s="53">
        <v>38</v>
      </c>
      <c r="AE40" s="53">
        <f t="shared" ca="1" si="13"/>
        <v>621</v>
      </c>
      <c r="AF40" s="75">
        <f t="shared" ca="1" si="14"/>
        <v>15.867222184768028</v>
      </c>
      <c r="AG40" s="41">
        <f t="shared" ca="1" si="15"/>
        <v>9854</v>
      </c>
      <c r="AH40" s="41"/>
      <c r="AI40" s="42"/>
      <c r="AJ40" s="41"/>
      <c r="AK40" s="41"/>
    </row>
    <row r="41" spans="1:37" ht="14.4" x14ac:dyDescent="0.3">
      <c r="A41" s="2">
        <v>39</v>
      </c>
      <c r="B41" s="65">
        <f t="shared" ca="1" si="16"/>
        <v>10230</v>
      </c>
      <c r="C41" s="66">
        <f t="shared" ca="1" si="8"/>
        <v>9365</v>
      </c>
      <c r="D41" s="67">
        <f t="shared" ca="1" si="9"/>
        <v>10409</v>
      </c>
      <c r="E41" s="6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41">
        <f t="shared" ca="1" si="7"/>
        <v>0.32334970779602956</v>
      </c>
      <c r="AC41" s="53">
        <v>38</v>
      </c>
      <c r="AD41" s="53">
        <v>39</v>
      </c>
      <c r="AE41" s="53">
        <f t="shared" ca="1" si="13"/>
        <v>634</v>
      </c>
      <c r="AF41" s="75">
        <f t="shared" ca="1" si="14"/>
        <v>16.418027565111938</v>
      </c>
      <c r="AG41" s="41">
        <f t="shared" ca="1" si="15"/>
        <v>10409</v>
      </c>
      <c r="AH41" s="41"/>
      <c r="AI41" s="42"/>
      <c r="AJ41" s="41"/>
      <c r="AK41" s="41"/>
    </row>
    <row r="42" spans="1:37" ht="14.4" x14ac:dyDescent="0.3">
      <c r="A42" s="2">
        <v>40</v>
      </c>
      <c r="B42" s="65">
        <f t="shared" ca="1" si="16"/>
        <v>6990</v>
      </c>
      <c r="C42" s="66">
        <f t="shared" ca="1" si="8"/>
        <v>9883</v>
      </c>
      <c r="D42" s="67">
        <f t="shared" ca="1" si="9"/>
        <v>10351</v>
      </c>
      <c r="E42" s="6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41">
        <f t="shared" ca="1" si="7"/>
        <v>0.7384539254060728</v>
      </c>
      <c r="AC42" s="53">
        <v>41</v>
      </c>
      <c r="AD42" s="53">
        <v>40</v>
      </c>
      <c r="AE42" s="53">
        <f t="shared" ca="1" si="13"/>
        <v>647</v>
      </c>
      <c r="AF42" s="75">
        <f t="shared" ca="1" si="14"/>
        <v>15.999144988901405</v>
      </c>
      <c r="AG42" s="41">
        <f t="shared" ca="1" si="15"/>
        <v>10351</v>
      </c>
      <c r="AH42" s="41"/>
      <c r="AI42" s="42"/>
      <c r="AJ42" s="41"/>
      <c r="AK42" s="41"/>
    </row>
    <row r="43" spans="1:37" ht="14.4" x14ac:dyDescent="0.3">
      <c r="A43" s="2">
        <v>41</v>
      </c>
      <c r="B43" s="65">
        <f t="shared" ca="1" si="16"/>
        <v>9854</v>
      </c>
      <c r="C43" s="66">
        <f t="shared" ca="1" si="8"/>
        <v>9854</v>
      </c>
      <c r="D43" s="67">
        <f t="shared" ca="1" si="9"/>
        <v>8725</v>
      </c>
      <c r="E43" s="6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41">
        <f t="shared" ca="1" si="7"/>
        <v>0.53332011493393205</v>
      </c>
      <c r="AC43" s="53">
        <v>40</v>
      </c>
      <c r="AD43" s="53">
        <v>41</v>
      </c>
      <c r="AE43" s="53">
        <f t="shared" ca="1" si="13"/>
        <v>660</v>
      </c>
      <c r="AF43" s="75">
        <f t="shared" ca="1" si="14"/>
        <v>13.219080782428343</v>
      </c>
      <c r="AG43" s="41">
        <f t="shared" ca="1" si="15"/>
        <v>8725</v>
      </c>
      <c r="AH43" s="41"/>
      <c r="AI43" s="42"/>
      <c r="AJ43" s="41"/>
      <c r="AK43" s="41"/>
    </row>
    <row r="44" spans="1:37" ht="14.4" x14ac:dyDescent="0.3">
      <c r="A44" s="2">
        <v>42</v>
      </c>
      <c r="B44" s="65">
        <f t="shared" ca="1" si="16"/>
        <v>17546</v>
      </c>
      <c r="C44" s="66">
        <f t="shared" ca="1" si="8"/>
        <v>10392</v>
      </c>
      <c r="D44" s="67">
        <f t="shared" ca="1" si="9"/>
        <v>9223</v>
      </c>
      <c r="E44" s="6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41">
        <f t="shared" ca="1" si="7"/>
        <v>3.8653433626879896E-2</v>
      </c>
      <c r="AC44" s="53">
        <v>46</v>
      </c>
      <c r="AD44" s="53">
        <v>42</v>
      </c>
      <c r="AE44" s="53">
        <f t="shared" ca="1" si="13"/>
        <v>673</v>
      </c>
      <c r="AF44" s="75">
        <f t="shared" ca="1" si="14"/>
        <v>13.704775190237648</v>
      </c>
      <c r="AG44" s="41">
        <f t="shared" ca="1" si="15"/>
        <v>9223</v>
      </c>
      <c r="AH44" s="41"/>
      <c r="AI44" s="42"/>
      <c r="AJ44" s="41"/>
      <c r="AK44" s="41"/>
    </row>
    <row r="45" spans="1:37" ht="14.4" x14ac:dyDescent="0.3">
      <c r="A45" s="2">
        <v>43</v>
      </c>
      <c r="B45" s="65">
        <f t="shared" ca="1" si="16"/>
        <v>5427</v>
      </c>
      <c r="C45" s="66">
        <f t="shared" ca="1" si="8"/>
        <v>10230</v>
      </c>
      <c r="D45" s="67">
        <f t="shared" ca="1" si="9"/>
        <v>11255</v>
      </c>
      <c r="E45" s="6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41">
        <f t="shared" ca="1" si="7"/>
        <v>0.77539999376348778</v>
      </c>
      <c r="AC45" s="53">
        <v>44</v>
      </c>
      <c r="AD45" s="53">
        <v>43</v>
      </c>
      <c r="AE45" s="53">
        <f t="shared" ca="1" si="13"/>
        <v>686</v>
      </c>
      <c r="AF45" s="75">
        <f t="shared" ca="1" si="14"/>
        <v>16.406462861761224</v>
      </c>
      <c r="AG45" s="41">
        <f t="shared" ca="1" si="15"/>
        <v>11255</v>
      </c>
      <c r="AH45" s="41"/>
      <c r="AI45" s="42"/>
      <c r="AJ45" s="41"/>
      <c r="AK45" s="41"/>
    </row>
    <row r="46" spans="1:37" ht="14.4" x14ac:dyDescent="0.3">
      <c r="A46" s="2">
        <v>44</v>
      </c>
      <c r="B46" s="65">
        <f t="shared" ca="1" si="16"/>
        <v>10351</v>
      </c>
      <c r="C46" s="66">
        <f t="shared" ca="1" si="8"/>
        <v>10351</v>
      </c>
      <c r="D46" s="67">
        <f t="shared" ca="1" si="9"/>
        <v>11266</v>
      </c>
      <c r="E46" s="6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41">
        <f t="shared" ca="1" si="7"/>
        <v>0.49535272627665716</v>
      </c>
      <c r="AC46" s="50">
        <v>45</v>
      </c>
      <c r="AD46" s="53">
        <v>44</v>
      </c>
      <c r="AE46" s="53">
        <f t="shared" ca="1" si="13"/>
        <v>699</v>
      </c>
      <c r="AF46" s="75">
        <f t="shared" ca="1" si="14"/>
        <v>16.117454228911804</v>
      </c>
      <c r="AG46" s="41">
        <f t="shared" ca="1" si="15"/>
        <v>11266</v>
      </c>
      <c r="AH46" s="41"/>
      <c r="AI46" s="42"/>
      <c r="AJ46" s="41"/>
      <c r="AK46" s="41"/>
    </row>
    <row r="47" spans="1:37" ht="14.4" x14ac:dyDescent="0.3">
      <c r="A47" s="2">
        <v>45</v>
      </c>
      <c r="B47" s="65">
        <f t="shared" ca="1" si="16"/>
        <v>11266</v>
      </c>
      <c r="C47" s="66">
        <f t="shared" ca="1" si="8"/>
        <v>10409</v>
      </c>
      <c r="D47" s="67">
        <f t="shared" ca="1" si="9"/>
        <v>12697</v>
      </c>
      <c r="E47" s="6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41">
        <f t="shared" ca="1" si="7"/>
        <v>0.41870434851579963</v>
      </c>
      <c r="AC47" s="53">
        <v>47</v>
      </c>
      <c r="AD47" s="53">
        <v>45</v>
      </c>
      <c r="AE47" s="53">
        <f t="shared" ca="1" si="13"/>
        <v>712</v>
      </c>
      <c r="AF47" s="75">
        <f t="shared" ca="1" si="14"/>
        <v>17.83296652565711</v>
      </c>
      <c r="AG47" s="41">
        <f t="shared" ca="1" si="15"/>
        <v>12697</v>
      </c>
      <c r="AH47" s="41"/>
      <c r="AI47" s="42"/>
      <c r="AJ47" s="41"/>
      <c r="AK47" s="41"/>
    </row>
    <row r="48" spans="1:37" ht="14.4" x14ac:dyDescent="0.3">
      <c r="A48" s="2">
        <v>46</v>
      </c>
      <c r="B48" s="65">
        <f t="shared" ca="1" si="16"/>
        <v>7789</v>
      </c>
      <c r="C48" s="66">
        <f t="shared" ca="1" si="8"/>
        <v>10648</v>
      </c>
      <c r="D48" s="67">
        <f t="shared" ca="1" si="9"/>
        <v>9825</v>
      </c>
      <c r="E48" s="6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41">
        <f t="shared" ca="1" si="7"/>
        <v>0.63341170773317867</v>
      </c>
      <c r="AC48" s="53">
        <v>48</v>
      </c>
      <c r="AD48" s="53">
        <v>46</v>
      </c>
      <c r="AE48" s="53">
        <f t="shared" ca="1" si="13"/>
        <v>725</v>
      </c>
      <c r="AF48" s="75">
        <f t="shared" ca="1" si="14"/>
        <v>13.552256441102653</v>
      </c>
      <c r="AG48" s="41">
        <f t="shared" ca="1" si="15"/>
        <v>9825</v>
      </c>
      <c r="AH48" s="41"/>
      <c r="AI48" s="42"/>
      <c r="AJ48" s="41"/>
      <c r="AK48" s="41"/>
    </row>
    <row r="49" spans="1:37" ht="14.4" x14ac:dyDescent="0.3">
      <c r="A49" s="2">
        <v>47</v>
      </c>
      <c r="B49" s="65">
        <f t="shared" ca="1" si="16"/>
        <v>3538</v>
      </c>
      <c r="C49" s="66">
        <f t="shared" ca="1" si="8"/>
        <v>10078</v>
      </c>
      <c r="D49" s="67">
        <f t="shared" ca="1" si="9"/>
        <v>10230</v>
      </c>
      <c r="E49" s="6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41">
        <f t="shared" ca="1" si="7"/>
        <v>0.92400539076675448</v>
      </c>
      <c r="AC49" s="53">
        <v>42</v>
      </c>
      <c r="AD49" s="53">
        <v>47</v>
      </c>
      <c r="AE49" s="53">
        <f t="shared" ca="1" si="13"/>
        <v>738</v>
      </c>
      <c r="AF49" s="75">
        <f t="shared" ca="1" si="14"/>
        <v>13.861167738714535</v>
      </c>
      <c r="AG49" s="41">
        <f t="shared" ca="1" si="15"/>
        <v>10230</v>
      </c>
      <c r="AH49" s="41"/>
      <c r="AI49" s="42"/>
      <c r="AJ49" s="41"/>
      <c r="AK49" s="41"/>
    </row>
    <row r="50" spans="1:37" ht="14.4" x14ac:dyDescent="0.3">
      <c r="A50" s="2">
        <v>48</v>
      </c>
      <c r="B50" s="65">
        <f t="shared" ca="1" si="16"/>
        <v>1779</v>
      </c>
      <c r="C50" s="66">
        <f t="shared" ca="1" si="8"/>
        <v>10162</v>
      </c>
      <c r="D50" s="67">
        <f t="shared" ca="1" si="9"/>
        <v>12114</v>
      </c>
      <c r="E50" s="6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41">
        <f t="shared" ca="1" si="7"/>
        <v>0.9977813540396242</v>
      </c>
      <c r="AC50" s="53">
        <v>43</v>
      </c>
      <c r="AD50" s="53">
        <v>48</v>
      </c>
      <c r="AE50" s="53">
        <f t="shared" ca="1" si="13"/>
        <v>751</v>
      </c>
      <c r="AF50" s="75">
        <f t="shared" ca="1" si="14"/>
        <v>16.130240870781936</v>
      </c>
      <c r="AG50" s="41">
        <f t="shared" ca="1" si="15"/>
        <v>12114</v>
      </c>
      <c r="AH50" s="41"/>
      <c r="AI50" s="42"/>
      <c r="AJ50" s="41"/>
      <c r="AK50" s="41"/>
    </row>
    <row r="51" spans="1:37" ht="14.4" x14ac:dyDescent="0.3">
      <c r="A51" s="2">
        <v>49</v>
      </c>
      <c r="B51" s="65">
        <f t="shared" ca="1" si="16"/>
        <v>10409</v>
      </c>
      <c r="C51" s="66">
        <f t="shared" ca="1" si="8"/>
        <v>11266</v>
      </c>
      <c r="D51" s="67">
        <f t="shared" ca="1" si="9"/>
        <v>10392</v>
      </c>
      <c r="E51" s="6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41">
        <f t="shared" ca="1" si="7"/>
        <v>0.53151237977857968</v>
      </c>
      <c r="AC51" s="53">
        <v>50</v>
      </c>
      <c r="AD51" s="53">
        <v>49</v>
      </c>
      <c r="AE51" s="53">
        <f t="shared" ca="1" si="13"/>
        <v>764</v>
      </c>
      <c r="AF51" s="75">
        <f t="shared" ca="1" si="14"/>
        <v>13.601846372119386</v>
      </c>
      <c r="AG51" s="41">
        <f t="shared" ca="1" si="15"/>
        <v>10392</v>
      </c>
      <c r="AH51" s="41"/>
      <c r="AI51" s="42"/>
      <c r="AJ51" s="41"/>
      <c r="AK51" s="41"/>
    </row>
    <row r="52" spans="1:37" ht="14.4" x14ac:dyDescent="0.3">
      <c r="A52" s="2">
        <v>50</v>
      </c>
      <c r="B52" s="65">
        <f t="shared" ca="1" si="16"/>
        <v>8766</v>
      </c>
      <c r="C52" s="66">
        <f t="shared" ca="1" si="8"/>
        <v>11255</v>
      </c>
      <c r="D52" s="67">
        <f t="shared" ca="1" si="9"/>
        <v>13392</v>
      </c>
      <c r="E52" s="6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41">
        <f t="shared" ca="1" si="7"/>
        <v>0.5536212256813976</v>
      </c>
      <c r="AC52" s="53">
        <v>49</v>
      </c>
      <c r="AD52" s="53">
        <v>50</v>
      </c>
      <c r="AE52" s="53">
        <f t="shared" ca="1" si="13"/>
        <v>777</v>
      </c>
      <c r="AF52" s="75">
        <f t="shared" ca="1" si="14"/>
        <v>17.235465345362133</v>
      </c>
      <c r="AG52" s="41">
        <f t="shared" ca="1" si="15"/>
        <v>13392</v>
      </c>
      <c r="AH52" s="41"/>
      <c r="AI52" s="42"/>
      <c r="AJ52" s="41"/>
      <c r="AK52" s="41"/>
    </row>
    <row r="53" spans="1:37" ht="14.4" x14ac:dyDescent="0.3">
      <c r="A53" s="2">
        <v>51</v>
      </c>
      <c r="B53" s="65">
        <f t="shared" ca="1" si="16"/>
        <v>15434</v>
      </c>
      <c r="C53" s="66">
        <f t="shared" ca="1" si="8"/>
        <v>11314</v>
      </c>
      <c r="D53" s="67">
        <f t="shared" ca="1" si="9"/>
        <v>11463</v>
      </c>
      <c r="E53" s="6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41">
        <f t="shared" ca="1" si="7"/>
        <v>9.7399301219953993E-2</v>
      </c>
      <c r="AC53" s="53">
        <v>51</v>
      </c>
      <c r="AD53" s="53">
        <v>51</v>
      </c>
      <c r="AE53" s="53">
        <f t="shared" ca="1" si="13"/>
        <v>790</v>
      </c>
      <c r="AF53" s="75">
        <f t="shared" ca="1" si="14"/>
        <v>14.510671965119384</v>
      </c>
      <c r="AG53" s="41">
        <f t="shared" ca="1" si="15"/>
        <v>11463</v>
      </c>
      <c r="AH53" s="41"/>
      <c r="AI53" s="42"/>
      <c r="AJ53" s="41"/>
      <c r="AK53" s="41"/>
    </row>
    <row r="54" spans="1:37" ht="14.4" x14ac:dyDescent="0.3">
      <c r="A54" s="2">
        <v>52</v>
      </c>
      <c r="B54" s="65">
        <f t="shared" ca="1" si="16"/>
        <v>9365</v>
      </c>
      <c r="C54" s="66">
        <f t="shared" ca="1" si="8"/>
        <v>12114</v>
      </c>
      <c r="D54" s="67">
        <f t="shared" ca="1" si="9"/>
        <v>9883</v>
      </c>
      <c r="E54" s="6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41">
        <f t="shared" ca="1" si="7"/>
        <v>0.60243393291043235</v>
      </c>
      <c r="AC54" s="53">
        <v>54</v>
      </c>
      <c r="AD54" s="53">
        <v>52</v>
      </c>
      <c r="AE54" s="53">
        <f t="shared" ca="1" si="13"/>
        <v>803</v>
      </c>
      <c r="AF54" s="75">
        <f t="shared" ca="1" si="14"/>
        <v>12.307413164499396</v>
      </c>
      <c r="AG54" s="41">
        <f t="shared" ca="1" si="15"/>
        <v>9883</v>
      </c>
      <c r="AH54" s="41"/>
      <c r="AI54" s="42"/>
      <c r="AJ54" s="41"/>
      <c r="AK54" s="41"/>
    </row>
    <row r="55" spans="1:37" ht="14.4" x14ac:dyDescent="0.3">
      <c r="A55" s="2">
        <v>53</v>
      </c>
      <c r="B55" s="65">
        <f t="shared" ca="1" si="16"/>
        <v>13105</v>
      </c>
      <c r="C55" s="66">
        <f t="shared" ca="1" si="8"/>
        <v>11989</v>
      </c>
      <c r="D55" s="67">
        <f t="shared" ca="1" si="9"/>
        <v>11314</v>
      </c>
      <c r="E55" s="6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41">
        <f t="shared" ca="1" si="7"/>
        <v>0.12410610531175781</v>
      </c>
      <c r="AC55" s="53">
        <v>53</v>
      </c>
      <c r="AD55" s="53">
        <v>53</v>
      </c>
      <c r="AE55" s="53">
        <f t="shared" ca="1" si="13"/>
        <v>816</v>
      </c>
      <c r="AF55" s="75">
        <f t="shared" ca="1" si="14"/>
        <v>13.864933774928772</v>
      </c>
      <c r="AG55" s="41">
        <f t="shared" ca="1" si="15"/>
        <v>11314</v>
      </c>
      <c r="AH55" s="41"/>
      <c r="AI55" s="41"/>
      <c r="AJ55" s="41"/>
      <c r="AK55" s="41"/>
    </row>
    <row r="56" spans="1:37" ht="14.4" x14ac:dyDescent="0.3">
      <c r="A56" s="2">
        <v>54</v>
      </c>
      <c r="B56" s="65">
        <f t="shared" ca="1" si="16"/>
        <v>2904</v>
      </c>
      <c r="C56" s="66">
        <f t="shared" ca="1" si="8"/>
        <v>11463</v>
      </c>
      <c r="D56" s="67">
        <f t="shared" ca="1" si="9"/>
        <v>12493</v>
      </c>
      <c r="E56" s="6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41">
        <f t="shared" ca="1" si="7"/>
        <v>0.97195155813510237</v>
      </c>
      <c r="AC56" s="53">
        <v>52</v>
      </c>
      <c r="AD56" s="53">
        <v>54</v>
      </c>
      <c r="AE56" s="53">
        <f t="shared" ca="1" si="13"/>
        <v>829</v>
      </c>
      <c r="AF56" s="75">
        <f t="shared" ca="1" si="14"/>
        <v>15.069822025579795</v>
      </c>
      <c r="AG56" s="41">
        <f t="shared" ca="1" si="15"/>
        <v>12493</v>
      </c>
      <c r="AH56" s="41"/>
      <c r="AI56" s="41"/>
      <c r="AJ56" s="41"/>
      <c r="AK56" s="41"/>
    </row>
    <row r="57" spans="1:37" ht="14.4" x14ac:dyDescent="0.3">
      <c r="A57" s="2">
        <v>55</v>
      </c>
      <c r="B57" s="65">
        <f t="shared" ca="1" si="16"/>
        <v>13392</v>
      </c>
      <c r="C57" s="66">
        <f t="shared" ca="1" si="8"/>
        <v>12172</v>
      </c>
      <c r="D57" s="67">
        <f t="shared" ca="1" si="9"/>
        <v>14710</v>
      </c>
      <c r="E57" s="6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41">
        <f t="shared" ca="1" si="7"/>
        <v>0.2812102086887116</v>
      </c>
      <c r="AC57" s="53">
        <v>55</v>
      </c>
      <c r="AD57" s="53">
        <v>55</v>
      </c>
      <c r="AE57" s="53">
        <f t="shared" ca="1" si="13"/>
        <v>842</v>
      </c>
      <c r="AF57" s="75">
        <f t="shared" ca="1" si="14"/>
        <v>17.470823205077838</v>
      </c>
      <c r="AG57" s="41">
        <f t="shared" ca="1" si="15"/>
        <v>14710</v>
      </c>
      <c r="AH57" s="41"/>
      <c r="AI57" s="41"/>
      <c r="AJ57" s="41"/>
      <c r="AK57" s="41"/>
    </row>
    <row r="58" spans="1:37" ht="14.4" x14ac:dyDescent="0.3">
      <c r="A58" s="2">
        <v>56</v>
      </c>
      <c r="B58" s="65">
        <f t="shared" ca="1" si="16"/>
        <v>13702</v>
      </c>
      <c r="C58" s="66">
        <f t="shared" ca="1" si="8"/>
        <v>12493</v>
      </c>
      <c r="D58" s="67">
        <f t="shared" ca="1" si="9"/>
        <v>12172</v>
      </c>
      <c r="E58" s="6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41">
        <f t="shared" ca="1" si="7"/>
        <v>0.18689786858206425</v>
      </c>
      <c r="AC58" s="53">
        <v>56</v>
      </c>
      <c r="AD58" s="53">
        <v>56</v>
      </c>
      <c r="AE58" s="53">
        <f t="shared" ca="1" si="13"/>
        <v>855</v>
      </c>
      <c r="AF58" s="75">
        <f t="shared" ca="1" si="14"/>
        <v>14.236095095448013</v>
      </c>
      <c r="AG58" s="41">
        <f t="shared" ca="1" si="15"/>
        <v>12172</v>
      </c>
      <c r="AH58" s="41"/>
      <c r="AI58" s="41"/>
      <c r="AJ58" s="41"/>
      <c r="AK58" s="41"/>
    </row>
    <row r="59" spans="1:37" ht="14.4" x14ac:dyDescent="0.3">
      <c r="A59" s="2">
        <v>57</v>
      </c>
      <c r="B59" s="65">
        <f t="shared" ca="1" si="16"/>
        <v>7788</v>
      </c>
      <c r="C59" s="66">
        <f t="shared" ca="1" si="8"/>
        <v>12753</v>
      </c>
      <c r="D59" s="67">
        <f t="shared" ca="1" si="9"/>
        <v>10078</v>
      </c>
      <c r="E59" s="6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41">
        <f t="shared" ca="1" si="7"/>
        <v>0.72008577447375322</v>
      </c>
      <c r="AC59" s="53">
        <v>58</v>
      </c>
      <c r="AD59" s="53">
        <v>57</v>
      </c>
      <c r="AE59" s="53">
        <f t="shared" ca="1" si="13"/>
        <v>868</v>
      </c>
      <c r="AF59" s="75">
        <f t="shared" ca="1" si="14"/>
        <v>11.610376582094382</v>
      </c>
      <c r="AG59" s="41">
        <f t="shared" ca="1" si="15"/>
        <v>10078</v>
      </c>
      <c r="AH59" s="41"/>
      <c r="AI59" s="41"/>
      <c r="AJ59" s="41"/>
      <c r="AK59" s="41"/>
    </row>
    <row r="60" spans="1:37" ht="14.4" x14ac:dyDescent="0.3">
      <c r="A60" s="2">
        <v>58</v>
      </c>
      <c r="B60" s="65">
        <f t="shared" ca="1" si="16"/>
        <v>15556</v>
      </c>
      <c r="C60" s="66">
        <f t="shared" ca="1" si="8"/>
        <v>13702</v>
      </c>
      <c r="D60" s="67">
        <f t="shared" ca="1" si="9"/>
        <v>13702</v>
      </c>
      <c r="E60" s="6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41">
        <f t="shared" ca="1" si="7"/>
        <v>0.1847402841054564</v>
      </c>
      <c r="AC60" s="53">
        <v>62</v>
      </c>
      <c r="AD60" s="53">
        <v>58</v>
      </c>
      <c r="AE60" s="53">
        <f t="shared" ca="1" si="13"/>
        <v>881</v>
      </c>
      <c r="AF60" s="75">
        <f t="shared" ca="1" si="14"/>
        <v>15.552311373841766</v>
      </c>
      <c r="AG60" s="41">
        <f t="shared" ca="1" si="15"/>
        <v>13702</v>
      </c>
      <c r="AH60" s="41"/>
      <c r="AI60" s="41"/>
      <c r="AJ60" s="41"/>
      <c r="AK60" s="41"/>
    </row>
    <row r="61" spans="1:37" ht="14.4" x14ac:dyDescent="0.3">
      <c r="A61" s="2">
        <v>59</v>
      </c>
      <c r="B61" s="65">
        <f t="shared" ca="1" si="16"/>
        <v>11314</v>
      </c>
      <c r="C61" s="66">
        <f t="shared" ca="1" si="8"/>
        <v>12697</v>
      </c>
      <c r="D61" s="67">
        <f t="shared" ca="1" si="9"/>
        <v>14182</v>
      </c>
      <c r="E61" s="68"/>
      <c r="AB61" s="41">
        <f t="shared" ca="1" si="7"/>
        <v>0.22713174665621894</v>
      </c>
      <c r="AC61" s="53">
        <v>57</v>
      </c>
      <c r="AD61" s="53">
        <v>59</v>
      </c>
      <c r="AE61" s="53">
        <f t="shared" ca="1" si="13"/>
        <v>894</v>
      </c>
      <c r="AF61" s="75">
        <f t="shared" ca="1" si="14"/>
        <v>15.863114795403114</v>
      </c>
      <c r="AG61" s="41">
        <f t="shared" ca="1" si="15"/>
        <v>14182</v>
      </c>
      <c r="AH61" s="41"/>
      <c r="AI61" s="41"/>
      <c r="AJ61" s="41"/>
      <c r="AK61" s="41"/>
    </row>
    <row r="62" spans="1:37" ht="14.4" x14ac:dyDescent="0.3">
      <c r="A62" s="2">
        <v>60</v>
      </c>
      <c r="B62" s="65">
        <f t="shared" ca="1" si="16"/>
        <v>19194</v>
      </c>
      <c r="C62" s="66">
        <f t="shared" ca="1" si="8"/>
        <v>13105</v>
      </c>
      <c r="D62" s="67">
        <f t="shared" ca="1" si="9"/>
        <v>15556</v>
      </c>
      <c r="E62" s="68"/>
      <c r="AB62" s="41">
        <f t="shared" ca="1" si="7"/>
        <v>3.3566219567025324E-2</v>
      </c>
      <c r="AC62" s="53">
        <v>59</v>
      </c>
      <c r="AD62" s="53">
        <v>60</v>
      </c>
      <c r="AE62" s="53">
        <f t="shared" ca="1" si="13"/>
        <v>907</v>
      </c>
      <c r="AF62" s="75">
        <f t="shared" ca="1" si="14"/>
        <v>17.15062614116809</v>
      </c>
      <c r="AG62" s="41">
        <f t="shared" ca="1" si="15"/>
        <v>15556</v>
      </c>
      <c r="AH62" s="41"/>
      <c r="AI62" s="41"/>
      <c r="AJ62" s="41"/>
      <c r="AK62" s="41"/>
    </row>
    <row r="63" spans="1:37" ht="14.4" x14ac:dyDescent="0.3">
      <c r="A63" s="2">
        <v>61</v>
      </c>
      <c r="B63" s="65">
        <f t="shared" ca="1" si="16"/>
        <v>8725</v>
      </c>
      <c r="C63" s="66">
        <f t="shared" ca="1" si="8"/>
        <v>13392</v>
      </c>
      <c r="D63" s="67">
        <f t="shared" ca="1" si="9"/>
        <v>10648</v>
      </c>
      <c r="E63" s="68"/>
      <c r="AB63" s="41">
        <f t="shared" ca="1" si="7"/>
        <v>0.48839563086372351</v>
      </c>
      <c r="AC63" s="53">
        <v>60</v>
      </c>
      <c r="AD63" s="53">
        <v>61</v>
      </c>
      <c r="AE63" s="53">
        <f t="shared" ca="1" si="13"/>
        <v>920</v>
      </c>
      <c r="AF63" s="75">
        <f t="shared" ca="1" si="14"/>
        <v>11.573757986383365</v>
      </c>
      <c r="AG63" s="41">
        <f t="shared" ca="1" si="15"/>
        <v>10648</v>
      </c>
      <c r="AH63" s="41"/>
      <c r="AI63" s="41"/>
      <c r="AJ63" s="41"/>
      <c r="AK63" s="41"/>
    </row>
    <row r="64" spans="1:37" ht="14.4" x14ac:dyDescent="0.3">
      <c r="A64" s="2">
        <v>62</v>
      </c>
      <c r="B64" s="65">
        <f t="shared" ca="1" si="16"/>
        <v>4219</v>
      </c>
      <c r="C64" s="66">
        <f t="shared" ca="1" si="8"/>
        <v>13571</v>
      </c>
      <c r="D64" s="67">
        <f t="shared" ca="1" si="9"/>
        <v>13571</v>
      </c>
      <c r="E64" s="68"/>
      <c r="AB64" s="41">
        <f t="shared" ca="1" si="7"/>
        <v>0.89687362255324121</v>
      </c>
      <c r="AC64" s="53">
        <v>61</v>
      </c>
      <c r="AD64" s="53">
        <v>62</v>
      </c>
      <c r="AE64" s="53">
        <f t="shared" ca="1" si="13"/>
        <v>933</v>
      </c>
      <c r="AF64" s="75">
        <f t="shared" ca="1" si="14"/>
        <v>14.546018445900275</v>
      </c>
      <c r="AG64" s="41">
        <f t="shared" ca="1" si="15"/>
        <v>13571</v>
      </c>
      <c r="AH64" s="41"/>
      <c r="AI64" s="41"/>
      <c r="AJ64" s="41"/>
      <c r="AK64" s="41"/>
    </row>
    <row r="65" spans="1:38" ht="14.4" x14ac:dyDescent="0.3">
      <c r="A65" s="2">
        <v>63</v>
      </c>
      <c r="B65" s="65">
        <f t="shared" ca="1" si="16"/>
        <v>4668</v>
      </c>
      <c r="C65" s="66">
        <f t="shared" ca="1" si="8"/>
        <v>14193</v>
      </c>
      <c r="D65" s="67">
        <f t="shared" ca="1" si="9"/>
        <v>15557</v>
      </c>
      <c r="E65" s="68"/>
      <c r="AB65" s="41">
        <f t="shared" ca="1" si="7"/>
        <v>0.83230161165532723</v>
      </c>
      <c r="AC65" s="53">
        <v>64</v>
      </c>
      <c r="AD65" s="53">
        <v>63</v>
      </c>
      <c r="AE65" s="53">
        <f t="shared" ca="1" si="13"/>
        <v>946</v>
      </c>
      <c r="AF65" s="75">
        <f t="shared" ca="1" si="14"/>
        <v>16.444680244598867</v>
      </c>
      <c r="AG65" s="41">
        <f t="shared" ca="1" si="15"/>
        <v>15557</v>
      </c>
      <c r="AH65" s="41"/>
      <c r="AI65" s="41"/>
      <c r="AJ65" s="41"/>
      <c r="AK65" s="41"/>
    </row>
    <row r="66" spans="1:38" ht="14.4" x14ac:dyDescent="0.3">
      <c r="A66" s="2">
        <v>64</v>
      </c>
      <c r="B66" s="65">
        <f t="shared" ca="1" si="16"/>
        <v>9825</v>
      </c>
      <c r="C66" s="66">
        <f t="shared" ca="1" si="8"/>
        <v>14182</v>
      </c>
      <c r="D66" s="67">
        <f t="shared" ca="1" si="9"/>
        <v>16595</v>
      </c>
      <c r="E66" s="68"/>
      <c r="AB66" s="41">
        <f t="shared" ca="1" si="7"/>
        <v>0.35682120559672981</v>
      </c>
      <c r="AC66" s="53">
        <v>63</v>
      </c>
      <c r="AD66" s="53">
        <v>64</v>
      </c>
      <c r="AE66" s="53">
        <f t="shared" ca="1" si="13"/>
        <v>959</v>
      </c>
      <c r="AF66" s="75">
        <f t="shared" ca="1" si="14"/>
        <v>17.304983153964294</v>
      </c>
      <c r="AG66" s="41">
        <f t="shared" ca="1" si="15"/>
        <v>16595</v>
      </c>
      <c r="AH66" s="41"/>
      <c r="AI66" s="41"/>
      <c r="AJ66" s="41"/>
      <c r="AK66" s="41"/>
    </row>
    <row r="67" spans="1:38" ht="14.4" x14ac:dyDescent="0.3">
      <c r="A67" s="2">
        <v>65</v>
      </c>
      <c r="B67" s="65">
        <f t="shared" ca="1" si="16"/>
        <v>14193</v>
      </c>
      <c r="C67" s="66">
        <f t="shared" ca="1" si="8"/>
        <v>15557</v>
      </c>
      <c r="D67" s="67">
        <f t="shared" ca="1" si="9"/>
        <v>16126</v>
      </c>
      <c r="E67" s="68"/>
      <c r="AB67" s="41">
        <f t="shared" ref="AB67:AB77" ca="1" si="17">RAND()</f>
        <v>9.2570422356622384E-2</v>
      </c>
      <c r="AC67" s="53">
        <v>68</v>
      </c>
      <c r="AD67" s="53">
        <v>65</v>
      </c>
      <c r="AE67" s="53">
        <f t="shared" ca="1" si="13"/>
        <v>972</v>
      </c>
      <c r="AF67" s="75">
        <f t="shared" ca="1" si="14"/>
        <v>16.590690363075591</v>
      </c>
      <c r="AG67" s="41">
        <f t="shared" ca="1" si="15"/>
        <v>16126</v>
      </c>
      <c r="AH67" s="41"/>
      <c r="AI67" s="41"/>
      <c r="AJ67" s="41"/>
      <c r="AK67" s="41"/>
    </row>
    <row r="68" spans="1:38" ht="14.4" x14ac:dyDescent="0.3">
      <c r="A68" s="2">
        <v>66</v>
      </c>
      <c r="B68" s="65">
        <f t="shared" ref="B68:B77" ca="1" si="18">INDEX($AG$3:$AG$77,RANK(AB68,$AB$3:$AB$77))</f>
        <v>16595</v>
      </c>
      <c r="C68" s="66">
        <f t="shared" ref="C68:C77" ca="1" si="19">SMALL($AG$3:$AG$77,AC68)</f>
        <v>15434</v>
      </c>
      <c r="D68" s="67">
        <f t="shared" ref="D68:D77" ca="1" si="20">AG68</f>
        <v>11989</v>
      </c>
      <c r="E68" s="68"/>
      <c r="AB68" s="41">
        <f t="shared" ca="1" si="17"/>
        <v>0.14422257231124191</v>
      </c>
      <c r="AC68" s="53">
        <v>66</v>
      </c>
      <c r="AD68" s="53">
        <v>66</v>
      </c>
      <c r="AE68" s="53">
        <f t="shared" ref="AE68:AE77" ca="1" si="21">INT($AH$1+$AI$1*AD68)</f>
        <v>985</v>
      </c>
      <c r="AF68" s="75">
        <f t="shared" ref="AF68:AF77" ca="1" si="22">(((IF(MOD(AD68,5)&lt;&gt;0,MOD(AD68,5),5))+12)+_xlfn.NORM.S.INV(RAND()))</f>
        <v>12.171107797798523</v>
      </c>
      <c r="AG68" s="41">
        <f t="shared" ref="AG68:AG76" ca="1" si="23">ROUND(AE68*AF68,0)</f>
        <v>11989</v>
      </c>
      <c r="AH68" s="41"/>
      <c r="AI68" s="41"/>
      <c r="AJ68" s="41"/>
      <c r="AK68" s="41"/>
    </row>
    <row r="69" spans="1:38" ht="14.4" x14ac:dyDescent="0.3">
      <c r="A69" s="2">
        <v>67</v>
      </c>
      <c r="B69" s="65">
        <f t="shared" ca="1" si="18"/>
        <v>12114</v>
      </c>
      <c r="C69" s="66">
        <f t="shared" ca="1" si="19"/>
        <v>15556</v>
      </c>
      <c r="D69" s="67">
        <f t="shared" ca="1" si="20"/>
        <v>12753</v>
      </c>
      <c r="E69" s="68"/>
      <c r="AB69" s="41">
        <f t="shared" ca="1" si="17"/>
        <v>0.28649463785183571</v>
      </c>
      <c r="AC69" s="53">
        <v>67</v>
      </c>
      <c r="AD69" s="53">
        <v>67</v>
      </c>
      <c r="AE69" s="53">
        <f t="shared" ca="1" si="21"/>
        <v>998</v>
      </c>
      <c r="AF69" s="75">
        <f t="shared" ca="1" si="22"/>
        <v>12.779008956496867</v>
      </c>
      <c r="AG69" s="41">
        <f t="shared" ca="1" si="23"/>
        <v>12753</v>
      </c>
      <c r="AH69" s="41"/>
      <c r="AI69" s="41"/>
      <c r="AJ69" s="41"/>
      <c r="AK69" s="41"/>
    </row>
    <row r="70" spans="1:38" ht="14.4" x14ac:dyDescent="0.3">
      <c r="A70" s="2">
        <v>68</v>
      </c>
      <c r="B70" s="65">
        <f t="shared" ca="1" si="18"/>
        <v>2542</v>
      </c>
      <c r="C70" s="66">
        <f t="shared" ca="1" si="19"/>
        <v>14710</v>
      </c>
      <c r="D70" s="67">
        <f t="shared" ca="1" si="20"/>
        <v>13105</v>
      </c>
      <c r="E70" s="68"/>
      <c r="AB70" s="41">
        <f t="shared" ca="1" si="17"/>
        <v>0.98336659307877294</v>
      </c>
      <c r="AC70" s="53">
        <v>65</v>
      </c>
      <c r="AD70" s="53">
        <v>68</v>
      </c>
      <c r="AE70" s="53">
        <f t="shared" ca="1" si="21"/>
        <v>1011</v>
      </c>
      <c r="AF70" s="75">
        <f t="shared" ca="1" si="22"/>
        <v>12.961949991970815</v>
      </c>
      <c r="AG70" s="41">
        <f t="shared" ca="1" si="23"/>
        <v>13105</v>
      </c>
      <c r="AH70" s="41"/>
      <c r="AI70" s="41"/>
      <c r="AJ70" s="41"/>
      <c r="AK70" s="41"/>
    </row>
    <row r="71" spans="1:38" ht="14.4" x14ac:dyDescent="0.3">
      <c r="A71" s="2">
        <v>69</v>
      </c>
      <c r="B71" s="65">
        <f t="shared" ca="1" si="18"/>
        <v>4252</v>
      </c>
      <c r="C71" s="66">
        <f t="shared" ca="1" si="19"/>
        <v>16126</v>
      </c>
      <c r="D71" s="67">
        <f t="shared" ca="1" si="20"/>
        <v>15434</v>
      </c>
      <c r="E71" s="68"/>
      <c r="AB71" s="41">
        <f t="shared" ca="1" si="17"/>
        <v>0.91772211796724767</v>
      </c>
      <c r="AC71" s="53">
        <v>69</v>
      </c>
      <c r="AD71" s="53">
        <v>69</v>
      </c>
      <c r="AE71" s="53">
        <f t="shared" ca="1" si="21"/>
        <v>1024</v>
      </c>
      <c r="AF71" s="75">
        <f t="shared" ca="1" si="22"/>
        <v>15.07272549109339</v>
      </c>
      <c r="AG71" s="41">
        <f t="shared" ca="1" si="23"/>
        <v>15434</v>
      </c>
      <c r="AH71" s="41"/>
      <c r="AI71" s="41"/>
      <c r="AJ71" s="41"/>
      <c r="AK71" s="41"/>
    </row>
    <row r="72" spans="1:38" ht="14.4" x14ac:dyDescent="0.3">
      <c r="A72" s="2">
        <v>70</v>
      </c>
      <c r="B72" s="65">
        <f t="shared" ca="1" si="18"/>
        <v>9883</v>
      </c>
      <c r="C72" s="66">
        <f t="shared" ca="1" si="19"/>
        <v>16194</v>
      </c>
      <c r="D72" s="67">
        <f t="shared" ca="1" si="20"/>
        <v>18774</v>
      </c>
      <c r="E72" s="68"/>
      <c r="AB72" s="41">
        <f t="shared" ca="1" si="17"/>
        <v>0.27040603448612532</v>
      </c>
      <c r="AC72" s="53">
        <v>70</v>
      </c>
      <c r="AD72" s="53">
        <v>70</v>
      </c>
      <c r="AE72" s="53">
        <f t="shared" ca="1" si="21"/>
        <v>1037</v>
      </c>
      <c r="AF72" s="75">
        <f t="shared" ca="1" si="22"/>
        <v>18.104547792234449</v>
      </c>
      <c r="AG72" s="41">
        <f t="shared" ca="1" si="23"/>
        <v>18774</v>
      </c>
      <c r="AH72" s="41"/>
      <c r="AI72" s="41"/>
      <c r="AJ72" s="41"/>
      <c r="AK72" s="41"/>
    </row>
    <row r="73" spans="1:38" ht="14.4" x14ac:dyDescent="0.3">
      <c r="A73" s="2">
        <v>71</v>
      </c>
      <c r="B73" s="65">
        <f t="shared" ca="1" si="18"/>
        <v>13571</v>
      </c>
      <c r="C73" s="66">
        <f t="shared" ca="1" si="19"/>
        <v>16775</v>
      </c>
      <c r="D73" s="67">
        <f t="shared" ca="1" si="20"/>
        <v>14193</v>
      </c>
      <c r="E73" s="68"/>
      <c r="AB73" s="41">
        <f t="shared" ca="1" si="17"/>
        <v>0.17994324139788775</v>
      </c>
      <c r="AC73" s="53">
        <v>72</v>
      </c>
      <c r="AD73" s="53">
        <v>71</v>
      </c>
      <c r="AE73" s="53">
        <f t="shared" ca="1" si="21"/>
        <v>1050</v>
      </c>
      <c r="AF73" s="75">
        <f t="shared" ca="1" si="22"/>
        <v>13.517144978991052</v>
      </c>
      <c r="AG73" s="41">
        <f t="shared" ca="1" si="23"/>
        <v>14193</v>
      </c>
      <c r="AH73" s="41"/>
      <c r="AI73" s="41"/>
      <c r="AJ73" s="41"/>
      <c r="AK73" s="41"/>
    </row>
    <row r="74" spans="1:38" ht="14.4" x14ac:dyDescent="0.3">
      <c r="A74" s="2">
        <v>72</v>
      </c>
      <c r="B74" s="65">
        <f t="shared" ca="1" si="18"/>
        <v>6891</v>
      </c>
      <c r="C74" s="66">
        <f t="shared" ca="1" si="19"/>
        <v>19194</v>
      </c>
      <c r="D74" s="67">
        <f t="shared" ca="1" si="20"/>
        <v>16194</v>
      </c>
      <c r="E74" s="68"/>
      <c r="AB74" s="41">
        <f t="shared" ca="1" si="17"/>
        <v>0.62884149106936815</v>
      </c>
      <c r="AC74" s="53">
        <v>75</v>
      </c>
      <c r="AD74" s="53">
        <v>72</v>
      </c>
      <c r="AE74" s="53">
        <f t="shared" ca="1" si="21"/>
        <v>1063</v>
      </c>
      <c r="AF74" s="75">
        <f t="shared" ca="1" si="22"/>
        <v>15.234355368510549</v>
      </c>
      <c r="AG74" s="41">
        <f t="shared" ca="1" si="23"/>
        <v>16194</v>
      </c>
      <c r="AH74" s="41"/>
      <c r="AI74" s="41"/>
      <c r="AJ74" s="41"/>
      <c r="AK74" s="41"/>
    </row>
    <row r="75" spans="1:38" ht="14.4" x14ac:dyDescent="0.3">
      <c r="A75" s="2">
        <v>73</v>
      </c>
      <c r="B75" s="65">
        <f t="shared" ca="1" si="18"/>
        <v>16126</v>
      </c>
      <c r="C75" s="66">
        <f t="shared" ca="1" si="19"/>
        <v>16595</v>
      </c>
      <c r="D75" s="67">
        <f t="shared" ca="1" si="20"/>
        <v>16775</v>
      </c>
      <c r="E75" s="68"/>
      <c r="AB75" s="41">
        <f t="shared" ca="1" si="17"/>
        <v>0.14229431250479185</v>
      </c>
      <c r="AC75" s="53">
        <v>71</v>
      </c>
      <c r="AD75" s="53">
        <v>73</v>
      </c>
      <c r="AE75" s="53">
        <f t="shared" ca="1" si="21"/>
        <v>1076</v>
      </c>
      <c r="AF75" s="75">
        <f t="shared" ca="1" si="22"/>
        <v>15.590568794762929</v>
      </c>
      <c r="AG75" s="41">
        <f t="shared" ca="1" si="23"/>
        <v>16775</v>
      </c>
      <c r="AH75" s="41"/>
      <c r="AI75" s="41"/>
      <c r="AJ75" s="41"/>
      <c r="AK75" s="41"/>
    </row>
    <row r="76" spans="1:38" ht="14.4" x14ac:dyDescent="0.3">
      <c r="A76" s="2">
        <v>74</v>
      </c>
      <c r="B76" s="65">
        <f t="shared" ca="1" si="18"/>
        <v>14710</v>
      </c>
      <c r="C76" s="66">
        <f t="shared" ca="1" si="19"/>
        <v>17546</v>
      </c>
      <c r="D76" s="67">
        <f t="shared" ca="1" si="20"/>
        <v>17546</v>
      </c>
      <c r="E76" s="68"/>
      <c r="AB76" s="41">
        <f t="shared" ca="1" si="17"/>
        <v>0.19959789896273183</v>
      </c>
      <c r="AC76" s="53">
        <v>73</v>
      </c>
      <c r="AD76" s="53">
        <v>74</v>
      </c>
      <c r="AE76" s="53">
        <f t="shared" ca="1" si="21"/>
        <v>1089</v>
      </c>
      <c r="AF76" s="75">
        <f t="shared" ca="1" si="22"/>
        <v>16.111647987357795</v>
      </c>
      <c r="AG76" s="41">
        <f t="shared" ca="1" si="23"/>
        <v>17546</v>
      </c>
      <c r="AH76" s="41"/>
      <c r="AI76" s="41"/>
      <c r="AJ76" s="41"/>
      <c r="AK76" s="41"/>
    </row>
    <row r="77" spans="1:38" ht="14.4" x14ac:dyDescent="0.3">
      <c r="A77" s="2">
        <v>75</v>
      </c>
      <c r="B77" s="65">
        <f t="shared" ca="1" si="18"/>
        <v>10392</v>
      </c>
      <c r="C77" s="66">
        <f t="shared" ca="1" si="19"/>
        <v>18774</v>
      </c>
      <c r="D77" s="67">
        <f t="shared" ca="1" si="20"/>
        <v>19194</v>
      </c>
      <c r="E77" s="68"/>
      <c r="AB77" s="41">
        <f t="shared" ca="1" si="17"/>
        <v>0.28189208808550026</v>
      </c>
      <c r="AC77" s="53">
        <v>74</v>
      </c>
      <c r="AD77" s="53">
        <v>75</v>
      </c>
      <c r="AE77" s="53">
        <f t="shared" ca="1" si="21"/>
        <v>1102</v>
      </c>
      <c r="AF77" s="75">
        <f t="shared" ca="1" si="22"/>
        <v>17.417689839611082</v>
      </c>
      <c r="AG77" s="41">
        <f ca="1">ROUND(AE77*AF77,0)</f>
        <v>19194</v>
      </c>
      <c r="AH77" s="41"/>
      <c r="AI77" s="41"/>
      <c r="AJ77" s="41"/>
      <c r="AK77" s="41"/>
    </row>
    <row r="78" spans="1:38" ht="14.4" x14ac:dyDescent="0.3">
      <c r="A78" s="31"/>
      <c r="B78" s="31"/>
      <c r="C78" s="31"/>
      <c r="D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spans="1:38" ht="14.4" x14ac:dyDescent="0.3">
      <c r="A79" s="31"/>
      <c r="B79" s="31"/>
      <c r="C79" s="31"/>
      <c r="D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spans="1:38" ht="14.4" x14ac:dyDescent="0.3">
      <c r="A80" s="31"/>
      <c r="B80" s="31"/>
      <c r="C80" s="31"/>
      <c r="D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spans="1:38" ht="14.4" x14ac:dyDescent="0.3">
      <c r="A81" s="31"/>
      <c r="B81" s="31"/>
      <c r="C81" s="31"/>
      <c r="D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spans="1:38" ht="14.4" x14ac:dyDescent="0.3"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</row>
    <row r="83" spans="1:38" ht="14.4" x14ac:dyDescent="0.3"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</row>
    <row r="84" spans="1:38" ht="14.4" x14ac:dyDescent="0.3"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spans="1:38" ht="14.4" x14ac:dyDescent="0.3"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</row>
    <row r="86" spans="1:38" ht="14.4" x14ac:dyDescent="0.3"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</row>
    <row r="87" spans="1:38" ht="14.4" x14ac:dyDescent="0.3"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</row>
    <row r="88" spans="1:38" ht="14.4" x14ac:dyDescent="0.3"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89" spans="1:38" ht="14.4" x14ac:dyDescent="0.3"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zoomScale="92" zoomScaleNormal="92" workbookViewId="0">
      <selection activeCell="A3" sqref="A3"/>
    </sheetView>
  </sheetViews>
  <sheetFormatPr defaultRowHeight="14.4" x14ac:dyDescent="0.3"/>
  <cols>
    <col min="2" max="3" width="4.88671875" customWidth="1"/>
    <col min="4" max="4" width="10" bestFit="1" customWidth="1"/>
    <col min="5" max="6" width="7.88671875" bestFit="1" customWidth="1"/>
    <col min="7" max="7" width="19" style="29" bestFit="1" customWidth="1"/>
    <col min="8" max="8" width="12.44140625" style="4" customWidth="1"/>
    <col min="9" max="9" width="9.109375" style="4" bestFit="1" customWidth="1"/>
    <col min="10" max="10" width="9.109375" style="4" customWidth="1"/>
    <col min="11" max="11" width="27.109375" bestFit="1" customWidth="1"/>
    <col min="12" max="12" width="19.5546875" bestFit="1" customWidth="1"/>
    <col min="13" max="13" width="11.6640625" bestFit="1" customWidth="1"/>
    <col min="14" max="14" width="14.5546875" bestFit="1" customWidth="1"/>
    <col min="15" max="15" width="12" bestFit="1" customWidth="1"/>
    <col min="16" max="16" width="8.88671875" bestFit="1" customWidth="1"/>
    <col min="17" max="17" width="13.44140625" bestFit="1" customWidth="1"/>
    <col min="18" max="18" width="11" bestFit="1" customWidth="1"/>
  </cols>
  <sheetData>
    <row r="1" spans="1:18" ht="16.8" thickBot="1" x14ac:dyDescent="0.35">
      <c r="C1" s="29" t="s">
        <v>54</v>
      </c>
      <c r="D1" s="1">
        <f>AVERAGE(C3:C52)</f>
        <v>29.88</v>
      </c>
      <c r="E1" s="30" t="s">
        <v>69</v>
      </c>
      <c r="F1" s="4">
        <f>AVERAGE(B3:B52)</f>
        <v>25.5</v>
      </c>
      <c r="G1" s="30" t="s">
        <v>72</v>
      </c>
      <c r="H1" s="109">
        <f>SQRT(SUM(G3:G52))</f>
        <v>102.04165815979276</v>
      </c>
      <c r="K1" s="29" t="s">
        <v>57</v>
      </c>
    </row>
    <row r="2" spans="1:18" ht="16.8" thickBot="1" x14ac:dyDescent="0.35">
      <c r="A2" s="3" t="s">
        <v>52</v>
      </c>
      <c r="B2" s="16" t="s">
        <v>24</v>
      </c>
      <c r="C2" s="18" t="s">
        <v>0</v>
      </c>
      <c r="D2" s="18" t="s">
        <v>25</v>
      </c>
      <c r="E2" s="17" t="s">
        <v>26</v>
      </c>
      <c r="F2" s="107" t="s">
        <v>53</v>
      </c>
      <c r="G2" s="30" t="s">
        <v>70</v>
      </c>
      <c r="K2">
        <f>1-K14/K15</f>
        <v>0.10432856498826781</v>
      </c>
      <c r="L2" t="s">
        <v>27</v>
      </c>
      <c r="R2" t="s">
        <v>42</v>
      </c>
    </row>
    <row r="3" spans="1:18" ht="15" thickBot="1" x14ac:dyDescent="0.35">
      <c r="A3" s="19">
        <f ca="1">'0.ArdiData'!C3</f>
        <v>1779</v>
      </c>
      <c r="B3" s="20">
        <v>1</v>
      </c>
      <c r="C3" s="32">
        <v>26</v>
      </c>
      <c r="D3" s="34">
        <f>$M$20+$M$21*B3</f>
        <v>19.818823529411763</v>
      </c>
      <c r="E3" s="21">
        <f>(C3-D3)^2</f>
        <v>38.206942560553664</v>
      </c>
      <c r="F3" s="35">
        <f t="shared" ref="F3:F34" si="0">(C3-$D$1)^2</f>
        <v>15.054399999999992</v>
      </c>
      <c r="G3" s="1">
        <f>(B3-$F$1)^2</f>
        <v>600.25</v>
      </c>
      <c r="H3" s="25"/>
      <c r="I3"/>
      <c r="J3"/>
    </row>
    <row r="4" spans="1:18" x14ac:dyDescent="0.3">
      <c r="A4" s="19">
        <f ca="1">'0.ArdiData'!C4</f>
        <v>2191</v>
      </c>
      <c r="B4" s="20">
        <v>2</v>
      </c>
      <c r="C4" s="32">
        <v>22</v>
      </c>
      <c r="D4" s="34">
        <f>$M$20+$M$21*B4</f>
        <v>20.229483793517407</v>
      </c>
      <c r="E4" s="21">
        <f t="shared" ref="E4:E34" si="1">(C4-D4)^2</f>
        <v>3.1347276374175133</v>
      </c>
      <c r="F4" s="35">
        <f t="shared" si="0"/>
        <v>62.094399999999986</v>
      </c>
      <c r="G4" s="1">
        <f t="shared" ref="G4:G34" si="2">(B4-$F$1)^2</f>
        <v>552.25</v>
      </c>
      <c r="H4" s="25"/>
      <c r="I4" s="27"/>
      <c r="J4" s="27"/>
      <c r="L4" s="6" t="s">
        <v>28</v>
      </c>
      <c r="M4" s="6"/>
      <c r="N4" s="98"/>
      <c r="O4" s="99"/>
    </row>
    <row r="5" spans="1:18" x14ac:dyDescent="0.3">
      <c r="A5" s="19">
        <f ca="1">'0.ArdiData'!C5</f>
        <v>2542</v>
      </c>
      <c r="B5" s="20">
        <v>3</v>
      </c>
      <c r="C5" s="32">
        <v>11</v>
      </c>
      <c r="D5" s="34">
        <f t="shared" ref="D5:D52" si="3">$M$20+$M$21*B5</f>
        <v>20.640144057623047</v>
      </c>
      <c r="E5" s="21">
        <f>(C5-D5)^2</f>
        <v>92.932377451724946</v>
      </c>
      <c r="F5" s="35">
        <f t="shared" si="0"/>
        <v>356.45439999999996</v>
      </c>
      <c r="G5" s="1">
        <f t="shared" si="2"/>
        <v>506.25</v>
      </c>
      <c r="H5" s="25"/>
      <c r="I5" s="27"/>
      <c r="J5" s="27"/>
      <c r="K5" s="7" t="s">
        <v>29</v>
      </c>
      <c r="L5" s="8" t="s">
        <v>30</v>
      </c>
      <c r="M5" s="9">
        <v>0.32299932660652342</v>
      </c>
      <c r="N5" s="100">
        <f>CORREL(B3:B52,C3:C52)</f>
        <v>0.32299932660652309</v>
      </c>
      <c r="O5" s="99"/>
    </row>
    <row r="6" spans="1:18" x14ac:dyDescent="0.3">
      <c r="A6" s="19">
        <f ca="1">'0.ArdiData'!C6</f>
        <v>2671</v>
      </c>
      <c r="B6" s="20">
        <v>4</v>
      </c>
      <c r="C6" s="32">
        <v>3</v>
      </c>
      <c r="D6" s="34">
        <f t="shared" si="3"/>
        <v>21.050804321728691</v>
      </c>
      <c r="E6" s="21">
        <f>(C6-D6)^2</f>
        <v>325.83153666133921</v>
      </c>
      <c r="F6" s="35">
        <f t="shared" si="0"/>
        <v>722.53439999999989</v>
      </c>
      <c r="G6" s="1">
        <f t="shared" si="2"/>
        <v>462.25</v>
      </c>
      <c r="H6" s="25"/>
      <c r="I6" s="27"/>
      <c r="J6" s="27"/>
      <c r="K6" s="7" t="s">
        <v>31</v>
      </c>
      <c r="L6" s="8" t="s">
        <v>32</v>
      </c>
      <c r="M6" s="9">
        <v>0.10432856498826758</v>
      </c>
      <c r="N6" s="100">
        <f>N5^2</f>
        <v>0.10432856498826737</v>
      </c>
      <c r="O6" s="99">
        <f>1-K14/K15</f>
        <v>0.10432856498826781</v>
      </c>
    </row>
    <row r="7" spans="1:18" x14ac:dyDescent="0.3">
      <c r="A7" s="19">
        <f ca="1">'0.ArdiData'!C7</f>
        <v>2904</v>
      </c>
      <c r="B7" s="20">
        <v>5</v>
      </c>
      <c r="C7" s="32">
        <v>28</v>
      </c>
      <c r="D7" s="34">
        <f t="shared" si="3"/>
        <v>21.461464585834332</v>
      </c>
      <c r="E7" s="21">
        <f>(C7-D7)^2</f>
        <v>42.752445362298609</v>
      </c>
      <c r="F7" s="35">
        <f t="shared" si="0"/>
        <v>3.5343999999999962</v>
      </c>
      <c r="G7" s="1">
        <f t="shared" si="2"/>
        <v>420.25</v>
      </c>
      <c r="H7" s="25"/>
      <c r="I7" s="27"/>
      <c r="J7" s="27"/>
      <c r="L7" s="10" t="s">
        <v>33</v>
      </c>
      <c r="M7" s="11">
        <v>8.566874342552315E-2</v>
      </c>
      <c r="N7" s="98"/>
      <c r="O7" s="101"/>
    </row>
    <row r="8" spans="1:18" x14ac:dyDescent="0.3">
      <c r="A8" s="19">
        <f ca="1">'0.ArdiData'!C8</f>
        <v>2925</v>
      </c>
      <c r="B8" s="20">
        <v>6</v>
      </c>
      <c r="C8" s="32">
        <v>13</v>
      </c>
      <c r="D8" s="34">
        <f t="shared" si="3"/>
        <v>21.872124849939976</v>
      </c>
      <c r="E8" s="21">
        <f t="shared" si="1"/>
        <v>78.714599352922434</v>
      </c>
      <c r="F8" s="35">
        <f t="shared" si="0"/>
        <v>284.93439999999998</v>
      </c>
      <c r="G8" s="1">
        <f t="shared" si="2"/>
        <v>380.25</v>
      </c>
      <c r="H8" s="25"/>
      <c r="I8" s="27"/>
      <c r="J8" s="27"/>
      <c r="L8" s="8" t="s">
        <v>34</v>
      </c>
      <c r="M8" s="9">
        <v>17.721983000572738</v>
      </c>
      <c r="N8" s="98">
        <f>SQRT(SUM(E3:E52)/(COUNT(E3:E52)-2))</f>
        <v>17.721983000572738</v>
      </c>
      <c r="O8" s="98">
        <f>STEYX(C3:C52,B3:B52)</f>
        <v>17.721983000572738</v>
      </c>
    </row>
    <row r="9" spans="1:18" ht="15" thickBot="1" x14ac:dyDescent="0.35">
      <c r="A9" s="19">
        <f ca="1">'0.ArdiData'!C9</f>
        <v>3482</v>
      </c>
      <c r="B9" s="20">
        <v>7</v>
      </c>
      <c r="C9" s="32">
        <v>8</v>
      </c>
      <c r="D9" s="34">
        <f t="shared" si="3"/>
        <v>22.282785114045616</v>
      </c>
      <c r="E9" s="21">
        <f t="shared" si="1"/>
        <v>203.99795061400303</v>
      </c>
      <c r="F9" s="35">
        <f t="shared" si="0"/>
        <v>478.73439999999994</v>
      </c>
      <c r="G9" s="1">
        <f t="shared" si="2"/>
        <v>342.25</v>
      </c>
      <c r="H9" s="25"/>
      <c r="I9" s="27"/>
      <c r="J9" s="27"/>
      <c r="L9" s="12" t="s">
        <v>35</v>
      </c>
      <c r="M9" s="12">
        <v>50</v>
      </c>
      <c r="N9" s="98">
        <f>COUNT(C3:C52)</f>
        <v>50</v>
      </c>
      <c r="O9" s="99"/>
      <c r="Q9" s="98" t="s">
        <v>40</v>
      </c>
      <c r="R9" s="99">
        <f>K16/K17</f>
        <v>5.591080527616981</v>
      </c>
    </row>
    <row r="10" spans="1:18" x14ac:dyDescent="0.3">
      <c r="A10" s="19">
        <f ca="1">'0.ArdiData'!C10</f>
        <v>3413</v>
      </c>
      <c r="B10" s="20">
        <v>8</v>
      </c>
      <c r="C10" s="32">
        <v>7</v>
      </c>
      <c r="D10" s="34">
        <f t="shared" si="3"/>
        <v>22.69344537815126</v>
      </c>
      <c r="E10" s="21">
        <f t="shared" si="1"/>
        <v>246.28422783701714</v>
      </c>
      <c r="F10" s="35">
        <f t="shared" si="0"/>
        <v>523.49439999999993</v>
      </c>
      <c r="G10" s="1">
        <f t="shared" si="2"/>
        <v>306.25</v>
      </c>
      <c r="H10" s="25"/>
      <c r="I10" s="27"/>
      <c r="J10" s="27"/>
      <c r="Q10" s="100" t="s">
        <v>65</v>
      </c>
      <c r="R10" s="102">
        <f>_xlfn.F.DIST(R9,M13,M14,1)</f>
        <v>0.97785584963652039</v>
      </c>
    </row>
    <row r="11" spans="1:18" ht="15" thickBot="1" x14ac:dyDescent="0.35">
      <c r="A11" s="19">
        <f ca="1">'0.ArdiData'!C11</f>
        <v>4252</v>
      </c>
      <c r="B11" s="20">
        <v>9</v>
      </c>
      <c r="C11" s="32">
        <v>32</v>
      </c>
      <c r="D11" s="34">
        <f t="shared" si="3"/>
        <v>23.104105642256901</v>
      </c>
      <c r="E11" s="21">
        <f t="shared" si="1"/>
        <v>79.136936424125508</v>
      </c>
      <c r="F11" s="35">
        <f t="shared" si="0"/>
        <v>4.4944000000000042</v>
      </c>
      <c r="G11" s="1">
        <f t="shared" si="2"/>
        <v>272.25</v>
      </c>
      <c r="H11" s="25"/>
      <c r="I11" s="27"/>
      <c r="J11" s="27"/>
      <c r="L11" t="s">
        <v>36</v>
      </c>
      <c r="Q11" s="100" t="s">
        <v>66</v>
      </c>
      <c r="R11" s="102">
        <f>1-R10</f>
        <v>2.2144150363479609E-2</v>
      </c>
    </row>
    <row r="12" spans="1:18" x14ac:dyDescent="0.3">
      <c r="A12" s="19">
        <f ca="1">'0.ArdiData'!C12</f>
        <v>3538</v>
      </c>
      <c r="B12" s="20">
        <v>10</v>
      </c>
      <c r="C12" s="32">
        <v>41</v>
      </c>
      <c r="D12" s="34">
        <f t="shared" si="3"/>
        <v>23.514765906362545</v>
      </c>
      <c r="E12" s="21">
        <f t="shared" si="1"/>
        <v>305.73341130930163</v>
      </c>
      <c r="F12" s="35">
        <f t="shared" si="0"/>
        <v>123.65440000000002</v>
      </c>
      <c r="G12" s="1">
        <f t="shared" si="2"/>
        <v>240.25</v>
      </c>
      <c r="H12" s="25"/>
      <c r="I12" s="27"/>
      <c r="J12" s="27"/>
      <c r="L12" s="13"/>
      <c r="M12" s="13" t="s">
        <v>37</v>
      </c>
      <c r="N12" s="13" t="s">
        <v>38</v>
      </c>
      <c r="O12" s="13" t="s">
        <v>39</v>
      </c>
      <c r="P12" s="13" t="s">
        <v>40</v>
      </c>
      <c r="Q12" s="13" t="s">
        <v>41</v>
      </c>
    </row>
    <row r="13" spans="1:18" x14ac:dyDescent="0.3">
      <c r="A13" s="19">
        <f ca="1">'0.ArdiData'!C13</f>
        <v>4022</v>
      </c>
      <c r="B13" s="20">
        <v>11</v>
      </c>
      <c r="C13" s="32">
        <v>9</v>
      </c>
      <c r="D13" s="34">
        <f t="shared" si="3"/>
        <v>23.925426170468185</v>
      </c>
      <c r="E13" s="21">
        <f t="shared" si="1"/>
        <v>222.76834637009659</v>
      </c>
      <c r="F13" s="35">
        <f t="shared" si="0"/>
        <v>435.97439999999995</v>
      </c>
      <c r="G13" s="1">
        <f t="shared" si="2"/>
        <v>210.25</v>
      </c>
      <c r="H13" s="25"/>
      <c r="I13" s="98" t="s">
        <v>57</v>
      </c>
      <c r="J13" s="98"/>
      <c r="K13" s="99">
        <f>K15-K14</f>
        <v>1755.9832893157327</v>
      </c>
      <c r="L13" s="10" t="s">
        <v>42</v>
      </c>
      <c r="M13" s="30">
        <v>1</v>
      </c>
      <c r="N13" s="37">
        <v>1755.9832893157291</v>
      </c>
      <c r="O13" s="37">
        <v>1755.9832893157291</v>
      </c>
      <c r="P13" s="37">
        <v>5.5910805276169686</v>
      </c>
      <c r="Q13" s="37">
        <v>2.2144150363479678E-2</v>
      </c>
    </row>
    <row r="14" spans="1:18" x14ac:dyDescent="0.3">
      <c r="A14" s="19">
        <f ca="1">'0.ArdiData'!C14</f>
        <v>4219</v>
      </c>
      <c r="B14" s="20">
        <v>12</v>
      </c>
      <c r="C14" s="32">
        <v>14</v>
      </c>
      <c r="D14" s="34">
        <f t="shared" si="3"/>
        <v>24.336086434573829</v>
      </c>
      <c r="E14" s="21">
        <f t="shared" si="1"/>
        <v>106.83468278298113</v>
      </c>
      <c r="F14" s="35">
        <f t="shared" si="0"/>
        <v>252.17439999999996</v>
      </c>
      <c r="G14" s="1">
        <f t="shared" si="2"/>
        <v>182.25</v>
      </c>
      <c r="H14" s="25"/>
      <c r="I14" s="100" t="s">
        <v>55</v>
      </c>
      <c r="J14" s="100"/>
      <c r="K14" s="99">
        <f>SUM(E3:E52)</f>
        <v>15075.296710684273</v>
      </c>
      <c r="L14" s="10" t="s">
        <v>43</v>
      </c>
      <c r="M14" s="30">
        <v>48</v>
      </c>
      <c r="N14" s="37">
        <v>15075.296710684277</v>
      </c>
      <c r="O14" s="37">
        <v>314.06868147258911</v>
      </c>
      <c r="P14" s="37"/>
      <c r="Q14" s="37"/>
    </row>
    <row r="15" spans="1:18" ht="15" thickBot="1" x14ac:dyDescent="0.35">
      <c r="A15" s="19">
        <f ca="1">'0.ArdiData'!C15</f>
        <v>4541</v>
      </c>
      <c r="B15" s="20">
        <v>13</v>
      </c>
      <c r="C15" s="32">
        <v>35</v>
      </c>
      <c r="D15" s="34">
        <f t="shared" si="3"/>
        <v>24.74674669867947</v>
      </c>
      <c r="E15" s="21">
        <f t="shared" si="1"/>
        <v>105.12920326104035</v>
      </c>
      <c r="F15" s="35">
        <f t="shared" si="0"/>
        <v>26.214400000000012</v>
      </c>
      <c r="G15" s="1">
        <f t="shared" si="2"/>
        <v>156.25</v>
      </c>
      <c r="H15" s="25"/>
      <c r="I15" s="100" t="s">
        <v>56</v>
      </c>
      <c r="J15" s="100"/>
      <c r="K15" s="99">
        <f>SUM(F3:F52)</f>
        <v>16831.280000000006</v>
      </c>
      <c r="L15" s="14" t="s">
        <v>44</v>
      </c>
      <c r="M15" s="38">
        <v>49</v>
      </c>
      <c r="N15" s="39">
        <v>16831.280000000006</v>
      </c>
      <c r="O15" s="39"/>
      <c r="P15" s="39"/>
      <c r="Q15" s="39"/>
    </row>
    <row r="16" spans="1:18" ht="15" thickBot="1" x14ac:dyDescent="0.35">
      <c r="A16" s="19">
        <f ca="1">'0.ArdiData'!C16</f>
        <v>4668</v>
      </c>
      <c r="B16" s="20">
        <v>14</v>
      </c>
      <c r="C16" s="32">
        <v>39</v>
      </c>
      <c r="D16" s="34">
        <f>$M$20+$M$21*B16</f>
        <v>25.15740696278511</v>
      </c>
      <c r="E16" s="21">
        <f t="shared" si="1"/>
        <v>191.61738199395015</v>
      </c>
      <c r="F16" s="35">
        <f t="shared" si="0"/>
        <v>83.17440000000002</v>
      </c>
      <c r="G16" s="1">
        <f t="shared" si="2"/>
        <v>132.25</v>
      </c>
      <c r="H16" s="25"/>
      <c r="I16" s="98" t="s">
        <v>63</v>
      </c>
      <c r="J16" s="98"/>
      <c r="K16" s="108">
        <f>K13/M13</f>
        <v>1755.9832893157327</v>
      </c>
    </row>
    <row r="17" spans="1:18" x14ac:dyDescent="0.3">
      <c r="A17" s="19">
        <f ca="1">'0.ArdiData'!C17</f>
        <v>4866</v>
      </c>
      <c r="B17" s="20">
        <v>15</v>
      </c>
      <c r="C17" s="32">
        <v>28</v>
      </c>
      <c r="D17" s="34">
        <f t="shared" si="3"/>
        <v>25.568067226890754</v>
      </c>
      <c r="E17" s="21">
        <f>(C17-D17)^2</f>
        <v>5.9142970129228258</v>
      </c>
      <c r="F17" s="35">
        <f t="shared" si="0"/>
        <v>3.5343999999999962</v>
      </c>
      <c r="G17" s="1">
        <f t="shared" si="2"/>
        <v>110.25</v>
      </c>
      <c r="H17" s="25"/>
      <c r="I17" s="98" t="s">
        <v>64</v>
      </c>
      <c r="J17" s="98"/>
      <c r="K17" s="108">
        <f>K14/(N9-2)</f>
        <v>314.06868147258905</v>
      </c>
      <c r="L17" s="13"/>
      <c r="M17" s="13" t="s">
        <v>45</v>
      </c>
      <c r="N17" s="13" t="s">
        <v>34</v>
      </c>
      <c r="O17" s="13" t="s">
        <v>46</v>
      </c>
      <c r="P17" s="13" t="s">
        <v>47</v>
      </c>
      <c r="Q17" s="13" t="s">
        <v>48</v>
      </c>
      <c r="R17" s="13" t="s">
        <v>49</v>
      </c>
    </row>
    <row r="18" spans="1:18" x14ac:dyDescent="0.3">
      <c r="A18" s="19">
        <f ca="1">'0.ArdiData'!C18</f>
        <v>4313</v>
      </c>
      <c r="B18" s="20">
        <v>16</v>
      </c>
      <c r="C18" s="32">
        <v>19</v>
      </c>
      <c r="D18" s="34">
        <f t="shared" si="3"/>
        <v>25.978727490996398</v>
      </c>
      <c r="E18" s="21">
        <f t="shared" si="1"/>
        <v>48.702637393588887</v>
      </c>
      <c r="F18" s="35">
        <f t="shared" si="0"/>
        <v>118.37439999999998</v>
      </c>
      <c r="G18" s="1">
        <f t="shared" si="2"/>
        <v>90.25</v>
      </c>
      <c r="H18" s="25"/>
      <c r="I18" s="27"/>
      <c r="J18" s="27"/>
      <c r="K18" s="7"/>
      <c r="L18" s="8" t="s">
        <v>67</v>
      </c>
      <c r="M18" s="11">
        <v>19.408163265306122</v>
      </c>
      <c r="N18" s="37">
        <v>5.0886778547249945</v>
      </c>
      <c r="O18" s="37">
        <v>3.8139893739363053</v>
      </c>
      <c r="P18" s="37">
        <v>3.9045739200275012E-4</v>
      </c>
      <c r="Q18" s="37">
        <v>9.1766907002433395</v>
      </c>
      <c r="R18" s="37">
        <v>29.639635830368903</v>
      </c>
    </row>
    <row r="19" spans="1:18" ht="15" thickBot="1" x14ac:dyDescent="0.35">
      <c r="A19" s="19">
        <f ca="1">'0.ArdiData'!C19</f>
        <v>4710</v>
      </c>
      <c r="B19" s="20">
        <v>17</v>
      </c>
      <c r="C19" s="32">
        <v>68</v>
      </c>
      <c r="D19" s="34">
        <f t="shared" si="3"/>
        <v>26.389387755102039</v>
      </c>
      <c r="E19" s="21">
        <f t="shared" si="1"/>
        <v>1731.4430513952525</v>
      </c>
      <c r="F19" s="35">
        <f t="shared" si="0"/>
        <v>1453.1344000000004</v>
      </c>
      <c r="G19" s="1">
        <f t="shared" si="2"/>
        <v>72.25</v>
      </c>
      <c r="H19" s="25"/>
      <c r="I19" s="27"/>
      <c r="J19" s="27"/>
      <c r="K19" s="4">
        <f>M8/H1</f>
        <v>0.17367400060101817</v>
      </c>
      <c r="L19" s="12" t="s">
        <v>68</v>
      </c>
      <c r="M19" s="15">
        <v>0.41066026410564221</v>
      </c>
      <c r="N19" s="39">
        <v>0.17367400060101817</v>
      </c>
      <c r="O19" s="39">
        <v>2.3645465797097249</v>
      </c>
      <c r="P19" s="40">
        <v>2.2144150363479765E-2</v>
      </c>
      <c r="Q19" s="40">
        <v>6.146528200158341E-2</v>
      </c>
      <c r="R19" s="40">
        <v>0.75985524620970102</v>
      </c>
    </row>
    <row r="20" spans="1:18" x14ac:dyDescent="0.3">
      <c r="A20" s="19">
        <f ca="1">'0.ArdiData'!C20</f>
        <v>4550</v>
      </c>
      <c r="B20" s="20">
        <v>18</v>
      </c>
      <c r="C20" s="32">
        <v>16</v>
      </c>
      <c r="D20" s="34">
        <f t="shared" si="3"/>
        <v>26.800048019207679</v>
      </c>
      <c r="E20" s="21">
        <f t="shared" si="1"/>
        <v>116.64103721719172</v>
      </c>
      <c r="F20" s="35">
        <f t="shared" si="0"/>
        <v>192.65439999999998</v>
      </c>
      <c r="G20" s="1">
        <f t="shared" si="2"/>
        <v>56.25</v>
      </c>
      <c r="H20" s="25"/>
      <c r="I20" s="27"/>
      <c r="J20" s="27"/>
      <c r="L20" s="98" t="s">
        <v>50</v>
      </c>
      <c r="M20" s="99">
        <f>INTERCEPT(C3:C52,B3:B52)</f>
        <v>19.408163265306122</v>
      </c>
      <c r="N20" s="37"/>
    </row>
    <row r="21" spans="1:18" x14ac:dyDescent="0.3">
      <c r="A21" s="19">
        <f ca="1">'0.ArdiData'!C21</f>
        <v>5427</v>
      </c>
      <c r="B21" s="20">
        <v>19</v>
      </c>
      <c r="C21" s="32">
        <v>27</v>
      </c>
      <c r="D21" s="34">
        <f t="shared" si="3"/>
        <v>27.210708283313323</v>
      </c>
      <c r="E21" s="21">
        <f t="shared" si="1"/>
        <v>4.4397980656847746E-2</v>
      </c>
      <c r="F21" s="35">
        <f t="shared" si="0"/>
        <v>8.2943999999999942</v>
      </c>
      <c r="G21" s="1">
        <f t="shared" si="2"/>
        <v>42.25</v>
      </c>
      <c r="H21" s="25"/>
      <c r="I21" s="27"/>
      <c r="J21" s="27"/>
      <c r="L21" s="100" t="s">
        <v>51</v>
      </c>
      <c r="M21" s="99">
        <f>SLOPE(C3:C52,B3:B52)</f>
        <v>0.41066026410564216</v>
      </c>
    </row>
    <row r="22" spans="1:18" x14ac:dyDescent="0.3">
      <c r="A22" s="19">
        <f ca="1">'0.ArdiData'!C22</f>
        <v>5612</v>
      </c>
      <c r="B22" s="20">
        <v>20</v>
      </c>
      <c r="C22" s="32">
        <v>10</v>
      </c>
      <c r="D22" s="34">
        <f t="shared" si="3"/>
        <v>27.621368547418967</v>
      </c>
      <c r="E22" s="21">
        <f t="shared" si="1"/>
        <v>310.51262948396646</v>
      </c>
      <c r="F22" s="35">
        <f t="shared" si="0"/>
        <v>395.21439999999996</v>
      </c>
      <c r="G22" s="1">
        <f t="shared" si="2"/>
        <v>30.25</v>
      </c>
      <c r="H22" s="25"/>
      <c r="L22" t="s">
        <v>71</v>
      </c>
      <c r="M22">
        <f>M21/K19</f>
        <v>2.3645465797097245</v>
      </c>
      <c r="N22" s="25"/>
    </row>
    <row r="23" spans="1:18" x14ac:dyDescent="0.3">
      <c r="A23" s="19">
        <f ca="1">'0.ArdiData'!C23</f>
        <v>6862</v>
      </c>
      <c r="B23" s="20">
        <v>21</v>
      </c>
      <c r="C23" s="32">
        <v>27</v>
      </c>
      <c r="D23" s="34">
        <f t="shared" si="3"/>
        <v>28.032028811524608</v>
      </c>
      <c r="E23" s="21">
        <f t="shared" si="1"/>
        <v>1.0650834678168946</v>
      </c>
      <c r="F23" s="35">
        <f t="shared" si="0"/>
        <v>8.2943999999999942</v>
      </c>
      <c r="G23" s="1">
        <f t="shared" si="2"/>
        <v>20.25</v>
      </c>
      <c r="H23" s="25"/>
      <c r="O23">
        <v>50</v>
      </c>
      <c r="P23">
        <f>P22</f>
        <v>0</v>
      </c>
    </row>
    <row r="24" spans="1:18" x14ac:dyDescent="0.3">
      <c r="A24" s="19">
        <f ca="1">'0.ArdiData'!C24</f>
        <v>6090</v>
      </c>
      <c r="B24" s="20">
        <v>22</v>
      </c>
      <c r="C24" s="32">
        <v>38</v>
      </c>
      <c r="D24" s="34">
        <f t="shared" si="3"/>
        <v>28.442689075630248</v>
      </c>
      <c r="E24" s="21">
        <f t="shared" si="1"/>
        <v>91.342192105077402</v>
      </c>
      <c r="F24" s="35">
        <f t="shared" si="0"/>
        <v>65.934400000000011</v>
      </c>
      <c r="G24" s="1">
        <f t="shared" si="2"/>
        <v>12.25</v>
      </c>
      <c r="H24" s="25"/>
      <c r="L24" s="97"/>
    </row>
    <row r="25" spans="1:18" x14ac:dyDescent="0.3">
      <c r="A25" s="19">
        <f ca="1">'0.ArdiData'!C25</f>
        <v>6652</v>
      </c>
      <c r="B25" s="20">
        <v>23</v>
      </c>
      <c r="C25" s="32">
        <v>38</v>
      </c>
      <c r="D25" s="34">
        <f t="shared" si="3"/>
        <v>28.853349339735892</v>
      </c>
      <c r="E25" s="21">
        <f t="shared" si="1"/>
        <v>83.661218300909837</v>
      </c>
      <c r="F25" s="35">
        <f t="shared" si="0"/>
        <v>65.934400000000011</v>
      </c>
      <c r="G25" s="1">
        <f t="shared" si="2"/>
        <v>6.25</v>
      </c>
      <c r="H25" s="25"/>
      <c r="I25" s="27"/>
      <c r="J25" s="27"/>
      <c r="L25" s="105"/>
    </row>
    <row r="26" spans="1:18" x14ac:dyDescent="0.3">
      <c r="A26" s="19">
        <f ca="1">'0.ArdiData'!C26</f>
        <v>6891</v>
      </c>
      <c r="B26" s="20">
        <v>24</v>
      </c>
      <c r="C26" s="32">
        <v>32</v>
      </c>
      <c r="D26" s="34">
        <f t="shared" si="3"/>
        <v>29.264009603841533</v>
      </c>
      <c r="E26" s="21">
        <f t="shared" si="1"/>
        <v>7.4856434478713654</v>
      </c>
      <c r="F26" s="35">
        <f t="shared" si="0"/>
        <v>4.4944000000000042</v>
      </c>
      <c r="G26" s="1">
        <f t="shared" si="2"/>
        <v>2.25</v>
      </c>
      <c r="H26" s="25"/>
      <c r="I26" s="27"/>
      <c r="J26" s="27"/>
      <c r="L26" s="103"/>
    </row>
    <row r="27" spans="1:18" x14ac:dyDescent="0.3">
      <c r="A27" s="19">
        <f ca="1">'0.ArdiData'!C27</f>
        <v>5944</v>
      </c>
      <c r="B27" s="20">
        <v>25</v>
      </c>
      <c r="C27" s="32">
        <v>36</v>
      </c>
      <c r="D27" s="34">
        <f t="shared" si="3"/>
        <v>29.674669867947173</v>
      </c>
      <c r="E27" s="21">
        <f t="shared" si="1"/>
        <v>40.009801279455431</v>
      </c>
      <c r="F27" s="35">
        <f t="shared" si="0"/>
        <v>37.454400000000014</v>
      </c>
      <c r="G27" s="1">
        <f t="shared" si="2"/>
        <v>0.25</v>
      </c>
      <c r="H27" s="25"/>
      <c r="I27" s="27"/>
      <c r="J27" s="27"/>
    </row>
    <row r="28" spans="1:18" x14ac:dyDescent="0.3">
      <c r="A28" s="19">
        <f ca="1">'0.ArdiData'!C28</f>
        <v>6990</v>
      </c>
      <c r="B28" s="20">
        <v>26</v>
      </c>
      <c r="C28" s="32">
        <v>53</v>
      </c>
      <c r="D28" s="34">
        <f t="shared" si="3"/>
        <v>30.085330132052817</v>
      </c>
      <c r="E28" s="21">
        <f t="shared" si="1"/>
        <v>525.08209515700651</v>
      </c>
      <c r="F28" s="35">
        <f t="shared" si="0"/>
        <v>534.53440000000001</v>
      </c>
      <c r="G28" s="1">
        <f t="shared" si="2"/>
        <v>0.25</v>
      </c>
      <c r="H28" s="25"/>
      <c r="I28" s="27"/>
      <c r="J28" s="27"/>
    </row>
    <row r="29" spans="1:18" x14ac:dyDescent="0.3">
      <c r="A29" s="19">
        <f ca="1">'0.ArdiData'!C29</f>
        <v>6982</v>
      </c>
      <c r="B29" s="20">
        <v>27</v>
      </c>
      <c r="C29" s="32">
        <v>45</v>
      </c>
      <c r="D29" s="34">
        <f t="shared" si="3"/>
        <v>30.495990396158462</v>
      </c>
      <c r="E29" s="21">
        <f t="shared" si="1"/>
        <v>210.36629458832758</v>
      </c>
      <c r="F29" s="35">
        <f t="shared" si="0"/>
        <v>228.61440000000002</v>
      </c>
      <c r="G29" s="1">
        <f t="shared" si="2"/>
        <v>2.25</v>
      </c>
      <c r="H29" s="25"/>
      <c r="I29" s="27"/>
      <c r="J29" s="27"/>
    </row>
    <row r="30" spans="1:18" x14ac:dyDescent="0.3">
      <c r="A30" s="19">
        <f ca="1">'0.ArdiData'!C30</f>
        <v>8047</v>
      </c>
      <c r="B30" s="20">
        <v>28</v>
      </c>
      <c r="C30" s="32">
        <v>23</v>
      </c>
      <c r="D30" s="34">
        <f t="shared" si="3"/>
        <v>30.906650660264102</v>
      </c>
      <c r="E30" s="21">
        <f t="shared" si="1"/>
        <v>62.515124663454763</v>
      </c>
      <c r="F30" s="35">
        <f t="shared" si="0"/>
        <v>47.334399999999988</v>
      </c>
      <c r="G30" s="1">
        <f t="shared" si="2"/>
        <v>6.25</v>
      </c>
      <c r="H30" s="25"/>
      <c r="I30" s="27"/>
      <c r="J30" s="27"/>
    </row>
    <row r="31" spans="1:18" x14ac:dyDescent="0.3">
      <c r="A31" s="19">
        <f ca="1">'0.ArdiData'!C31</f>
        <v>8055</v>
      </c>
      <c r="B31" s="20">
        <v>29</v>
      </c>
      <c r="C31" s="32">
        <v>16</v>
      </c>
      <c r="D31" s="34">
        <f t="shared" si="3"/>
        <v>31.317310924369743</v>
      </c>
      <c r="E31" s="21">
        <f t="shared" si="1"/>
        <v>234.62001395381665</v>
      </c>
      <c r="F31" s="35">
        <f t="shared" si="0"/>
        <v>192.65439999999998</v>
      </c>
      <c r="G31" s="1">
        <f t="shared" si="2"/>
        <v>12.25</v>
      </c>
      <c r="H31" s="25"/>
      <c r="I31" s="27"/>
      <c r="J31" s="27"/>
    </row>
    <row r="32" spans="1:18" x14ac:dyDescent="0.3">
      <c r="A32" s="19">
        <f ca="1">'0.ArdiData'!C32</f>
        <v>7016</v>
      </c>
      <c r="B32" s="20">
        <v>30</v>
      </c>
      <c r="C32" s="32">
        <v>20</v>
      </c>
      <c r="D32" s="34">
        <f t="shared" si="3"/>
        <v>31.727971188475387</v>
      </c>
      <c r="E32" s="21">
        <f t="shared" si="1"/>
        <v>137.54530819770878</v>
      </c>
      <c r="F32" s="35">
        <f t="shared" si="0"/>
        <v>97.614399999999975</v>
      </c>
      <c r="G32" s="1">
        <f t="shared" si="2"/>
        <v>20.25</v>
      </c>
      <c r="H32" s="25"/>
      <c r="I32" s="27"/>
      <c r="J32" s="27"/>
    </row>
    <row r="33" spans="1:10" x14ac:dyDescent="0.3">
      <c r="A33" s="19">
        <f ca="1">'0.ArdiData'!C33</f>
        <v>7205</v>
      </c>
      <c r="B33" s="20">
        <v>31</v>
      </c>
      <c r="C33" s="32">
        <v>29</v>
      </c>
      <c r="D33" s="34">
        <f t="shared" si="3"/>
        <v>32.138631452581031</v>
      </c>
      <c r="E33" s="21">
        <f t="shared" si="1"/>
        <v>9.8510073951309103</v>
      </c>
      <c r="F33" s="35">
        <f t="shared" si="0"/>
        <v>0.7743999999999982</v>
      </c>
      <c r="G33" s="1">
        <f t="shared" si="2"/>
        <v>30.25</v>
      </c>
      <c r="H33" s="25"/>
      <c r="I33" s="27"/>
      <c r="J33" s="27"/>
    </row>
    <row r="34" spans="1:10" x14ac:dyDescent="0.3">
      <c r="A34" s="19">
        <f ca="1">'0.ArdiData'!C34</f>
        <v>7197</v>
      </c>
      <c r="B34" s="20">
        <v>32</v>
      </c>
      <c r="C34" s="32">
        <v>78</v>
      </c>
      <c r="D34" s="34">
        <f t="shared" si="3"/>
        <v>32.549291716686668</v>
      </c>
      <c r="E34" s="21">
        <f t="shared" si="1"/>
        <v>2065.7668834548472</v>
      </c>
      <c r="F34" s="35">
        <f t="shared" si="0"/>
        <v>2315.5344000000005</v>
      </c>
      <c r="G34" s="1">
        <f t="shared" si="2"/>
        <v>42.25</v>
      </c>
      <c r="H34" s="25"/>
      <c r="I34" s="27"/>
      <c r="J34" s="27"/>
    </row>
    <row r="35" spans="1:10" x14ac:dyDescent="0.3">
      <c r="A35" s="19">
        <f ca="1">'0.ArdiData'!C35</f>
        <v>7788</v>
      </c>
      <c r="B35" s="20">
        <v>33</v>
      </c>
      <c r="C35" s="32">
        <v>3</v>
      </c>
      <c r="D35" s="34">
        <f t="shared" si="3"/>
        <v>32.959951980792312</v>
      </c>
      <c r="E35" s="21">
        <f t="shared" ref="E35:E52" si="4">(C35-D35)^2</f>
        <v>897.59872269138111</v>
      </c>
      <c r="F35" s="35">
        <f t="shared" ref="F35:F52" si="5">(C35-$D$1)^2</f>
        <v>722.53439999999989</v>
      </c>
      <c r="G35" s="1">
        <f t="shared" ref="G35:G52" si="6">(B35-$F$1)^2</f>
        <v>56.25</v>
      </c>
      <c r="H35" s="25"/>
      <c r="I35" s="27"/>
      <c r="J35" s="27"/>
    </row>
    <row r="36" spans="1:10" x14ac:dyDescent="0.3">
      <c r="A36" s="19">
        <f ca="1">'0.ArdiData'!C36</f>
        <v>7789</v>
      </c>
      <c r="B36" s="20">
        <v>34</v>
      </c>
      <c r="C36" s="32">
        <v>31</v>
      </c>
      <c r="D36" s="34">
        <f t="shared" si="3"/>
        <v>33.370612244897956</v>
      </c>
      <c r="E36" s="21">
        <f t="shared" si="4"/>
        <v>5.619802415660125</v>
      </c>
      <c r="F36" s="35">
        <f t="shared" si="5"/>
        <v>1.2544000000000022</v>
      </c>
      <c r="G36" s="1">
        <f t="shared" si="6"/>
        <v>72.25</v>
      </c>
      <c r="H36" s="25"/>
      <c r="I36" s="27"/>
      <c r="J36" s="27"/>
    </row>
    <row r="37" spans="1:10" x14ac:dyDescent="0.3">
      <c r="A37" s="19">
        <f ca="1">'0.ArdiData'!C37</f>
        <v>8725</v>
      </c>
      <c r="B37" s="20">
        <v>35</v>
      </c>
      <c r="C37" s="32">
        <v>12</v>
      </c>
      <c r="D37" s="34">
        <f t="shared" si="3"/>
        <v>33.7812725090036</v>
      </c>
      <c r="E37" s="21">
        <f t="shared" si="4"/>
        <v>474.42383211147597</v>
      </c>
      <c r="F37" s="35">
        <f t="shared" si="5"/>
        <v>319.69439999999997</v>
      </c>
      <c r="G37" s="1">
        <f t="shared" si="6"/>
        <v>90.25</v>
      </c>
      <c r="H37" s="25"/>
      <c r="I37" s="27"/>
      <c r="J37" s="27"/>
    </row>
    <row r="38" spans="1:10" x14ac:dyDescent="0.3">
      <c r="A38" s="19">
        <f ca="1">'0.ArdiData'!C38</f>
        <v>9825</v>
      </c>
      <c r="B38" s="20">
        <v>36</v>
      </c>
      <c r="C38" s="32">
        <v>55</v>
      </c>
      <c r="D38" s="34">
        <f t="shared" si="3"/>
        <v>34.191932773109244</v>
      </c>
      <c r="E38" s="21">
        <f t="shared" si="4"/>
        <v>432.97566171880516</v>
      </c>
      <c r="F38" s="35">
        <f t="shared" si="5"/>
        <v>631.01440000000002</v>
      </c>
      <c r="G38" s="1">
        <f t="shared" si="6"/>
        <v>110.25</v>
      </c>
      <c r="H38" s="25"/>
      <c r="I38" s="27"/>
      <c r="J38" s="27"/>
    </row>
    <row r="39" spans="1:10" x14ac:dyDescent="0.3">
      <c r="A39" s="19">
        <f ca="1">'0.ArdiData'!C39</f>
        <v>8766</v>
      </c>
      <c r="B39" s="20">
        <v>37</v>
      </c>
      <c r="C39" s="32">
        <v>20</v>
      </c>
      <c r="D39" s="34">
        <f t="shared" si="3"/>
        <v>34.602593037214881</v>
      </c>
      <c r="E39" s="21">
        <f t="shared" si="4"/>
        <v>213.2357234105165</v>
      </c>
      <c r="F39" s="35">
        <f t="shared" si="5"/>
        <v>97.614399999999975</v>
      </c>
      <c r="G39" s="1">
        <f t="shared" si="6"/>
        <v>132.25</v>
      </c>
      <c r="H39" s="25"/>
      <c r="I39" s="27"/>
      <c r="J39" s="27"/>
    </row>
    <row r="40" spans="1:10" x14ac:dyDescent="0.3">
      <c r="A40" s="19">
        <f ca="1">'0.ArdiData'!C40</f>
        <v>9223</v>
      </c>
      <c r="B40" s="20">
        <v>38</v>
      </c>
      <c r="C40" s="32">
        <v>6</v>
      </c>
      <c r="D40" s="34">
        <f t="shared" si="3"/>
        <v>35.013253301320525</v>
      </c>
      <c r="E40" s="21">
        <f t="shared" si="4"/>
        <v>841.76886712658631</v>
      </c>
      <c r="F40" s="35">
        <f t="shared" si="5"/>
        <v>570.25439999999992</v>
      </c>
      <c r="G40" s="1">
        <f t="shared" si="6"/>
        <v>156.25</v>
      </c>
      <c r="H40" s="25"/>
      <c r="I40" s="27"/>
      <c r="J40" s="27"/>
    </row>
    <row r="41" spans="1:10" x14ac:dyDescent="0.3">
      <c r="A41" s="19">
        <f ca="1">'0.ArdiData'!C41</f>
        <v>9365</v>
      </c>
      <c r="B41" s="20">
        <v>39</v>
      </c>
      <c r="C41" s="32">
        <v>59</v>
      </c>
      <c r="D41" s="34">
        <f t="shared" si="3"/>
        <v>35.423913565426162</v>
      </c>
      <c r="E41" s="21">
        <f t="shared" si="4"/>
        <v>555.83185157049661</v>
      </c>
      <c r="F41" s="35">
        <f t="shared" si="5"/>
        <v>847.97440000000006</v>
      </c>
      <c r="G41" s="1">
        <f t="shared" si="6"/>
        <v>182.25</v>
      </c>
      <c r="H41" s="25"/>
      <c r="I41" s="27"/>
      <c r="J41" s="27"/>
    </row>
    <row r="42" spans="1:10" x14ac:dyDescent="0.3">
      <c r="A42" s="19">
        <f ca="1">'0.ArdiData'!C42</f>
        <v>9883</v>
      </c>
      <c r="B42" s="20">
        <v>40</v>
      </c>
      <c r="C42" s="32">
        <v>51</v>
      </c>
      <c r="D42" s="34">
        <f t="shared" si="3"/>
        <v>35.834573829531806</v>
      </c>
      <c r="E42" s="21">
        <f t="shared" si="4"/>
        <v>229.99015093192159</v>
      </c>
      <c r="F42" s="35">
        <f t="shared" si="5"/>
        <v>446.05440000000004</v>
      </c>
      <c r="G42" s="1">
        <f t="shared" si="6"/>
        <v>210.25</v>
      </c>
      <c r="H42" s="25"/>
      <c r="I42" s="27"/>
      <c r="J42" s="27"/>
    </row>
    <row r="43" spans="1:10" x14ac:dyDescent="0.3">
      <c r="A43" s="19">
        <f ca="1">'0.ArdiData'!C43</f>
        <v>9854</v>
      </c>
      <c r="B43" s="20">
        <v>41</v>
      </c>
      <c r="C43" s="32">
        <v>2</v>
      </c>
      <c r="D43" s="34">
        <f t="shared" si="3"/>
        <v>36.24523409363745</v>
      </c>
      <c r="E43" s="21">
        <f t="shared" si="4"/>
        <v>1172.7360581280288</v>
      </c>
      <c r="F43" s="35">
        <f t="shared" si="5"/>
        <v>777.2944</v>
      </c>
      <c r="G43" s="1">
        <f t="shared" si="6"/>
        <v>240.25</v>
      </c>
      <c r="H43" s="25"/>
      <c r="I43" s="27"/>
      <c r="J43" s="27"/>
    </row>
    <row r="44" spans="1:10" x14ac:dyDescent="0.3">
      <c r="A44" s="19">
        <f ca="1">'0.ArdiData'!C44</f>
        <v>10392</v>
      </c>
      <c r="B44" s="20">
        <v>42</v>
      </c>
      <c r="C44" s="32">
        <v>67</v>
      </c>
      <c r="D44" s="34">
        <f t="shared" si="3"/>
        <v>36.655894357743094</v>
      </c>
      <c r="E44" s="21">
        <f t="shared" si="4"/>
        <v>920.76474722844739</v>
      </c>
      <c r="F44" s="35">
        <f t="shared" si="5"/>
        <v>1377.8944000000004</v>
      </c>
      <c r="G44" s="1">
        <f t="shared" si="6"/>
        <v>272.25</v>
      </c>
      <c r="H44" s="25"/>
      <c r="I44" s="27"/>
      <c r="J44" s="27"/>
    </row>
    <row r="45" spans="1:10" x14ac:dyDescent="0.3">
      <c r="A45" s="19">
        <f ca="1">'0.ArdiData'!C45</f>
        <v>10230</v>
      </c>
      <c r="B45" s="20">
        <v>43</v>
      </c>
      <c r="C45" s="32">
        <v>65</v>
      </c>
      <c r="D45" s="34">
        <f t="shared" si="3"/>
        <v>37.066554621848738</v>
      </c>
      <c r="E45" s="21">
        <f t="shared" si="4"/>
        <v>780.27737069416014</v>
      </c>
      <c r="F45" s="35">
        <f t="shared" si="5"/>
        <v>1233.4144000000003</v>
      </c>
      <c r="G45" s="1">
        <f t="shared" si="6"/>
        <v>306.25</v>
      </c>
      <c r="H45" s="25"/>
      <c r="I45" s="27"/>
      <c r="J45" s="27"/>
    </row>
    <row r="46" spans="1:10" x14ac:dyDescent="0.3">
      <c r="A46" s="19">
        <f ca="1">'0.ArdiData'!C46</f>
        <v>10351</v>
      </c>
      <c r="B46" s="20">
        <v>44</v>
      </c>
      <c r="C46" s="32">
        <v>43</v>
      </c>
      <c r="D46" s="34">
        <f t="shared" si="3"/>
        <v>37.477214885954382</v>
      </c>
      <c r="E46" s="21">
        <f t="shared" si="4"/>
        <v>30.501155415923872</v>
      </c>
      <c r="F46" s="35">
        <f t="shared" si="5"/>
        <v>172.13440000000003</v>
      </c>
      <c r="G46" s="1">
        <f t="shared" si="6"/>
        <v>342.25</v>
      </c>
      <c r="H46" s="25"/>
      <c r="I46" s="27"/>
      <c r="J46" s="27"/>
    </row>
    <row r="47" spans="1:10" x14ac:dyDescent="0.3">
      <c r="A47" s="19">
        <f ca="1">'0.ArdiData'!C47</f>
        <v>10409</v>
      </c>
      <c r="B47" s="20">
        <v>45</v>
      </c>
      <c r="C47" s="32">
        <v>27</v>
      </c>
      <c r="D47" s="34">
        <f t="shared" si="3"/>
        <v>37.887875150060019</v>
      </c>
      <c r="E47" s="21">
        <f t="shared" si="4"/>
        <v>118.54582528329448</v>
      </c>
      <c r="F47" s="35">
        <f t="shared" si="5"/>
        <v>8.2943999999999942</v>
      </c>
      <c r="G47" s="1">
        <f t="shared" si="6"/>
        <v>380.25</v>
      </c>
      <c r="H47" s="25"/>
      <c r="I47" s="27"/>
      <c r="J47" s="27"/>
    </row>
    <row r="48" spans="1:10" x14ac:dyDescent="0.3">
      <c r="A48" s="19">
        <f ca="1">'0.ArdiData'!C48</f>
        <v>10648</v>
      </c>
      <c r="B48" s="20">
        <v>46</v>
      </c>
      <c r="C48" s="32">
        <v>31</v>
      </c>
      <c r="D48" s="34">
        <f t="shared" si="3"/>
        <v>38.298535414165663</v>
      </c>
      <c r="E48" s="21">
        <f t="shared" si="4"/>
        <v>53.268619191830346</v>
      </c>
      <c r="F48" s="35">
        <f t="shared" si="5"/>
        <v>1.2544000000000022</v>
      </c>
      <c r="G48" s="1">
        <f t="shared" si="6"/>
        <v>420.25</v>
      </c>
      <c r="H48" s="25"/>
      <c r="I48" s="27"/>
      <c r="J48" s="27"/>
    </row>
    <row r="49" spans="1:11" x14ac:dyDescent="0.3">
      <c r="A49" s="19">
        <f ca="1">'0.ArdiData'!C49</f>
        <v>10078</v>
      </c>
      <c r="B49" s="20">
        <v>47</v>
      </c>
      <c r="C49" s="32">
        <v>43</v>
      </c>
      <c r="D49" s="34">
        <f t="shared" si="3"/>
        <v>38.7091956782713</v>
      </c>
      <c r="E49" s="21">
        <f t="shared" si="4"/>
        <v>18.41100172736569</v>
      </c>
      <c r="F49" s="35">
        <f t="shared" si="5"/>
        <v>172.13440000000003</v>
      </c>
      <c r="G49" s="1">
        <f t="shared" si="6"/>
        <v>462.25</v>
      </c>
      <c r="H49" s="25"/>
      <c r="I49" s="27"/>
      <c r="J49" s="27"/>
    </row>
    <row r="50" spans="1:11" x14ac:dyDescent="0.3">
      <c r="A50" s="19">
        <f ca="1">'0.ArdiData'!C50</f>
        <v>10162</v>
      </c>
      <c r="B50" s="20">
        <v>48</v>
      </c>
      <c r="C50" s="32">
        <v>15</v>
      </c>
      <c r="D50" s="34">
        <f t="shared" si="3"/>
        <v>39.119855942376944</v>
      </c>
      <c r="E50" s="21">
        <f t="shared" si="4"/>
        <v>581.76745068101638</v>
      </c>
      <c r="F50" s="35">
        <f t="shared" si="5"/>
        <v>221.41439999999997</v>
      </c>
      <c r="G50" s="1">
        <f t="shared" si="6"/>
        <v>506.25</v>
      </c>
      <c r="H50" s="25"/>
      <c r="I50" s="27"/>
      <c r="J50" s="27"/>
    </row>
    <row r="51" spans="1:11" x14ac:dyDescent="0.3">
      <c r="A51" s="19">
        <f ca="1">'0.ArdiData'!C51</f>
        <v>11266</v>
      </c>
      <c r="B51" s="20">
        <v>49</v>
      </c>
      <c r="C51" s="32">
        <v>37</v>
      </c>
      <c r="D51" s="34">
        <f t="shared" si="3"/>
        <v>39.530516206482588</v>
      </c>
      <c r="E51" s="21">
        <f t="shared" si="4"/>
        <v>6.4035122712710271</v>
      </c>
      <c r="F51" s="35">
        <f t="shared" si="5"/>
        <v>50.694400000000016</v>
      </c>
      <c r="G51" s="1">
        <f t="shared" si="6"/>
        <v>552.25</v>
      </c>
      <c r="H51" s="25"/>
      <c r="I51" s="27"/>
      <c r="J51" s="27"/>
    </row>
    <row r="52" spans="1:11" ht="15" thickBot="1" x14ac:dyDescent="0.35">
      <c r="A52" s="22">
        <f ca="1">'0.ArdiData'!C52</f>
        <v>11255</v>
      </c>
      <c r="B52" s="23">
        <v>50</v>
      </c>
      <c r="C52" s="33">
        <v>36</v>
      </c>
      <c r="D52" s="34">
        <f t="shared" si="3"/>
        <v>39.941176470588232</v>
      </c>
      <c r="E52" s="24">
        <f t="shared" si="4"/>
        <v>15.532871972318313</v>
      </c>
      <c r="F52" s="36">
        <f t="shared" si="5"/>
        <v>37.454400000000014</v>
      </c>
      <c r="G52" s="1">
        <f t="shared" si="6"/>
        <v>600.25</v>
      </c>
      <c r="H52" s="25"/>
      <c r="I52" s="27"/>
      <c r="J52" s="27"/>
    </row>
    <row r="53" spans="1:11" ht="15.75" customHeight="1" x14ac:dyDescent="0.3">
      <c r="B53" s="5">
        <v>51</v>
      </c>
      <c r="G53" s="106"/>
      <c r="H53" s="104"/>
      <c r="I53" s="28"/>
      <c r="J53" s="28"/>
      <c r="K53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zoomScale="66" zoomScaleNormal="66" workbookViewId="0">
      <selection activeCell="T38" sqref="T38"/>
    </sheetView>
  </sheetViews>
  <sheetFormatPr defaultColWidth="9.109375" defaultRowHeight="14.4" x14ac:dyDescent="0.3"/>
  <cols>
    <col min="1" max="1" width="11.109375" style="31" bestFit="1" customWidth="1"/>
    <col min="2" max="2" width="10.6640625" style="31" bestFit="1" customWidth="1"/>
    <col min="3" max="3" width="9.109375" style="31"/>
    <col min="4" max="4" width="13.44140625" style="31" bestFit="1" customWidth="1"/>
    <col min="5" max="5" width="9.109375" style="31"/>
    <col min="6" max="6" width="11" style="31" bestFit="1" customWidth="1"/>
    <col min="7" max="8" width="7.6640625" style="31" customWidth="1"/>
    <col min="9" max="9" width="5.6640625" style="31" customWidth="1"/>
    <col min="10" max="24" width="9.109375" style="31"/>
    <col min="25" max="25" width="6.5546875" style="31" customWidth="1"/>
    <col min="26" max="16384" width="9.109375" style="31"/>
  </cols>
  <sheetData>
    <row r="2" spans="1:8" ht="15" thickBot="1" x14ac:dyDescent="0.35">
      <c r="A2" s="110" t="s">
        <v>86</v>
      </c>
      <c r="B2" s="110" t="s">
        <v>85</v>
      </c>
      <c r="D2" s="31" t="str">
        <f>"Y = "&amp;D4&amp;" + "&amp;E4&amp;"X"</f>
        <v>Y = b0 + b1X</v>
      </c>
    </row>
    <row r="3" spans="1:8" ht="15" thickBot="1" x14ac:dyDescent="0.35">
      <c r="A3" s="127" t="s">
        <v>84</v>
      </c>
      <c r="B3" s="127" t="s">
        <v>83</v>
      </c>
      <c r="D3" s="126" t="s">
        <v>50</v>
      </c>
      <c r="E3" s="125" t="s">
        <v>82</v>
      </c>
      <c r="F3" s="126" t="s">
        <v>81</v>
      </c>
      <c r="G3" s="125" t="s">
        <v>80</v>
      </c>
      <c r="H3" s="121"/>
    </row>
    <row r="4" spans="1:8" ht="15" thickBot="1" x14ac:dyDescent="0.35">
      <c r="A4" s="124">
        <v>20</v>
      </c>
      <c r="B4" s="124">
        <v>1468</v>
      </c>
      <c r="D4" s="123" t="s">
        <v>79</v>
      </c>
      <c r="E4" s="122" t="s">
        <v>78</v>
      </c>
      <c r="F4" s="123" t="s">
        <v>77</v>
      </c>
      <c r="G4" s="122"/>
      <c r="H4" s="121"/>
    </row>
    <row r="5" spans="1:8" ht="15" thickBot="1" x14ac:dyDescent="0.35">
      <c r="A5" s="114">
        <v>40</v>
      </c>
      <c r="B5" s="114">
        <v>1800</v>
      </c>
      <c r="D5" s="120">
        <f>INTERCEPT(B4:B12,A4:A12)</f>
        <v>1200.0000000000259</v>
      </c>
      <c r="E5" s="119">
        <f>SLOPE(B4:B12,A4:A12)</f>
        <v>15.999999999999865</v>
      </c>
      <c r="F5" s="118">
        <f>RSQ(B4:B12,A4:A12)</f>
        <v>0.98769654659397987</v>
      </c>
      <c r="G5" s="117">
        <f>STEYX(B4:B12,A4:A12)</f>
        <v>86.43599455619281</v>
      </c>
      <c r="H5" s="116"/>
    </row>
    <row r="6" spans="1:8" ht="15" thickBot="1" x14ac:dyDescent="0.35">
      <c r="A6" s="114">
        <v>50</v>
      </c>
      <c r="B6" s="114">
        <v>2000</v>
      </c>
      <c r="D6" s="115" t="s">
        <v>40</v>
      </c>
      <c r="E6" s="115" t="s">
        <v>76</v>
      </c>
    </row>
    <row r="7" spans="1:8" x14ac:dyDescent="0.3">
      <c r="A7" s="114">
        <v>70</v>
      </c>
      <c r="B7" s="114">
        <v>2300</v>
      </c>
    </row>
    <row r="8" spans="1:8" x14ac:dyDescent="0.3">
      <c r="A8" s="114">
        <v>90</v>
      </c>
      <c r="B8" s="114">
        <v>2700</v>
      </c>
    </row>
    <row r="9" spans="1:8" x14ac:dyDescent="0.3">
      <c r="A9" s="114">
        <v>100</v>
      </c>
      <c r="B9" s="114">
        <v>2961.1219253302847</v>
      </c>
    </row>
    <row r="10" spans="1:8" x14ac:dyDescent="0.3">
      <c r="A10" s="114">
        <v>120</v>
      </c>
      <c r="B10" s="114">
        <v>3173.4592379126093</v>
      </c>
    </row>
    <row r="11" spans="1:8" x14ac:dyDescent="0.3">
      <c r="A11" s="114">
        <v>140</v>
      </c>
      <c r="B11" s="114">
        <v>3390.0126596118184</v>
      </c>
    </row>
    <row r="12" spans="1:8" ht="15" thickBot="1" x14ac:dyDescent="0.35">
      <c r="A12" s="113">
        <v>150</v>
      </c>
      <c r="B12" s="113">
        <v>3487.4061771454217</v>
      </c>
    </row>
    <row r="17" spans="1:4" ht="17.399999999999999" x14ac:dyDescent="0.3">
      <c r="B17" s="112" t="s">
        <v>75</v>
      </c>
      <c r="C17" s="112" t="s">
        <v>74</v>
      </c>
      <c r="D17" s="112" t="s">
        <v>73</v>
      </c>
    </row>
    <row r="18" spans="1:4" x14ac:dyDescent="0.3">
      <c r="A18" s="111">
        <v>20</v>
      </c>
      <c r="B18" s="110">
        <f t="shared" ref="B18:B26" ca="1" si="0">INT(1000+20*A18+_xlfn.NORM.INV(RAND(), 0,300))</f>
        <v>1525</v>
      </c>
      <c r="C18" s="110">
        <f t="shared" ref="C18:C26" ca="1" si="1">INT(3000-15*A18+_xlfn.NORM.INV(RAND(),0,300))</f>
        <v>2737</v>
      </c>
      <c r="D18" s="110">
        <f t="shared" ref="D18:D26" ca="1" si="2">INT(10000*RAND())</f>
        <v>1746</v>
      </c>
    </row>
    <row r="19" spans="1:4" x14ac:dyDescent="0.3">
      <c r="A19" s="111">
        <v>40</v>
      </c>
      <c r="B19" s="110">
        <f t="shared" ca="1" si="0"/>
        <v>1985</v>
      </c>
      <c r="C19" s="110">
        <f t="shared" ca="1" si="1"/>
        <v>2019</v>
      </c>
      <c r="D19" s="110">
        <f t="shared" ca="1" si="2"/>
        <v>514</v>
      </c>
    </row>
    <row r="20" spans="1:4" x14ac:dyDescent="0.3">
      <c r="A20" s="111">
        <v>50</v>
      </c>
      <c r="B20" s="110">
        <f t="shared" ca="1" si="0"/>
        <v>1844</v>
      </c>
      <c r="C20" s="110">
        <f t="shared" ca="1" si="1"/>
        <v>2110</v>
      </c>
      <c r="D20" s="110">
        <f t="shared" ca="1" si="2"/>
        <v>6862</v>
      </c>
    </row>
    <row r="21" spans="1:4" x14ac:dyDescent="0.3">
      <c r="A21" s="111">
        <v>70</v>
      </c>
      <c r="B21" s="110">
        <f t="shared" ca="1" si="0"/>
        <v>2049</v>
      </c>
      <c r="C21" s="110">
        <f t="shared" ca="1" si="1"/>
        <v>2141</v>
      </c>
      <c r="D21" s="110">
        <f t="shared" ca="1" si="2"/>
        <v>2441</v>
      </c>
    </row>
    <row r="22" spans="1:4" x14ac:dyDescent="0.3">
      <c r="A22" s="111">
        <v>90</v>
      </c>
      <c r="B22" s="110">
        <f t="shared" ca="1" si="0"/>
        <v>2786</v>
      </c>
      <c r="C22" s="110">
        <f t="shared" ca="1" si="1"/>
        <v>1347</v>
      </c>
      <c r="D22" s="110">
        <f t="shared" ca="1" si="2"/>
        <v>7149</v>
      </c>
    </row>
    <row r="23" spans="1:4" x14ac:dyDescent="0.3">
      <c r="A23" s="111">
        <v>100</v>
      </c>
      <c r="B23" s="110">
        <f t="shared" ca="1" si="0"/>
        <v>3007</v>
      </c>
      <c r="C23" s="110">
        <f t="shared" ca="1" si="1"/>
        <v>1316</v>
      </c>
      <c r="D23" s="110">
        <f t="shared" ca="1" si="2"/>
        <v>3967</v>
      </c>
    </row>
    <row r="24" spans="1:4" x14ac:dyDescent="0.3">
      <c r="A24" s="111">
        <v>120</v>
      </c>
      <c r="B24" s="110">
        <f t="shared" ca="1" si="0"/>
        <v>3287</v>
      </c>
      <c r="C24" s="110">
        <f t="shared" ca="1" si="1"/>
        <v>841</v>
      </c>
      <c r="D24" s="110">
        <f t="shared" ca="1" si="2"/>
        <v>1534</v>
      </c>
    </row>
    <row r="25" spans="1:4" x14ac:dyDescent="0.3">
      <c r="A25" s="111">
        <v>140</v>
      </c>
      <c r="B25" s="110">
        <f t="shared" ca="1" si="0"/>
        <v>3962</v>
      </c>
      <c r="C25" s="110">
        <f t="shared" ca="1" si="1"/>
        <v>985</v>
      </c>
      <c r="D25" s="110">
        <f t="shared" ca="1" si="2"/>
        <v>2985</v>
      </c>
    </row>
    <row r="26" spans="1:4" x14ac:dyDescent="0.3">
      <c r="A26" s="111">
        <v>150</v>
      </c>
      <c r="B26" s="110">
        <f t="shared" ca="1" si="0"/>
        <v>4045</v>
      </c>
      <c r="C26" s="110">
        <f t="shared" ca="1" si="1"/>
        <v>656</v>
      </c>
      <c r="D26" s="110">
        <f t="shared" ca="1" si="2"/>
        <v>4587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zoomScale="66" zoomScaleNormal="66" workbookViewId="0">
      <selection activeCell="Y5" sqref="Y5"/>
    </sheetView>
  </sheetViews>
  <sheetFormatPr defaultColWidth="9.109375" defaultRowHeight="14.4" x14ac:dyDescent="0.3"/>
  <cols>
    <col min="1" max="3" width="9.109375" style="31"/>
    <col min="4" max="4" width="12.44140625" style="31" bestFit="1" customWidth="1"/>
    <col min="5" max="5" width="9.5546875" style="31" customWidth="1"/>
    <col min="6" max="8" width="9.109375" style="31"/>
    <col min="9" max="12" width="5.6640625" style="31" customWidth="1"/>
    <col min="13" max="13" width="17.44140625" style="31" bestFit="1" customWidth="1"/>
    <col min="14" max="14" width="7.6640625" style="31" bestFit="1" customWidth="1"/>
    <col min="15" max="15" width="9.44140625" style="31" bestFit="1" customWidth="1"/>
    <col min="16" max="16384" width="9.109375" style="31"/>
  </cols>
  <sheetData>
    <row r="1" spans="1:20" ht="23.4" x14ac:dyDescent="0.45">
      <c r="I1" s="110" t="s">
        <v>86</v>
      </c>
      <c r="J1" s="110" t="s">
        <v>89</v>
      </c>
      <c r="K1" s="110" t="s">
        <v>87</v>
      </c>
      <c r="L1" s="110" t="s">
        <v>93</v>
      </c>
      <c r="S1" s="136" t="s">
        <v>92</v>
      </c>
    </row>
    <row r="2" spans="1:20" ht="15" thickBot="1" x14ac:dyDescent="0.35">
      <c r="A2" s="31" t="str">
        <f>C5&amp;" vs. "&amp;C6</f>
        <v>P vs. Q</v>
      </c>
      <c r="D2" s="135" t="str">
        <f>"P="&amp;D5&amp;E4&amp;"Q"</f>
        <v>P=175-2.5Q</v>
      </c>
      <c r="G2" s="31" t="str">
        <f>"Q="&amp;D5/(-E4)&amp;"-"&amp;1/(E4)&amp;"P"</f>
        <v>Q=70--0.4P</v>
      </c>
      <c r="I2" s="110">
        <v>0</v>
      </c>
      <c r="J2" s="110">
        <f t="shared" ref="J2:J33" si="0">$D$5+$E$4*I2</f>
        <v>175</v>
      </c>
      <c r="K2" s="110">
        <f t="shared" ref="K2:K33" si="1">I2*J2</f>
        <v>0</v>
      </c>
      <c r="L2" s="110">
        <f>J2</f>
        <v>175</v>
      </c>
      <c r="M2" s="31" t="str">
        <f t="shared" ref="M2:O4" ca="1" si="2">_xlfn.FORMULATEXT(J2)</f>
        <v>=$D$5+$E$4*I2</v>
      </c>
      <c r="N2" s="31" t="str">
        <f t="shared" ca="1" si="2"/>
        <v>=I2*J2</v>
      </c>
      <c r="O2" s="31" t="str">
        <f t="shared" ca="1" si="2"/>
        <v>=J2</v>
      </c>
    </row>
    <row r="3" spans="1:20" ht="15" thickBot="1" x14ac:dyDescent="0.35">
      <c r="A3" s="110" t="s">
        <v>86</v>
      </c>
      <c r="B3" s="110" t="s">
        <v>89</v>
      </c>
      <c r="E3" s="127" t="s">
        <v>82</v>
      </c>
      <c r="I3" s="110">
        <v>1</v>
      </c>
      <c r="J3" s="110">
        <f t="shared" si="0"/>
        <v>172.5</v>
      </c>
      <c r="K3" s="110">
        <f t="shared" si="1"/>
        <v>172.5</v>
      </c>
      <c r="L3" s="110">
        <f t="shared" ref="L3:L34" si="3">K3-K2</f>
        <v>172.5</v>
      </c>
      <c r="M3" s="31" t="str">
        <f t="shared" ca="1" si="2"/>
        <v>=$D$5+$E$4*I3</v>
      </c>
      <c r="N3" s="31" t="str">
        <f t="shared" ca="1" si="2"/>
        <v>=I3*J3</v>
      </c>
      <c r="O3" s="31" t="str">
        <f t="shared" ca="1" si="2"/>
        <v>=K3-K2</v>
      </c>
      <c r="R3" s="31">
        <f>MAX($K$2:$K$72)</f>
        <v>3062.5</v>
      </c>
    </row>
    <row r="4" spans="1:20" ht="15" thickBot="1" x14ac:dyDescent="0.35">
      <c r="A4" s="110" t="s">
        <v>91</v>
      </c>
      <c r="B4" s="110" t="s">
        <v>90</v>
      </c>
      <c r="D4" s="134" t="s">
        <v>50</v>
      </c>
      <c r="E4" s="115">
        <f>SLOPE(B5:B12,A5:A12)</f>
        <v>-2.5</v>
      </c>
      <c r="G4" s="31">
        <f>-D5/E4</f>
        <v>70</v>
      </c>
      <c r="I4" s="110">
        <v>2</v>
      </c>
      <c r="J4" s="110">
        <f t="shared" si="0"/>
        <v>170</v>
      </c>
      <c r="K4" s="110">
        <f t="shared" si="1"/>
        <v>340</v>
      </c>
      <c r="L4" s="110">
        <f t="shared" si="3"/>
        <v>167.5</v>
      </c>
      <c r="M4" s="31" t="str">
        <f t="shared" ca="1" si="2"/>
        <v>=$D$5+$E$4*I4</v>
      </c>
      <c r="N4" s="31" t="str">
        <f t="shared" ca="1" si="2"/>
        <v>=I4*J4</v>
      </c>
      <c r="O4" s="31" t="str">
        <f t="shared" ca="1" si="2"/>
        <v>=K4-K3</v>
      </c>
      <c r="R4" s="31">
        <f>MATCH($R$3,$K$2:$K$72)</f>
        <v>36</v>
      </c>
    </row>
    <row r="5" spans="1:20" ht="15" thickBot="1" x14ac:dyDescent="0.35">
      <c r="A5" s="110">
        <v>15</v>
      </c>
      <c r="B5" s="110">
        <v>135</v>
      </c>
      <c r="C5" s="132" t="s">
        <v>89</v>
      </c>
      <c r="D5" s="133">
        <f>INTERCEPT(B5:B12,A5:A12)</f>
        <v>175</v>
      </c>
      <c r="E5" s="131">
        <v>0</v>
      </c>
      <c r="F5" s="31" t="s">
        <v>89</v>
      </c>
      <c r="G5" s="31">
        <f>1/E4</f>
        <v>-0.4</v>
      </c>
      <c r="I5" s="110">
        <v>3</v>
      </c>
      <c r="J5" s="110">
        <f t="shared" si="0"/>
        <v>167.5</v>
      </c>
      <c r="K5" s="110">
        <f t="shared" si="1"/>
        <v>502.5</v>
      </c>
      <c r="L5" s="110">
        <f t="shared" si="3"/>
        <v>162.5</v>
      </c>
      <c r="R5" s="31">
        <f>INDEX($J$2:$J$72,R4,0)</f>
        <v>87.5</v>
      </c>
    </row>
    <row r="6" spans="1:20" ht="15" thickBot="1" x14ac:dyDescent="0.35">
      <c r="A6" s="110">
        <v>20</v>
      </c>
      <c r="B6" s="110">
        <v>130</v>
      </c>
      <c r="C6" s="132" t="s">
        <v>86</v>
      </c>
      <c r="D6" s="131">
        <v>0</v>
      </c>
      <c r="E6" s="130">
        <f>D5/(-E4)</f>
        <v>70</v>
      </c>
      <c r="F6" s="31" t="s">
        <v>86</v>
      </c>
      <c r="I6" s="110">
        <v>4</v>
      </c>
      <c r="J6" s="110">
        <f t="shared" si="0"/>
        <v>165</v>
      </c>
      <c r="K6" s="110">
        <f t="shared" si="1"/>
        <v>660</v>
      </c>
      <c r="L6" s="110">
        <f t="shared" si="3"/>
        <v>157.5</v>
      </c>
      <c r="R6" s="31" t="str">
        <f>J1&amp;" vs. "&amp;$I$1</f>
        <v>P vs. Q</v>
      </c>
      <c r="S6" s="31" t="str">
        <f>K1&amp;" vs. "&amp;$I$1</f>
        <v>R vs. Q</v>
      </c>
      <c r="T6" s="31" t="str">
        <f>J1&amp;" and "&amp;L1&amp;" vs. "&amp;$I$1</f>
        <v>P and MR vs. Q</v>
      </c>
    </row>
    <row r="7" spans="1:20" x14ac:dyDescent="0.3">
      <c r="A7" s="110">
        <v>32</v>
      </c>
      <c r="B7" s="110">
        <v>89</v>
      </c>
      <c r="I7" s="110">
        <v>5</v>
      </c>
      <c r="J7" s="110">
        <f t="shared" si="0"/>
        <v>162.5</v>
      </c>
      <c r="K7" s="110">
        <f t="shared" si="1"/>
        <v>812.5</v>
      </c>
      <c r="L7" s="110">
        <f t="shared" si="3"/>
        <v>152.5</v>
      </c>
      <c r="S7" s="31" t="s">
        <v>88</v>
      </c>
    </row>
    <row r="8" spans="1:20" x14ac:dyDescent="0.3">
      <c r="A8" s="110">
        <v>45</v>
      </c>
      <c r="B8" s="110">
        <v>62</v>
      </c>
      <c r="D8" s="129">
        <f>A7</f>
        <v>32</v>
      </c>
      <c r="E8" s="129">
        <f>$D$5+$E$4*D8</f>
        <v>95</v>
      </c>
      <c r="F8" s="129">
        <f>D8*E8</f>
        <v>3040</v>
      </c>
      <c r="I8" s="110">
        <v>6</v>
      </c>
      <c r="J8" s="110">
        <f t="shared" si="0"/>
        <v>160</v>
      </c>
      <c r="K8" s="110">
        <f t="shared" si="1"/>
        <v>960</v>
      </c>
      <c r="L8" s="110">
        <f t="shared" si="3"/>
        <v>147.5</v>
      </c>
    </row>
    <row r="9" spans="1:20" x14ac:dyDescent="0.3">
      <c r="A9" s="110">
        <v>50</v>
      </c>
      <c r="B9" s="110">
        <v>60</v>
      </c>
      <c r="D9" s="128">
        <f>D8+1</f>
        <v>33</v>
      </c>
      <c r="E9" s="128">
        <f>$D$5+$E$4*D9</f>
        <v>92.5</v>
      </c>
      <c r="F9" s="128">
        <f>D9*E9</f>
        <v>3052.5</v>
      </c>
      <c r="I9" s="110">
        <v>7</v>
      </c>
      <c r="J9" s="110">
        <f t="shared" si="0"/>
        <v>157.5</v>
      </c>
      <c r="K9" s="110">
        <f t="shared" si="1"/>
        <v>1102.5</v>
      </c>
      <c r="L9" s="110">
        <f t="shared" si="3"/>
        <v>142.5</v>
      </c>
    </row>
    <row r="10" spans="1:20" x14ac:dyDescent="0.3">
      <c r="A10" s="110">
        <v>55</v>
      </c>
      <c r="B10" s="110">
        <v>31.6</v>
      </c>
      <c r="D10" s="110"/>
      <c r="E10" s="110"/>
      <c r="F10" s="110">
        <f>F9-F8</f>
        <v>12.5</v>
      </c>
      <c r="I10" s="110">
        <v>8</v>
      </c>
      <c r="J10" s="110">
        <f t="shared" si="0"/>
        <v>155</v>
      </c>
      <c r="K10" s="110">
        <f t="shared" si="1"/>
        <v>1240</v>
      </c>
      <c r="L10" s="110">
        <f t="shared" si="3"/>
        <v>137.5</v>
      </c>
    </row>
    <row r="11" spans="1:20" x14ac:dyDescent="0.3">
      <c r="A11" s="110">
        <v>60</v>
      </c>
      <c r="B11" s="110">
        <v>28.4</v>
      </c>
      <c r="I11" s="110">
        <v>9</v>
      </c>
      <c r="J11" s="110">
        <f t="shared" si="0"/>
        <v>152.5</v>
      </c>
      <c r="K11" s="110">
        <f t="shared" si="1"/>
        <v>1372.5</v>
      </c>
      <c r="L11" s="110">
        <f t="shared" si="3"/>
        <v>132.5</v>
      </c>
    </row>
    <row r="12" spans="1:20" x14ac:dyDescent="0.3">
      <c r="A12" s="110">
        <v>65</v>
      </c>
      <c r="B12" s="110">
        <v>9</v>
      </c>
      <c r="I12" s="110">
        <v>10</v>
      </c>
      <c r="J12" s="110">
        <f t="shared" si="0"/>
        <v>150</v>
      </c>
      <c r="K12" s="110">
        <f t="shared" si="1"/>
        <v>1500</v>
      </c>
      <c r="L12" s="110">
        <f t="shared" si="3"/>
        <v>127.5</v>
      </c>
    </row>
    <row r="13" spans="1:20" x14ac:dyDescent="0.3">
      <c r="D13" s="31" t="s">
        <v>87</v>
      </c>
      <c r="I13" s="110">
        <v>11</v>
      </c>
      <c r="J13" s="110">
        <f t="shared" si="0"/>
        <v>147.5</v>
      </c>
      <c r="K13" s="110">
        <f t="shared" si="1"/>
        <v>1622.5</v>
      </c>
      <c r="L13" s="110">
        <f t="shared" si="3"/>
        <v>122.5</v>
      </c>
    </row>
    <row r="14" spans="1:20" x14ac:dyDescent="0.3">
      <c r="I14" s="110">
        <v>12</v>
      </c>
      <c r="J14" s="110">
        <f t="shared" si="0"/>
        <v>145</v>
      </c>
      <c r="K14" s="110">
        <f t="shared" si="1"/>
        <v>1740</v>
      </c>
      <c r="L14" s="110">
        <f t="shared" si="3"/>
        <v>117.5</v>
      </c>
    </row>
    <row r="15" spans="1:20" x14ac:dyDescent="0.3">
      <c r="I15" s="110">
        <v>13</v>
      </c>
      <c r="J15" s="110">
        <f t="shared" si="0"/>
        <v>142.5</v>
      </c>
      <c r="K15" s="110">
        <f t="shared" si="1"/>
        <v>1852.5</v>
      </c>
      <c r="L15" s="110">
        <f t="shared" si="3"/>
        <v>112.5</v>
      </c>
    </row>
    <row r="16" spans="1:20" x14ac:dyDescent="0.3">
      <c r="I16" s="110">
        <v>14</v>
      </c>
      <c r="J16" s="110">
        <f t="shared" si="0"/>
        <v>140</v>
      </c>
      <c r="K16" s="110">
        <f t="shared" si="1"/>
        <v>1960</v>
      </c>
      <c r="L16" s="110">
        <f t="shared" si="3"/>
        <v>107.5</v>
      </c>
    </row>
    <row r="17" spans="9:12" x14ac:dyDescent="0.3">
      <c r="I17" s="110">
        <v>15</v>
      </c>
      <c r="J17" s="110">
        <f t="shared" si="0"/>
        <v>137.5</v>
      </c>
      <c r="K17" s="110">
        <f t="shared" si="1"/>
        <v>2062.5</v>
      </c>
      <c r="L17" s="110">
        <f t="shared" si="3"/>
        <v>102.5</v>
      </c>
    </row>
    <row r="18" spans="9:12" x14ac:dyDescent="0.3">
      <c r="I18" s="110">
        <v>16</v>
      </c>
      <c r="J18" s="110">
        <f t="shared" si="0"/>
        <v>135</v>
      </c>
      <c r="K18" s="110">
        <f t="shared" si="1"/>
        <v>2160</v>
      </c>
      <c r="L18" s="110">
        <f t="shared" si="3"/>
        <v>97.5</v>
      </c>
    </row>
    <row r="19" spans="9:12" x14ac:dyDescent="0.3">
      <c r="I19" s="110">
        <v>17</v>
      </c>
      <c r="J19" s="110">
        <f t="shared" si="0"/>
        <v>132.5</v>
      </c>
      <c r="K19" s="110">
        <f t="shared" si="1"/>
        <v>2252.5</v>
      </c>
      <c r="L19" s="110">
        <f t="shared" si="3"/>
        <v>92.5</v>
      </c>
    </row>
    <row r="20" spans="9:12" x14ac:dyDescent="0.3">
      <c r="I20" s="110">
        <v>18</v>
      </c>
      <c r="J20" s="110">
        <f t="shared" si="0"/>
        <v>130</v>
      </c>
      <c r="K20" s="110">
        <f t="shared" si="1"/>
        <v>2340</v>
      </c>
      <c r="L20" s="110">
        <f t="shared" si="3"/>
        <v>87.5</v>
      </c>
    </row>
    <row r="21" spans="9:12" x14ac:dyDescent="0.3">
      <c r="I21" s="110">
        <v>19</v>
      </c>
      <c r="J21" s="110">
        <f t="shared" si="0"/>
        <v>127.5</v>
      </c>
      <c r="K21" s="110">
        <f t="shared" si="1"/>
        <v>2422.5</v>
      </c>
      <c r="L21" s="110">
        <f t="shared" si="3"/>
        <v>82.5</v>
      </c>
    </row>
    <row r="22" spans="9:12" x14ac:dyDescent="0.3">
      <c r="I22" s="110">
        <v>20</v>
      </c>
      <c r="J22" s="110">
        <f t="shared" si="0"/>
        <v>125</v>
      </c>
      <c r="K22" s="110">
        <f t="shared" si="1"/>
        <v>2500</v>
      </c>
      <c r="L22" s="110">
        <f t="shared" si="3"/>
        <v>77.5</v>
      </c>
    </row>
    <row r="23" spans="9:12" x14ac:dyDescent="0.3">
      <c r="I23" s="110">
        <v>21</v>
      </c>
      <c r="J23" s="110">
        <f t="shared" si="0"/>
        <v>122.5</v>
      </c>
      <c r="K23" s="110">
        <f t="shared" si="1"/>
        <v>2572.5</v>
      </c>
      <c r="L23" s="110">
        <f t="shared" si="3"/>
        <v>72.5</v>
      </c>
    </row>
    <row r="24" spans="9:12" x14ac:dyDescent="0.3">
      <c r="I24" s="110">
        <v>22</v>
      </c>
      <c r="J24" s="110">
        <f t="shared" si="0"/>
        <v>120</v>
      </c>
      <c r="K24" s="110">
        <f t="shared" si="1"/>
        <v>2640</v>
      </c>
      <c r="L24" s="110">
        <f t="shared" si="3"/>
        <v>67.5</v>
      </c>
    </row>
    <row r="25" spans="9:12" x14ac:dyDescent="0.3">
      <c r="I25" s="110">
        <v>23</v>
      </c>
      <c r="J25" s="110">
        <f t="shared" si="0"/>
        <v>117.5</v>
      </c>
      <c r="K25" s="110">
        <f t="shared" si="1"/>
        <v>2702.5</v>
      </c>
      <c r="L25" s="110">
        <f t="shared" si="3"/>
        <v>62.5</v>
      </c>
    </row>
    <row r="26" spans="9:12" x14ac:dyDescent="0.3">
      <c r="I26" s="110">
        <v>24</v>
      </c>
      <c r="J26" s="110">
        <f t="shared" si="0"/>
        <v>115</v>
      </c>
      <c r="K26" s="110">
        <f t="shared" si="1"/>
        <v>2760</v>
      </c>
      <c r="L26" s="110">
        <f t="shared" si="3"/>
        <v>57.5</v>
      </c>
    </row>
    <row r="27" spans="9:12" x14ac:dyDescent="0.3">
      <c r="I27" s="110">
        <v>25</v>
      </c>
      <c r="J27" s="110">
        <f t="shared" si="0"/>
        <v>112.5</v>
      </c>
      <c r="K27" s="110">
        <f t="shared" si="1"/>
        <v>2812.5</v>
      </c>
      <c r="L27" s="110">
        <f t="shared" si="3"/>
        <v>52.5</v>
      </c>
    </row>
    <row r="28" spans="9:12" x14ac:dyDescent="0.3">
      <c r="I28" s="110">
        <v>26</v>
      </c>
      <c r="J28" s="110">
        <f t="shared" si="0"/>
        <v>110</v>
      </c>
      <c r="K28" s="110">
        <f t="shared" si="1"/>
        <v>2860</v>
      </c>
      <c r="L28" s="110">
        <f t="shared" si="3"/>
        <v>47.5</v>
      </c>
    </row>
    <row r="29" spans="9:12" x14ac:dyDescent="0.3">
      <c r="I29" s="110">
        <v>27</v>
      </c>
      <c r="J29" s="110">
        <f t="shared" si="0"/>
        <v>107.5</v>
      </c>
      <c r="K29" s="110">
        <f t="shared" si="1"/>
        <v>2902.5</v>
      </c>
      <c r="L29" s="110">
        <f t="shared" si="3"/>
        <v>42.5</v>
      </c>
    </row>
    <row r="30" spans="9:12" x14ac:dyDescent="0.3">
      <c r="I30" s="110">
        <v>28</v>
      </c>
      <c r="J30" s="110">
        <f t="shared" si="0"/>
        <v>105</v>
      </c>
      <c r="K30" s="110">
        <f t="shared" si="1"/>
        <v>2940</v>
      </c>
      <c r="L30" s="110">
        <f t="shared" si="3"/>
        <v>37.5</v>
      </c>
    </row>
    <row r="31" spans="9:12" x14ac:dyDescent="0.3">
      <c r="I31" s="110">
        <v>29</v>
      </c>
      <c r="J31" s="110">
        <f t="shared" si="0"/>
        <v>102.5</v>
      </c>
      <c r="K31" s="110">
        <f t="shared" si="1"/>
        <v>2972.5</v>
      </c>
      <c r="L31" s="110">
        <f t="shared" si="3"/>
        <v>32.5</v>
      </c>
    </row>
    <row r="32" spans="9:12" x14ac:dyDescent="0.3">
      <c r="I32" s="110">
        <v>30</v>
      </c>
      <c r="J32" s="110">
        <f t="shared" si="0"/>
        <v>100</v>
      </c>
      <c r="K32" s="110">
        <f t="shared" si="1"/>
        <v>3000</v>
      </c>
      <c r="L32" s="110">
        <f t="shared" si="3"/>
        <v>27.5</v>
      </c>
    </row>
    <row r="33" spans="9:12" x14ac:dyDescent="0.3">
      <c r="I33" s="110">
        <v>31</v>
      </c>
      <c r="J33" s="110">
        <f t="shared" si="0"/>
        <v>97.5</v>
      </c>
      <c r="K33" s="110">
        <f t="shared" si="1"/>
        <v>3022.5</v>
      </c>
      <c r="L33" s="110">
        <f t="shared" si="3"/>
        <v>22.5</v>
      </c>
    </row>
    <row r="34" spans="9:12" x14ac:dyDescent="0.3">
      <c r="I34" s="110">
        <v>32</v>
      </c>
      <c r="J34" s="110">
        <f t="shared" ref="J34:J65" si="4">$D$5+$E$4*I34</f>
        <v>95</v>
      </c>
      <c r="K34" s="110">
        <f t="shared" ref="K34:K65" si="5">I34*J34</f>
        <v>3040</v>
      </c>
      <c r="L34" s="110">
        <f t="shared" si="3"/>
        <v>17.5</v>
      </c>
    </row>
    <row r="35" spans="9:12" x14ac:dyDescent="0.3">
      <c r="I35" s="110">
        <v>33</v>
      </c>
      <c r="J35" s="110">
        <f t="shared" si="4"/>
        <v>92.5</v>
      </c>
      <c r="K35" s="110">
        <f t="shared" si="5"/>
        <v>3052.5</v>
      </c>
      <c r="L35" s="110">
        <f t="shared" ref="L35:L66" si="6">K35-K34</f>
        <v>12.5</v>
      </c>
    </row>
    <row r="36" spans="9:12" x14ac:dyDescent="0.3">
      <c r="I36" s="110">
        <v>34</v>
      </c>
      <c r="J36" s="110">
        <f t="shared" si="4"/>
        <v>90</v>
      </c>
      <c r="K36" s="110">
        <f t="shared" si="5"/>
        <v>3060</v>
      </c>
      <c r="L36" s="110">
        <f t="shared" si="6"/>
        <v>7.5</v>
      </c>
    </row>
    <row r="37" spans="9:12" x14ac:dyDescent="0.3">
      <c r="I37" s="110">
        <v>35</v>
      </c>
      <c r="J37" s="110">
        <f t="shared" si="4"/>
        <v>87.5</v>
      </c>
      <c r="K37" s="110">
        <f t="shared" si="5"/>
        <v>3062.5</v>
      </c>
      <c r="L37" s="110">
        <f t="shared" si="6"/>
        <v>2.5</v>
      </c>
    </row>
    <row r="38" spans="9:12" x14ac:dyDescent="0.3">
      <c r="I38" s="110">
        <v>36</v>
      </c>
      <c r="J38" s="110">
        <f t="shared" si="4"/>
        <v>85</v>
      </c>
      <c r="K38" s="110">
        <f t="shared" si="5"/>
        <v>3060</v>
      </c>
      <c r="L38" s="110">
        <f t="shared" si="6"/>
        <v>-2.5</v>
      </c>
    </row>
    <row r="39" spans="9:12" x14ac:dyDescent="0.3">
      <c r="I39" s="110">
        <v>37</v>
      </c>
      <c r="J39" s="110">
        <f t="shared" si="4"/>
        <v>82.5</v>
      </c>
      <c r="K39" s="110">
        <f t="shared" si="5"/>
        <v>3052.5</v>
      </c>
      <c r="L39" s="110">
        <f t="shared" si="6"/>
        <v>-7.5</v>
      </c>
    </row>
    <row r="40" spans="9:12" x14ac:dyDescent="0.3">
      <c r="I40" s="110">
        <v>38</v>
      </c>
      <c r="J40" s="110">
        <f t="shared" si="4"/>
        <v>80</v>
      </c>
      <c r="K40" s="110">
        <f t="shared" si="5"/>
        <v>3040</v>
      </c>
      <c r="L40" s="110">
        <f t="shared" si="6"/>
        <v>-12.5</v>
      </c>
    </row>
    <row r="41" spans="9:12" x14ac:dyDescent="0.3">
      <c r="I41" s="110">
        <v>39</v>
      </c>
      <c r="J41" s="110">
        <f t="shared" si="4"/>
        <v>77.5</v>
      </c>
      <c r="K41" s="110">
        <f t="shared" si="5"/>
        <v>3022.5</v>
      </c>
      <c r="L41" s="110">
        <f t="shared" si="6"/>
        <v>-17.5</v>
      </c>
    </row>
    <row r="42" spans="9:12" x14ac:dyDescent="0.3">
      <c r="I42" s="110">
        <v>40</v>
      </c>
      <c r="J42" s="110">
        <f t="shared" si="4"/>
        <v>75</v>
      </c>
      <c r="K42" s="110">
        <f t="shared" si="5"/>
        <v>3000</v>
      </c>
      <c r="L42" s="110">
        <f t="shared" si="6"/>
        <v>-22.5</v>
      </c>
    </row>
    <row r="43" spans="9:12" x14ac:dyDescent="0.3">
      <c r="I43" s="110">
        <v>41</v>
      </c>
      <c r="J43" s="110">
        <f t="shared" si="4"/>
        <v>72.5</v>
      </c>
      <c r="K43" s="110">
        <f t="shared" si="5"/>
        <v>2972.5</v>
      </c>
      <c r="L43" s="110">
        <f t="shared" si="6"/>
        <v>-27.5</v>
      </c>
    </row>
    <row r="44" spans="9:12" x14ac:dyDescent="0.3">
      <c r="I44" s="110">
        <v>42</v>
      </c>
      <c r="J44" s="110">
        <f t="shared" si="4"/>
        <v>70</v>
      </c>
      <c r="K44" s="110">
        <f t="shared" si="5"/>
        <v>2940</v>
      </c>
      <c r="L44" s="110">
        <f t="shared" si="6"/>
        <v>-32.5</v>
      </c>
    </row>
    <row r="45" spans="9:12" x14ac:dyDescent="0.3">
      <c r="I45" s="110">
        <v>43</v>
      </c>
      <c r="J45" s="110">
        <f t="shared" si="4"/>
        <v>67.5</v>
      </c>
      <c r="K45" s="110">
        <f t="shared" si="5"/>
        <v>2902.5</v>
      </c>
      <c r="L45" s="110">
        <f t="shared" si="6"/>
        <v>-37.5</v>
      </c>
    </row>
    <row r="46" spans="9:12" x14ac:dyDescent="0.3">
      <c r="I46" s="110">
        <v>44</v>
      </c>
      <c r="J46" s="110">
        <f t="shared" si="4"/>
        <v>65</v>
      </c>
      <c r="K46" s="110">
        <f t="shared" si="5"/>
        <v>2860</v>
      </c>
      <c r="L46" s="110">
        <f t="shared" si="6"/>
        <v>-42.5</v>
      </c>
    </row>
    <row r="47" spans="9:12" x14ac:dyDescent="0.3">
      <c r="I47" s="110">
        <v>45</v>
      </c>
      <c r="J47" s="110">
        <f t="shared" si="4"/>
        <v>62.5</v>
      </c>
      <c r="K47" s="110">
        <f t="shared" si="5"/>
        <v>2812.5</v>
      </c>
      <c r="L47" s="110">
        <f t="shared" si="6"/>
        <v>-47.5</v>
      </c>
    </row>
    <row r="48" spans="9:12" x14ac:dyDescent="0.3">
      <c r="I48" s="110">
        <v>46</v>
      </c>
      <c r="J48" s="110">
        <f t="shared" si="4"/>
        <v>60</v>
      </c>
      <c r="K48" s="110">
        <f t="shared" si="5"/>
        <v>2760</v>
      </c>
      <c r="L48" s="110">
        <f t="shared" si="6"/>
        <v>-52.5</v>
      </c>
    </row>
    <row r="49" spans="9:12" x14ac:dyDescent="0.3">
      <c r="I49" s="110">
        <v>47</v>
      </c>
      <c r="J49" s="110">
        <f t="shared" si="4"/>
        <v>57.5</v>
      </c>
      <c r="K49" s="110">
        <f t="shared" si="5"/>
        <v>2702.5</v>
      </c>
      <c r="L49" s="110">
        <f t="shared" si="6"/>
        <v>-57.5</v>
      </c>
    </row>
    <row r="50" spans="9:12" x14ac:dyDescent="0.3">
      <c r="I50" s="110">
        <v>48</v>
      </c>
      <c r="J50" s="110">
        <f t="shared" si="4"/>
        <v>55</v>
      </c>
      <c r="K50" s="110">
        <f t="shared" si="5"/>
        <v>2640</v>
      </c>
      <c r="L50" s="110">
        <f t="shared" si="6"/>
        <v>-62.5</v>
      </c>
    </row>
    <row r="51" spans="9:12" x14ac:dyDescent="0.3">
      <c r="I51" s="110">
        <v>49</v>
      </c>
      <c r="J51" s="110">
        <f t="shared" si="4"/>
        <v>52.5</v>
      </c>
      <c r="K51" s="110">
        <f t="shared" si="5"/>
        <v>2572.5</v>
      </c>
      <c r="L51" s="110">
        <f t="shared" si="6"/>
        <v>-67.5</v>
      </c>
    </row>
    <row r="52" spans="9:12" x14ac:dyDescent="0.3">
      <c r="I52" s="110">
        <v>50</v>
      </c>
      <c r="J52" s="110">
        <f t="shared" si="4"/>
        <v>50</v>
      </c>
      <c r="K52" s="110">
        <f t="shared" si="5"/>
        <v>2500</v>
      </c>
      <c r="L52" s="110">
        <f t="shared" si="6"/>
        <v>-72.5</v>
      </c>
    </row>
    <row r="53" spans="9:12" x14ac:dyDescent="0.3">
      <c r="I53" s="110">
        <v>51</v>
      </c>
      <c r="J53" s="110">
        <f t="shared" si="4"/>
        <v>47.5</v>
      </c>
      <c r="K53" s="110">
        <f t="shared" si="5"/>
        <v>2422.5</v>
      </c>
      <c r="L53" s="110">
        <f t="shared" si="6"/>
        <v>-77.5</v>
      </c>
    </row>
    <row r="54" spans="9:12" x14ac:dyDescent="0.3">
      <c r="I54" s="110">
        <v>52</v>
      </c>
      <c r="J54" s="110">
        <f t="shared" si="4"/>
        <v>45</v>
      </c>
      <c r="K54" s="110">
        <f t="shared" si="5"/>
        <v>2340</v>
      </c>
      <c r="L54" s="110">
        <f t="shared" si="6"/>
        <v>-82.5</v>
      </c>
    </row>
    <row r="55" spans="9:12" x14ac:dyDescent="0.3">
      <c r="I55" s="110">
        <v>53</v>
      </c>
      <c r="J55" s="110">
        <f t="shared" si="4"/>
        <v>42.5</v>
      </c>
      <c r="K55" s="110">
        <f t="shared" si="5"/>
        <v>2252.5</v>
      </c>
      <c r="L55" s="110">
        <f t="shared" si="6"/>
        <v>-87.5</v>
      </c>
    </row>
    <row r="56" spans="9:12" x14ac:dyDescent="0.3">
      <c r="I56" s="110">
        <v>54</v>
      </c>
      <c r="J56" s="110">
        <f t="shared" si="4"/>
        <v>40</v>
      </c>
      <c r="K56" s="110">
        <f t="shared" si="5"/>
        <v>2160</v>
      </c>
      <c r="L56" s="110">
        <f t="shared" si="6"/>
        <v>-92.5</v>
      </c>
    </row>
    <row r="57" spans="9:12" x14ac:dyDescent="0.3">
      <c r="I57" s="110">
        <v>55</v>
      </c>
      <c r="J57" s="110">
        <f t="shared" si="4"/>
        <v>37.5</v>
      </c>
      <c r="K57" s="110">
        <f t="shared" si="5"/>
        <v>2062.5</v>
      </c>
      <c r="L57" s="110">
        <f t="shared" si="6"/>
        <v>-97.5</v>
      </c>
    </row>
    <row r="58" spans="9:12" x14ac:dyDescent="0.3">
      <c r="I58" s="110">
        <v>56</v>
      </c>
      <c r="J58" s="110">
        <f t="shared" si="4"/>
        <v>35</v>
      </c>
      <c r="K58" s="110">
        <f t="shared" si="5"/>
        <v>1960</v>
      </c>
      <c r="L58" s="110">
        <f t="shared" si="6"/>
        <v>-102.5</v>
      </c>
    </row>
    <row r="59" spans="9:12" x14ac:dyDescent="0.3">
      <c r="I59" s="110">
        <v>57</v>
      </c>
      <c r="J59" s="110">
        <f t="shared" si="4"/>
        <v>32.5</v>
      </c>
      <c r="K59" s="110">
        <f t="shared" si="5"/>
        <v>1852.5</v>
      </c>
      <c r="L59" s="110">
        <f t="shared" si="6"/>
        <v>-107.5</v>
      </c>
    </row>
    <row r="60" spans="9:12" x14ac:dyDescent="0.3">
      <c r="I60" s="110">
        <v>58</v>
      </c>
      <c r="J60" s="110">
        <f t="shared" si="4"/>
        <v>30</v>
      </c>
      <c r="K60" s="110">
        <f t="shared" si="5"/>
        <v>1740</v>
      </c>
      <c r="L60" s="110">
        <f t="shared" si="6"/>
        <v>-112.5</v>
      </c>
    </row>
    <row r="61" spans="9:12" x14ac:dyDescent="0.3">
      <c r="I61" s="110">
        <v>59</v>
      </c>
      <c r="J61" s="110">
        <f t="shared" si="4"/>
        <v>27.5</v>
      </c>
      <c r="K61" s="110">
        <f t="shared" si="5"/>
        <v>1622.5</v>
      </c>
      <c r="L61" s="110">
        <f t="shared" si="6"/>
        <v>-117.5</v>
      </c>
    </row>
    <row r="62" spans="9:12" x14ac:dyDescent="0.3">
      <c r="I62" s="110">
        <v>60</v>
      </c>
      <c r="J62" s="110">
        <f t="shared" si="4"/>
        <v>25</v>
      </c>
      <c r="K62" s="110">
        <f t="shared" si="5"/>
        <v>1500</v>
      </c>
      <c r="L62" s="110">
        <f t="shared" si="6"/>
        <v>-122.5</v>
      </c>
    </row>
    <row r="63" spans="9:12" x14ac:dyDescent="0.3">
      <c r="I63" s="110">
        <v>61</v>
      </c>
      <c r="J63" s="110">
        <f t="shared" si="4"/>
        <v>22.5</v>
      </c>
      <c r="K63" s="110">
        <f t="shared" si="5"/>
        <v>1372.5</v>
      </c>
      <c r="L63" s="110">
        <f t="shared" si="6"/>
        <v>-127.5</v>
      </c>
    </row>
    <row r="64" spans="9:12" x14ac:dyDescent="0.3">
      <c r="I64" s="110">
        <v>62</v>
      </c>
      <c r="J64" s="110">
        <f t="shared" si="4"/>
        <v>20</v>
      </c>
      <c r="K64" s="110">
        <f t="shared" si="5"/>
        <v>1240</v>
      </c>
      <c r="L64" s="110">
        <f t="shared" si="6"/>
        <v>-132.5</v>
      </c>
    </row>
    <row r="65" spans="9:12" x14ac:dyDescent="0.3">
      <c r="I65" s="110">
        <v>63</v>
      </c>
      <c r="J65" s="110">
        <f t="shared" si="4"/>
        <v>17.5</v>
      </c>
      <c r="K65" s="110">
        <f t="shared" si="5"/>
        <v>1102.5</v>
      </c>
      <c r="L65" s="110">
        <f t="shared" si="6"/>
        <v>-137.5</v>
      </c>
    </row>
    <row r="66" spans="9:12" x14ac:dyDescent="0.3">
      <c r="I66" s="110">
        <v>64</v>
      </c>
      <c r="J66" s="110">
        <f t="shared" ref="J66:J97" si="7">$D$5+$E$4*I66</f>
        <v>15</v>
      </c>
      <c r="K66" s="110">
        <f t="shared" ref="K66:K97" si="8">I66*J66</f>
        <v>960</v>
      </c>
      <c r="L66" s="110">
        <f t="shared" si="6"/>
        <v>-142.5</v>
      </c>
    </row>
    <row r="67" spans="9:12" x14ac:dyDescent="0.3">
      <c r="I67" s="110">
        <v>65</v>
      </c>
      <c r="J67" s="110">
        <f t="shared" si="7"/>
        <v>12.5</v>
      </c>
      <c r="K67" s="110">
        <f t="shared" si="8"/>
        <v>812.5</v>
      </c>
      <c r="L67" s="110">
        <f t="shared" ref="L67:L98" si="9">K67-K66</f>
        <v>-147.5</v>
      </c>
    </row>
    <row r="68" spans="9:12" x14ac:dyDescent="0.3">
      <c r="I68" s="110">
        <v>66</v>
      </c>
      <c r="J68" s="110">
        <f t="shared" si="7"/>
        <v>10</v>
      </c>
      <c r="K68" s="110">
        <f t="shared" si="8"/>
        <v>660</v>
      </c>
      <c r="L68" s="110">
        <f t="shared" si="9"/>
        <v>-152.5</v>
      </c>
    </row>
    <row r="69" spans="9:12" x14ac:dyDescent="0.3">
      <c r="I69" s="110">
        <v>67</v>
      </c>
      <c r="J69" s="110">
        <f t="shared" si="7"/>
        <v>7.5</v>
      </c>
      <c r="K69" s="110">
        <f t="shared" si="8"/>
        <v>502.5</v>
      </c>
      <c r="L69" s="110">
        <f t="shared" si="9"/>
        <v>-157.5</v>
      </c>
    </row>
    <row r="70" spans="9:12" x14ac:dyDescent="0.3">
      <c r="I70" s="110">
        <v>68</v>
      </c>
      <c r="J70" s="110">
        <f t="shared" si="7"/>
        <v>5</v>
      </c>
      <c r="K70" s="110">
        <f t="shared" si="8"/>
        <v>340</v>
      </c>
      <c r="L70" s="110">
        <f t="shared" si="9"/>
        <v>-162.5</v>
      </c>
    </row>
    <row r="71" spans="9:12" x14ac:dyDescent="0.3">
      <c r="I71" s="110">
        <v>69</v>
      </c>
      <c r="J71" s="110">
        <f t="shared" si="7"/>
        <v>2.5</v>
      </c>
      <c r="K71" s="110">
        <f t="shared" si="8"/>
        <v>172.5</v>
      </c>
      <c r="L71" s="110">
        <f t="shared" si="9"/>
        <v>-167.5</v>
      </c>
    </row>
    <row r="72" spans="9:12" x14ac:dyDescent="0.3">
      <c r="I72" s="110">
        <v>70</v>
      </c>
      <c r="J72" s="110">
        <f t="shared" si="7"/>
        <v>0</v>
      </c>
      <c r="K72" s="110">
        <f t="shared" si="8"/>
        <v>0</v>
      </c>
      <c r="L72" s="110">
        <f t="shared" si="9"/>
        <v>-172.5</v>
      </c>
    </row>
  </sheetData>
  <hyperlinks>
    <hyperlink ref="S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0.ArdiData</vt:lpstr>
      <vt:lpstr>1.DemandForecast</vt:lpstr>
      <vt:lpstr>2.Total Cost</vt:lpstr>
      <vt:lpstr>3. DemandCurves</vt:lpstr>
      <vt:lpstr>page1</vt:lpstr>
      <vt:lpstr>page2</vt:lpstr>
      <vt:lpstr>page3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2018-08-08T18:27:03Z</dcterms:modified>
</cp:coreProperties>
</file>