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1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drawings/drawing9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0.xml" ContentType="application/vnd.openxmlformats-officedocument.drawing+xml"/>
  <Override PartName="/xl/charts/chart26.xml" ContentType="application/vnd.openxmlformats-officedocument.drawingml.chart+xml"/>
  <Override PartName="/xl/drawings/drawing11.xml" ContentType="application/vnd.openxmlformats-officedocument.drawing+xml"/>
  <Override PartName="/xl/charts/chart27.xml" ContentType="application/vnd.openxmlformats-officedocument.drawingml.chart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3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3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3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4.xml" ContentType="application/vnd.openxmlformats-officedocument.drawing+xml"/>
  <Override PartName="/xl/charts/chart33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34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35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36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5.xml" ContentType="application/vnd.openxmlformats-officedocument.drawing+xml"/>
  <Override PartName="/xl/charts/chart3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3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4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6.xml" ContentType="application/vnd.openxmlformats-officedocument.drawing+xml"/>
  <Override PartName="/xl/ink/ink1.xml" ContentType="application/inkml+xml"/>
  <Override PartName="/xl/charts/chart4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7.xml" ContentType="application/vnd.openxmlformats-officedocument.drawing+xml"/>
  <Override PartName="/xl/charts/chart4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9.xml" ContentType="application/vnd.openxmlformats-officedocument.drawing+xml"/>
  <Override PartName="/xl/charts/chart45.xml" ContentType="application/vnd.openxmlformats-officedocument.drawingml.chart+xml"/>
  <Override PartName="/xl/drawings/drawing20.xml" ContentType="application/vnd.openxmlformats-officedocument.drawing+xml"/>
  <Override PartName="/xl/charts/chart46.xml" ContentType="application/vnd.openxmlformats-officedocument.drawingml.chart+xml"/>
  <Override PartName="/xl/drawings/drawing21.xml" ContentType="application/vnd.openxmlformats-officedocument.drawing+xml"/>
  <Override PartName="/xl/charts/chart4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4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4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5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2.xml" ContentType="application/vnd.openxmlformats-officedocument.drawing+xml"/>
  <Override PartName="/xl/charts/chart51.xml" ContentType="application/vnd.openxmlformats-officedocument.drawingml.chart+xml"/>
  <Override PartName="/xl/drawings/drawing23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PredAnalBase2021\"/>
    </mc:Choice>
  </mc:AlternateContent>
  <xr:revisionPtr revIDLastSave="0" documentId="13_ncr:1_{64A29AA7-A309-445F-8D63-9E69AA335020}" xr6:coauthVersionLast="45" xr6:coauthVersionMax="45" xr10:uidLastSave="{00000000-0000-0000-0000-000000000000}"/>
  <bookViews>
    <workbookView xWindow="-120" yWindow="-120" windowWidth="29040" windowHeight="15840" firstSheet="14" activeTab="18" xr2:uid="{00000000-000D-0000-FFFF-FFFF00000000}"/>
  </bookViews>
  <sheets>
    <sheet name="0.ArdiData28Fixed" sheetId="24" r:id="rId1"/>
    <sheet name="1.StatFitPoissNorm" sheetId="46" r:id="rId2"/>
    <sheet name="MA.1P.AP" sheetId="40" r:id="rId3"/>
    <sheet name="MA.MAD.TS" sheetId="41" r:id="rId4"/>
    <sheet name="MA.MSE.MAPE" sheetId="42" r:id="rId5"/>
    <sheet name="BIA.MAD.MSE.MAPE.TS" sheetId="43" r:id="rId6"/>
    <sheet name="Stationary" sheetId="44" r:id="rId7"/>
    <sheet name="Every.MA" sheetId="45" r:id="rId8"/>
    <sheet name="ES-Simp" sheetId="31" r:id="rId9"/>
    <sheet name="ES.Simp.Trend" sheetId="33" r:id="rId10"/>
    <sheet name="TrendAdj" sheetId="32" r:id="rId11"/>
    <sheet name="Trend&amp;SeasIravaniMine" sheetId="34" r:id="rId12"/>
    <sheet name="Trend&amp;SeasonPractice" sheetId="52" r:id="rId13"/>
    <sheet name="1.RegLineDataAnalyFormula" sheetId="47" r:id="rId14"/>
    <sheet name="2.R2&amp;R" sheetId="48" r:id="rId15"/>
    <sheet name="3.RegForAssociation" sheetId="49" r:id="rId16"/>
    <sheet name="4.MaxTrMaxTP" sheetId="51" r:id="rId17"/>
    <sheet name="5.RegreSSE&amp;SST" sheetId="11" r:id="rId18"/>
    <sheet name="6.AllRegFormula&amp;Solver" sheetId="50" r:id="rId19"/>
    <sheet name="TrendAndSeasChopraMine" sheetId="37" r:id="rId20"/>
    <sheet name="TrendAndSeasSocic" sheetId="38" r:id="rId21"/>
    <sheet name="TrendAndSeasChopraBook" sheetId="39" r:id="rId22"/>
    <sheet name="1.Trend&amp;Season" sheetId="17" r:id="rId23"/>
    <sheet name="MultiRefSeas" sheetId="35" r:id="rId24"/>
    <sheet name="TrAdES" sheetId="14" r:id="rId25"/>
  </sheets>
  <externalReferences>
    <externalReference r:id="rId26"/>
    <externalReference r:id="rId27"/>
    <externalReference r:id="rId28"/>
  </externalReferences>
  <definedNames>
    <definedName name="Page1" localSheetId="14">'2.R2&amp;R'!$G$35</definedName>
    <definedName name="Page1">#REF!</definedName>
    <definedName name="solver_adj" localSheetId="13" hidden="1">'1.RegLineDataAnalyFormula'!$J$1</definedName>
    <definedName name="solver_adj" localSheetId="14" hidden="1">'2.R2&amp;R'!$C$9:$C$12</definedName>
    <definedName name="solver_adj" localSheetId="16" hidden="1">'4.MaxTrMaxTP'!$A$15</definedName>
    <definedName name="solver_adj" localSheetId="17" hidden="1">'5.RegreSSE&amp;SST'!$L$20:$L$21</definedName>
    <definedName name="solver_adj" localSheetId="18" hidden="1">'6.AllRegFormula&amp;Solver'!$J$2:$J$3</definedName>
    <definedName name="solver_adj" localSheetId="9" hidden="1">'ES.Simp.Trend'!$S$1</definedName>
    <definedName name="solver_adj" localSheetId="8" hidden="1">'ES-Simp'!$K$1</definedName>
    <definedName name="solver_adj" localSheetId="23" hidden="1">MultiRefSeas!$L$1,MultiRefSeas!$N$1,MultiRefSeas!$P$1</definedName>
    <definedName name="solver_adj" localSheetId="24" hidden="1">TrAdES!$M$1:$M$2</definedName>
    <definedName name="solver_adj" localSheetId="11" hidden="1">'Trend&amp;SeasIravaniMine'!$S$2,'Trend&amp;SeasIravaniMine'!$S$3,'Trend&amp;SeasIravaniMine'!$S$4</definedName>
    <definedName name="solver_adj" localSheetId="10" hidden="1">TrendAdj!$Q$1,TrendAdj!$Q$2</definedName>
    <definedName name="solver_adj" localSheetId="21" hidden="1">TrendAndSeasChopraBook!$C$38:$C$40</definedName>
    <definedName name="solver_adj" localSheetId="19" hidden="1">TrendAndSeasChopraMine!$C$38:$C$40</definedName>
    <definedName name="solver_adj" localSheetId="20" hidden="1">TrendAndSeasSocic!#REF!</definedName>
    <definedName name="solver_cvg" localSheetId="13" hidden="1">0.0001</definedName>
    <definedName name="solver_cvg" localSheetId="14" hidden="1">0.0001</definedName>
    <definedName name="solver_cvg" localSheetId="16" hidden="1">0.0001</definedName>
    <definedName name="solver_cvg" localSheetId="17" hidden="1">0.0001</definedName>
    <definedName name="solver_cvg" localSheetId="18" hidden="1">0.0001</definedName>
    <definedName name="solver_cvg" localSheetId="9" hidden="1">0.0001</definedName>
    <definedName name="solver_cvg" localSheetId="8" hidden="1">0.0001</definedName>
    <definedName name="solver_cvg" localSheetId="23" hidden="1">0.0001</definedName>
    <definedName name="solver_cvg" localSheetId="24" hidden="1">0.0001</definedName>
    <definedName name="solver_cvg" localSheetId="11" hidden="1">0.0001</definedName>
    <definedName name="solver_cvg" localSheetId="10" hidden="1">0.0001</definedName>
    <definedName name="solver_cvg" localSheetId="21" hidden="1">0.0001</definedName>
    <definedName name="solver_cvg" localSheetId="19" hidden="1">0.0001</definedName>
    <definedName name="solver_cvg" localSheetId="20" hidden="1">0.0001</definedName>
    <definedName name="solver_drv" localSheetId="13" hidden="1">2</definedName>
    <definedName name="solver_drv" localSheetId="14" hidden="1">1</definedName>
    <definedName name="solver_drv" localSheetId="16" hidden="1">1</definedName>
    <definedName name="solver_drv" localSheetId="17" hidden="1">2</definedName>
    <definedName name="solver_drv" localSheetId="18" hidden="1">2</definedName>
    <definedName name="solver_drv" localSheetId="9" hidden="1">1</definedName>
    <definedName name="solver_drv" localSheetId="8" hidden="1">1</definedName>
    <definedName name="solver_drv" localSheetId="23" hidden="1">1</definedName>
    <definedName name="solver_drv" localSheetId="24" hidden="1">1</definedName>
    <definedName name="solver_drv" localSheetId="11" hidden="1">1</definedName>
    <definedName name="solver_drv" localSheetId="10" hidden="1">1</definedName>
    <definedName name="solver_drv" localSheetId="21" hidden="1">1</definedName>
    <definedName name="solver_drv" localSheetId="19" hidden="1">1</definedName>
    <definedName name="solver_drv" localSheetId="20" hidden="1">1</definedName>
    <definedName name="solver_eng" localSheetId="13" hidden="1">1</definedName>
    <definedName name="solver_eng" localSheetId="14" hidden="1">1</definedName>
    <definedName name="solver_eng" localSheetId="16" hidden="1">1</definedName>
    <definedName name="solver_eng" localSheetId="17" hidden="1">1</definedName>
    <definedName name="solver_eng" localSheetId="18" hidden="1">1</definedName>
    <definedName name="solver_eng" localSheetId="9" hidden="1">1</definedName>
    <definedName name="solver_eng" localSheetId="8" hidden="1">1</definedName>
    <definedName name="solver_eng" localSheetId="23" hidden="1">1</definedName>
    <definedName name="solver_eng" localSheetId="24" hidden="1">1</definedName>
    <definedName name="solver_eng" localSheetId="11" hidden="1">1</definedName>
    <definedName name="solver_eng" localSheetId="10" hidden="1">1</definedName>
    <definedName name="solver_eng" localSheetId="21" hidden="1">1</definedName>
    <definedName name="solver_eng" localSheetId="19" hidden="1">1</definedName>
    <definedName name="solver_eng" localSheetId="20" hidden="1">1</definedName>
    <definedName name="solver_est" localSheetId="13" hidden="1">1</definedName>
    <definedName name="solver_est" localSheetId="14" hidden="1">1</definedName>
    <definedName name="solver_est" localSheetId="16" hidden="1">1</definedName>
    <definedName name="solver_est" localSheetId="17" hidden="1">1</definedName>
    <definedName name="solver_est" localSheetId="18" hidden="1">1</definedName>
    <definedName name="solver_est" localSheetId="9" hidden="1">1</definedName>
    <definedName name="solver_est" localSheetId="8" hidden="1">1</definedName>
    <definedName name="solver_est" localSheetId="23" hidden="1">1</definedName>
    <definedName name="solver_est" localSheetId="24" hidden="1">1</definedName>
    <definedName name="solver_est" localSheetId="11" hidden="1">1</definedName>
    <definedName name="solver_est" localSheetId="10" hidden="1">1</definedName>
    <definedName name="solver_est" localSheetId="21" hidden="1">1</definedName>
    <definedName name="solver_est" localSheetId="19" hidden="1">1</definedName>
    <definedName name="solver_est" localSheetId="20" hidden="1">1</definedName>
    <definedName name="solver_itr" localSheetId="13" hidden="1">2147483647</definedName>
    <definedName name="solver_itr" localSheetId="14" hidden="1">2147483647</definedName>
    <definedName name="solver_itr" localSheetId="16" hidden="1">2147483647</definedName>
    <definedName name="solver_itr" localSheetId="17" hidden="1">2147483647</definedName>
    <definedName name="solver_itr" localSheetId="18" hidden="1">2147483647</definedName>
    <definedName name="solver_itr" localSheetId="9" hidden="1">2147483647</definedName>
    <definedName name="solver_itr" localSheetId="8" hidden="1">2147483647</definedName>
    <definedName name="solver_itr" localSheetId="23" hidden="1">2147483647</definedName>
    <definedName name="solver_itr" localSheetId="24" hidden="1">2147483647</definedName>
    <definedName name="solver_itr" localSheetId="11" hidden="1">2147483647</definedName>
    <definedName name="solver_itr" localSheetId="10" hidden="1">2147483647</definedName>
    <definedName name="solver_itr" localSheetId="21" hidden="1">2147483647</definedName>
    <definedName name="solver_itr" localSheetId="19" hidden="1">2147483647</definedName>
    <definedName name="solver_itr" localSheetId="20" hidden="1">2147483647</definedName>
    <definedName name="solver_lhs1" localSheetId="13" hidden="1">'1.RegLineDataAnalyFormula'!$J$1</definedName>
    <definedName name="solver_lhs1" localSheetId="14" hidden="1">'2.R2&amp;R'!$E$5</definedName>
    <definedName name="solver_lhs1" localSheetId="18" hidden="1">'6.AllRegFormula&amp;Solver'!$L$1</definedName>
    <definedName name="solver_lhs1" localSheetId="23" hidden="1">MultiRefSeas!$L$1</definedName>
    <definedName name="solver_lhs1" localSheetId="24" hidden="1">TrAdES!$M$1</definedName>
    <definedName name="solver_lhs1" localSheetId="11" hidden="1">'Trend&amp;SeasIravaniMine'!$S$2</definedName>
    <definedName name="solver_lhs1" localSheetId="10" hidden="1">TrendAdj!$Q$1</definedName>
    <definedName name="solver_lhs1" localSheetId="21" hidden="1">TrendAndSeasChopraBook!$C$38:$C$40</definedName>
    <definedName name="solver_lhs1" localSheetId="19" hidden="1">TrendAndSeasChopraMine!$C$38:$C$40</definedName>
    <definedName name="solver_lhs1" localSheetId="20" hidden="1">TrendAndSeasSocic!#REF!</definedName>
    <definedName name="solver_lhs2" localSheetId="23" hidden="1">MultiRefSeas!$L$1</definedName>
    <definedName name="solver_lhs2" localSheetId="24" hidden="1">TrAdES!$M$1</definedName>
    <definedName name="solver_lhs2" localSheetId="11" hidden="1">'Trend&amp;SeasIravaniMine'!$S$2</definedName>
    <definedName name="solver_lhs2" localSheetId="10" hidden="1">TrendAdj!$Q$1</definedName>
    <definedName name="solver_lhs2" localSheetId="21" hidden="1">TrendAndSeasChopraBook!$C$38:$C$40</definedName>
    <definedName name="solver_lhs2" localSheetId="19" hidden="1">TrendAndSeasChopraMine!$C$38:$C$40</definedName>
    <definedName name="solver_lhs2" localSheetId="20" hidden="1">TrendAndSeasSocic!#REF!</definedName>
    <definedName name="solver_lhs3" localSheetId="23" hidden="1">MultiRefSeas!$N$1</definedName>
    <definedName name="solver_lhs3" localSheetId="11" hidden="1">'Trend&amp;SeasIravaniMine'!$S$3</definedName>
    <definedName name="solver_lhs3" localSheetId="10" hidden="1">TrendAdj!$Q$2</definedName>
    <definedName name="solver_lhs3" localSheetId="21" hidden="1">TrendAndSeasChopraBook!$C$40</definedName>
    <definedName name="solver_lhs3" localSheetId="19" hidden="1">TrendAndSeasChopraMine!$C$40</definedName>
    <definedName name="solver_lhs3" localSheetId="20" hidden="1">TrendAndSeasSocic!#REF!</definedName>
    <definedName name="solver_lhs4" localSheetId="23" hidden="1">MultiRefSeas!$N$1</definedName>
    <definedName name="solver_lhs4" localSheetId="11" hidden="1">'Trend&amp;SeasIravaniMine'!$S$3</definedName>
    <definedName name="solver_lhs4" localSheetId="10" hidden="1">TrendAdj!$Q$2</definedName>
    <definedName name="solver_lhs4" localSheetId="21" hidden="1">TrendAndSeasChopraBook!$C$40</definedName>
    <definedName name="solver_lhs4" localSheetId="19" hidden="1">TrendAndSeasChopraMine!$C$40</definedName>
    <definedName name="solver_lhs4" localSheetId="20" hidden="1">TrendAndSeasSocic!#REF!</definedName>
    <definedName name="solver_lhs5" localSheetId="23" hidden="1">MultiRefSeas!$P$1</definedName>
    <definedName name="solver_lhs5" localSheetId="11" hidden="1">'Trend&amp;SeasIravaniMine'!$S$4</definedName>
    <definedName name="solver_lhs5" localSheetId="21" hidden="1">TrendAndSeasChopraBook!$C$40</definedName>
    <definedName name="solver_lhs5" localSheetId="19" hidden="1">TrendAndSeasChopraMine!$C$40</definedName>
    <definedName name="solver_lhs5" localSheetId="20" hidden="1">TrendAndSeasSocic!#REF!</definedName>
    <definedName name="solver_lhs6" localSheetId="23" hidden="1">MultiRefSeas!$P$1</definedName>
    <definedName name="solver_lhs6" localSheetId="11" hidden="1">'Trend&amp;SeasIravaniMine'!$S$4</definedName>
    <definedName name="solver_lhs6" localSheetId="21" hidden="1">TrendAndSeasChopraBook!$C$40</definedName>
    <definedName name="solver_lhs6" localSheetId="19" hidden="1">TrendAndSeasChopraMine!$C$40</definedName>
    <definedName name="solver_lhs6" localSheetId="20" hidden="1">TrendAndSeasSocic!#REF!</definedName>
    <definedName name="solver_mip" localSheetId="13" hidden="1">2147483647</definedName>
    <definedName name="solver_mip" localSheetId="14" hidden="1">2147483647</definedName>
    <definedName name="solver_mip" localSheetId="16" hidden="1">2147483647</definedName>
    <definedName name="solver_mip" localSheetId="17" hidden="1">2147483647</definedName>
    <definedName name="solver_mip" localSheetId="18" hidden="1">2147483647</definedName>
    <definedName name="solver_mip" localSheetId="9" hidden="1">2147483647</definedName>
    <definedName name="solver_mip" localSheetId="8" hidden="1">2147483647</definedName>
    <definedName name="solver_mip" localSheetId="23" hidden="1">2147483647</definedName>
    <definedName name="solver_mip" localSheetId="24" hidden="1">2147483647</definedName>
    <definedName name="solver_mip" localSheetId="11" hidden="1">2147483647</definedName>
    <definedName name="solver_mip" localSheetId="10" hidden="1">2147483647</definedName>
    <definedName name="solver_mip" localSheetId="21" hidden="1">2147483647</definedName>
    <definedName name="solver_mip" localSheetId="19" hidden="1">2147483647</definedName>
    <definedName name="solver_mip" localSheetId="20" hidden="1">2147483647</definedName>
    <definedName name="solver_mni" localSheetId="13" hidden="1">30</definedName>
    <definedName name="solver_mni" localSheetId="14" hidden="1">30</definedName>
    <definedName name="solver_mni" localSheetId="16" hidden="1">30</definedName>
    <definedName name="solver_mni" localSheetId="17" hidden="1">30</definedName>
    <definedName name="solver_mni" localSheetId="18" hidden="1">30</definedName>
    <definedName name="solver_mni" localSheetId="9" hidden="1">30</definedName>
    <definedName name="solver_mni" localSheetId="8" hidden="1">30</definedName>
    <definedName name="solver_mni" localSheetId="23" hidden="1">30</definedName>
    <definedName name="solver_mni" localSheetId="24" hidden="1">30</definedName>
    <definedName name="solver_mni" localSheetId="11" hidden="1">30</definedName>
    <definedName name="solver_mni" localSheetId="10" hidden="1">30</definedName>
    <definedName name="solver_mni" localSheetId="21" hidden="1">30</definedName>
    <definedName name="solver_mni" localSheetId="19" hidden="1">30</definedName>
    <definedName name="solver_mni" localSheetId="20" hidden="1">30</definedName>
    <definedName name="solver_mrt" localSheetId="13" hidden="1">0.075</definedName>
    <definedName name="solver_mrt" localSheetId="14" hidden="1">0.075</definedName>
    <definedName name="solver_mrt" localSheetId="16" hidden="1">0.075</definedName>
    <definedName name="solver_mrt" localSheetId="17" hidden="1">0.075</definedName>
    <definedName name="solver_mrt" localSheetId="18" hidden="1">0.075</definedName>
    <definedName name="solver_mrt" localSheetId="9" hidden="1">0.075</definedName>
    <definedName name="solver_mrt" localSheetId="8" hidden="1">0.075</definedName>
    <definedName name="solver_mrt" localSheetId="23" hidden="1">0.075</definedName>
    <definedName name="solver_mrt" localSheetId="24" hidden="1">0.075</definedName>
    <definedName name="solver_mrt" localSheetId="11" hidden="1">0.075</definedName>
    <definedName name="solver_mrt" localSheetId="10" hidden="1">0.075</definedName>
    <definedName name="solver_mrt" localSheetId="21" hidden="1">0.075</definedName>
    <definedName name="solver_mrt" localSheetId="19" hidden="1">0.075</definedName>
    <definedName name="solver_mrt" localSheetId="20" hidden="1">0.075</definedName>
    <definedName name="solver_msl" localSheetId="13" hidden="1">2</definedName>
    <definedName name="solver_msl" localSheetId="14" hidden="1">2</definedName>
    <definedName name="solver_msl" localSheetId="16" hidden="1">2</definedName>
    <definedName name="solver_msl" localSheetId="17" hidden="1">2</definedName>
    <definedName name="solver_msl" localSheetId="18" hidden="1">2</definedName>
    <definedName name="solver_msl" localSheetId="9" hidden="1">2</definedName>
    <definedName name="solver_msl" localSheetId="8" hidden="1">2</definedName>
    <definedName name="solver_msl" localSheetId="23" hidden="1">2</definedName>
    <definedName name="solver_msl" localSheetId="24" hidden="1">2</definedName>
    <definedName name="solver_msl" localSheetId="11" hidden="1">2</definedName>
    <definedName name="solver_msl" localSheetId="10" hidden="1">2</definedName>
    <definedName name="solver_msl" localSheetId="21" hidden="1">2</definedName>
    <definedName name="solver_msl" localSheetId="19" hidden="1">2</definedName>
    <definedName name="solver_msl" localSheetId="20" hidden="1">2</definedName>
    <definedName name="solver_neg" localSheetId="13" hidden="1">1</definedName>
    <definedName name="solver_neg" localSheetId="14" hidden="1">1</definedName>
    <definedName name="solver_neg" localSheetId="16" hidden="1">1</definedName>
    <definedName name="solver_neg" localSheetId="17" hidden="1">1</definedName>
    <definedName name="solver_neg" localSheetId="18" hidden="1">1</definedName>
    <definedName name="solver_neg" localSheetId="9" hidden="1">1</definedName>
    <definedName name="solver_neg" localSheetId="8" hidden="1">1</definedName>
    <definedName name="solver_neg" localSheetId="23" hidden="1">1</definedName>
    <definedName name="solver_neg" localSheetId="24" hidden="1">1</definedName>
    <definedName name="solver_neg" localSheetId="11" hidden="1">1</definedName>
    <definedName name="solver_neg" localSheetId="10" hidden="1">1</definedName>
    <definedName name="solver_neg" localSheetId="21" hidden="1">1</definedName>
    <definedName name="solver_neg" localSheetId="19" hidden="1">1</definedName>
    <definedName name="solver_neg" localSheetId="20" hidden="1">1</definedName>
    <definedName name="solver_nod" localSheetId="13" hidden="1">2147483647</definedName>
    <definedName name="solver_nod" localSheetId="14" hidden="1">2147483647</definedName>
    <definedName name="solver_nod" localSheetId="16" hidden="1">2147483647</definedName>
    <definedName name="solver_nod" localSheetId="17" hidden="1">2147483647</definedName>
    <definedName name="solver_nod" localSheetId="18" hidden="1">2147483647</definedName>
    <definedName name="solver_nod" localSheetId="9" hidden="1">2147483647</definedName>
    <definedName name="solver_nod" localSheetId="8" hidden="1">2147483647</definedName>
    <definedName name="solver_nod" localSheetId="23" hidden="1">2147483647</definedName>
    <definedName name="solver_nod" localSheetId="24" hidden="1">2147483647</definedName>
    <definedName name="solver_nod" localSheetId="11" hidden="1">2147483647</definedName>
    <definedName name="solver_nod" localSheetId="10" hidden="1">2147483647</definedName>
    <definedName name="solver_nod" localSheetId="21" hidden="1">2147483647</definedName>
    <definedName name="solver_nod" localSheetId="19" hidden="1">2147483647</definedName>
    <definedName name="solver_nod" localSheetId="20" hidden="1">2147483647</definedName>
    <definedName name="solver_num" localSheetId="13" hidden="1">1</definedName>
    <definedName name="solver_num" localSheetId="14" hidden="1">1</definedName>
    <definedName name="solver_num" localSheetId="16" hidden="1">0</definedName>
    <definedName name="solver_num" localSheetId="17" hidden="1">0</definedName>
    <definedName name="solver_num" localSheetId="18" hidden="1">0</definedName>
    <definedName name="solver_num" localSheetId="9" hidden="1">0</definedName>
    <definedName name="solver_num" localSheetId="8" hidden="1">0</definedName>
    <definedName name="solver_num" localSheetId="23" hidden="1">6</definedName>
    <definedName name="solver_num" localSheetId="24" hidden="1">0</definedName>
    <definedName name="solver_num" localSheetId="11" hidden="1">6</definedName>
    <definedName name="solver_num" localSheetId="10" hidden="1">4</definedName>
    <definedName name="solver_num" localSheetId="21" hidden="1">2</definedName>
    <definedName name="solver_num" localSheetId="19" hidden="1">2</definedName>
    <definedName name="solver_num" localSheetId="20" hidden="1">2</definedName>
    <definedName name="solver_nwt" localSheetId="13" hidden="1">1</definedName>
    <definedName name="solver_nwt" localSheetId="14" hidden="1">1</definedName>
    <definedName name="solver_nwt" localSheetId="16" hidden="1">1</definedName>
    <definedName name="solver_nwt" localSheetId="17" hidden="1">1</definedName>
    <definedName name="solver_nwt" localSheetId="18" hidden="1">1</definedName>
    <definedName name="solver_nwt" localSheetId="9" hidden="1">1</definedName>
    <definedName name="solver_nwt" localSheetId="8" hidden="1">1</definedName>
    <definedName name="solver_nwt" localSheetId="23" hidden="1">1</definedName>
    <definedName name="solver_nwt" localSheetId="24" hidden="1">1</definedName>
    <definedName name="solver_nwt" localSheetId="11" hidden="1">1</definedName>
    <definedName name="solver_nwt" localSheetId="10" hidden="1">1</definedName>
    <definedName name="solver_nwt" localSheetId="21" hidden="1">1</definedName>
    <definedName name="solver_nwt" localSheetId="19" hidden="1">1</definedName>
    <definedName name="solver_nwt" localSheetId="20" hidden="1">1</definedName>
    <definedName name="solver_opt" localSheetId="13" hidden="1">'1.RegLineDataAnalyFormula'!$I$27</definedName>
    <definedName name="solver_opt" localSheetId="14" hidden="1">'2.R2&amp;R'!$F$5</definedName>
    <definedName name="solver_opt" localSheetId="16" hidden="1">'4.MaxTrMaxTP'!$G$15</definedName>
    <definedName name="solver_opt" localSheetId="17" hidden="1">'5.RegreSSE&amp;SST'!$L$22</definedName>
    <definedName name="solver_opt" localSheetId="18" hidden="1">'6.AllRegFormula&amp;Solver'!$E$29</definedName>
    <definedName name="solver_opt" localSheetId="9" hidden="1">'ES.Simp.Trend'!$J$30</definedName>
    <definedName name="solver_opt" localSheetId="8" hidden="1">'ES-Simp'!$J$30</definedName>
    <definedName name="solver_opt" localSheetId="23" hidden="1">MultiRefSeas!$K$31</definedName>
    <definedName name="solver_opt" localSheetId="24" hidden="1">TrAdES!$L$5</definedName>
    <definedName name="solver_opt" localSheetId="11" hidden="1">'Trend&amp;SeasIravaniMine'!$I$31</definedName>
    <definedName name="solver_opt" localSheetId="10" hidden="1">TrendAdj!$G$30</definedName>
    <definedName name="solver_opt" localSheetId="21" hidden="1">TrendAndSeasChopraBook!$U$30</definedName>
    <definedName name="solver_opt" localSheetId="19" hidden="1">TrendAndSeasChopraMine!$U$30</definedName>
    <definedName name="solver_opt" localSheetId="20" hidden="1">TrendAndSeasSocic!#REF!</definedName>
    <definedName name="solver_pre" localSheetId="13" hidden="1">0.000001</definedName>
    <definedName name="solver_pre" localSheetId="14" hidden="1">0.000001</definedName>
    <definedName name="solver_pre" localSheetId="16" hidden="1">0.000001</definedName>
    <definedName name="solver_pre" localSheetId="17" hidden="1">0.000001</definedName>
    <definedName name="solver_pre" localSheetId="18" hidden="1">0.000001</definedName>
    <definedName name="solver_pre" localSheetId="9" hidden="1">0.000001</definedName>
    <definedName name="solver_pre" localSheetId="8" hidden="1">0.000001</definedName>
    <definedName name="solver_pre" localSheetId="23" hidden="1">0.000001</definedName>
    <definedName name="solver_pre" localSheetId="24" hidden="1">0.000001</definedName>
    <definedName name="solver_pre" localSheetId="11" hidden="1">0.000001</definedName>
    <definedName name="solver_pre" localSheetId="10" hidden="1">0.000001</definedName>
    <definedName name="solver_pre" localSheetId="21" hidden="1">0.000001</definedName>
    <definedName name="solver_pre" localSheetId="19" hidden="1">0.000001</definedName>
    <definedName name="solver_pre" localSheetId="20" hidden="1">0.000001</definedName>
    <definedName name="solver_rbv" localSheetId="13" hidden="1">2</definedName>
    <definedName name="solver_rbv" localSheetId="14" hidden="1">1</definedName>
    <definedName name="solver_rbv" localSheetId="16" hidden="1">1</definedName>
    <definedName name="solver_rbv" localSheetId="17" hidden="1">2</definedName>
    <definedName name="solver_rbv" localSheetId="18" hidden="1">2</definedName>
    <definedName name="solver_rbv" localSheetId="9" hidden="1">1</definedName>
    <definedName name="solver_rbv" localSheetId="8" hidden="1">1</definedName>
    <definedName name="solver_rbv" localSheetId="23" hidden="1">1</definedName>
    <definedName name="solver_rbv" localSheetId="24" hidden="1">1</definedName>
    <definedName name="solver_rbv" localSheetId="11" hidden="1">1</definedName>
    <definedName name="solver_rbv" localSheetId="10" hidden="1">1</definedName>
    <definedName name="solver_rbv" localSheetId="21" hidden="1">1</definedName>
    <definedName name="solver_rbv" localSheetId="19" hidden="1">1</definedName>
    <definedName name="solver_rbv" localSheetId="20" hidden="1">1</definedName>
    <definedName name="solver_rel1" localSheetId="13" hidden="1">1</definedName>
    <definedName name="solver_rel1" localSheetId="14" hidden="1">2</definedName>
    <definedName name="solver_rel1" localSheetId="18" hidden="1">1</definedName>
    <definedName name="solver_rel1" localSheetId="23" hidden="1">1</definedName>
    <definedName name="solver_rel1" localSheetId="24" hidden="1">1</definedName>
    <definedName name="solver_rel1" localSheetId="11" hidden="1">1</definedName>
    <definedName name="solver_rel1" localSheetId="10" hidden="1">1</definedName>
    <definedName name="solver_rel1" localSheetId="21" hidden="1">1</definedName>
    <definedName name="solver_rel1" localSheetId="19" hidden="1">1</definedName>
    <definedName name="solver_rel1" localSheetId="20" hidden="1">1</definedName>
    <definedName name="solver_rel2" localSheetId="23" hidden="1">3</definedName>
    <definedName name="solver_rel2" localSheetId="24" hidden="1">3</definedName>
    <definedName name="solver_rel2" localSheetId="11" hidden="1">3</definedName>
    <definedName name="solver_rel2" localSheetId="10" hidden="1">3</definedName>
    <definedName name="solver_rel2" localSheetId="21" hidden="1">3</definedName>
    <definedName name="solver_rel2" localSheetId="19" hidden="1">3</definedName>
    <definedName name="solver_rel2" localSheetId="20" hidden="1">3</definedName>
    <definedName name="solver_rel3" localSheetId="23" hidden="1">1</definedName>
    <definedName name="solver_rel3" localSheetId="11" hidden="1">1</definedName>
    <definedName name="solver_rel3" localSheetId="10" hidden="1">1</definedName>
    <definedName name="solver_rel3" localSheetId="21" hidden="1">3</definedName>
    <definedName name="solver_rel3" localSheetId="19" hidden="1">3</definedName>
    <definedName name="solver_rel3" localSheetId="20" hidden="1">3</definedName>
    <definedName name="solver_rel4" localSheetId="23" hidden="1">3</definedName>
    <definedName name="solver_rel4" localSheetId="11" hidden="1">3</definedName>
    <definedName name="solver_rel4" localSheetId="10" hidden="1">3</definedName>
    <definedName name="solver_rel4" localSheetId="21" hidden="1">3</definedName>
    <definedName name="solver_rel4" localSheetId="19" hidden="1">3</definedName>
    <definedName name="solver_rel4" localSheetId="20" hidden="1">3</definedName>
    <definedName name="solver_rel5" localSheetId="23" hidden="1">1</definedName>
    <definedName name="solver_rel5" localSheetId="11" hidden="1">1</definedName>
    <definedName name="solver_rel5" localSheetId="21" hidden="1">3</definedName>
    <definedName name="solver_rel5" localSheetId="19" hidden="1">3</definedName>
    <definedName name="solver_rel5" localSheetId="20" hidden="1">3</definedName>
    <definedName name="solver_rel6" localSheetId="23" hidden="1">3</definedName>
    <definedName name="solver_rel6" localSheetId="11" hidden="1">3</definedName>
    <definedName name="solver_rel6" localSheetId="21" hidden="1">3</definedName>
    <definedName name="solver_rel6" localSheetId="19" hidden="1">3</definedName>
    <definedName name="solver_rel6" localSheetId="20" hidden="1">3</definedName>
    <definedName name="solver_rhs1" localSheetId="13" hidden="1">1</definedName>
    <definedName name="solver_rhs1" localSheetId="14" hidden="1">1200</definedName>
    <definedName name="solver_rhs1" localSheetId="18" hidden="1">1</definedName>
    <definedName name="solver_rhs1" localSheetId="23" hidden="1">1</definedName>
    <definedName name="solver_rhs1" localSheetId="24" hidden="1">1</definedName>
    <definedName name="solver_rhs1" localSheetId="11" hidden="1">1</definedName>
    <definedName name="solver_rhs1" localSheetId="10" hidden="1">1</definedName>
    <definedName name="solver_rhs1" localSheetId="21" hidden="1">1</definedName>
    <definedName name="solver_rhs1" localSheetId="19" hidden="1">1</definedName>
    <definedName name="solver_rhs1" localSheetId="20" hidden="1">1</definedName>
    <definedName name="solver_rhs2" localSheetId="23" hidden="1">0</definedName>
    <definedName name="solver_rhs2" localSheetId="24" hidden="1">0</definedName>
    <definedName name="solver_rhs2" localSheetId="11" hidden="1">0</definedName>
    <definedName name="solver_rhs2" localSheetId="10" hidden="1">0</definedName>
    <definedName name="solver_rhs2" localSheetId="21" hidden="1">0</definedName>
    <definedName name="solver_rhs2" localSheetId="19" hidden="1">0</definedName>
    <definedName name="solver_rhs2" localSheetId="20" hidden="1">0</definedName>
    <definedName name="solver_rhs3" localSheetId="23" hidden="1">1</definedName>
    <definedName name="solver_rhs3" localSheetId="11" hidden="1">1</definedName>
    <definedName name="solver_rhs3" localSheetId="10" hidden="1">1</definedName>
    <definedName name="solver_rhs3" localSheetId="21" hidden="1">0</definedName>
    <definedName name="solver_rhs3" localSheetId="19" hidden="1">0</definedName>
    <definedName name="solver_rhs3" localSheetId="20" hidden="1">0</definedName>
    <definedName name="solver_rhs4" localSheetId="23" hidden="1">0</definedName>
    <definedName name="solver_rhs4" localSheetId="11" hidden="1">0</definedName>
    <definedName name="solver_rhs4" localSheetId="10" hidden="1">0</definedName>
    <definedName name="solver_rhs4" localSheetId="21" hidden="1">0</definedName>
    <definedName name="solver_rhs4" localSheetId="19" hidden="1">0</definedName>
    <definedName name="solver_rhs4" localSheetId="20" hidden="1">0</definedName>
    <definedName name="solver_rhs5" localSheetId="23" hidden="1">1</definedName>
    <definedName name="solver_rhs5" localSheetId="11" hidden="1">1</definedName>
    <definedName name="solver_rhs5" localSheetId="21" hidden="1">0</definedName>
    <definedName name="solver_rhs5" localSheetId="19" hidden="1">0</definedName>
    <definedName name="solver_rhs5" localSheetId="20" hidden="1">0</definedName>
    <definedName name="solver_rhs6" localSheetId="23" hidden="1">0</definedName>
    <definedName name="solver_rhs6" localSheetId="11" hidden="1">0</definedName>
    <definedName name="solver_rhs6" localSheetId="21" hidden="1">0</definedName>
    <definedName name="solver_rhs6" localSheetId="19" hidden="1">0</definedName>
    <definedName name="solver_rhs6" localSheetId="20" hidden="1">0</definedName>
    <definedName name="solver_rlx" localSheetId="13" hidden="1">2</definedName>
    <definedName name="solver_rlx" localSheetId="14" hidden="1">2</definedName>
    <definedName name="solver_rlx" localSheetId="16" hidden="1">2</definedName>
    <definedName name="solver_rlx" localSheetId="17" hidden="1">2</definedName>
    <definedName name="solver_rlx" localSheetId="18" hidden="1">2</definedName>
    <definedName name="solver_rlx" localSheetId="9" hidden="1">2</definedName>
    <definedName name="solver_rlx" localSheetId="8" hidden="1">2</definedName>
    <definedName name="solver_rlx" localSheetId="23" hidden="1">2</definedName>
    <definedName name="solver_rlx" localSheetId="24" hidden="1">2</definedName>
    <definedName name="solver_rlx" localSheetId="11" hidden="1">2</definedName>
    <definedName name="solver_rlx" localSheetId="10" hidden="1">2</definedName>
    <definedName name="solver_rlx" localSheetId="21" hidden="1">2</definedName>
    <definedName name="solver_rlx" localSheetId="19" hidden="1">2</definedName>
    <definedName name="solver_rlx" localSheetId="20" hidden="1">2</definedName>
    <definedName name="solver_rsd" localSheetId="13" hidden="1">0</definedName>
    <definedName name="solver_rsd" localSheetId="14" hidden="1">0</definedName>
    <definedName name="solver_rsd" localSheetId="16" hidden="1">0</definedName>
    <definedName name="solver_rsd" localSheetId="17" hidden="1">0</definedName>
    <definedName name="solver_rsd" localSheetId="18" hidden="1">0</definedName>
    <definedName name="solver_rsd" localSheetId="9" hidden="1">0</definedName>
    <definedName name="solver_rsd" localSheetId="8" hidden="1">0</definedName>
    <definedName name="solver_rsd" localSheetId="23" hidden="1">0</definedName>
    <definedName name="solver_rsd" localSheetId="24" hidden="1">0</definedName>
    <definedName name="solver_rsd" localSheetId="11" hidden="1">0</definedName>
    <definedName name="solver_rsd" localSheetId="10" hidden="1">0</definedName>
    <definedName name="solver_rsd" localSheetId="21" hidden="1">0</definedName>
    <definedName name="solver_rsd" localSheetId="19" hidden="1">0</definedName>
    <definedName name="solver_rsd" localSheetId="20" hidden="1">0</definedName>
    <definedName name="solver_scl" localSheetId="13" hidden="1">2</definedName>
    <definedName name="solver_scl" localSheetId="14" hidden="1">1</definedName>
    <definedName name="solver_scl" localSheetId="16" hidden="1">1</definedName>
    <definedName name="solver_scl" localSheetId="17" hidden="1">2</definedName>
    <definedName name="solver_scl" localSheetId="18" hidden="1">2</definedName>
    <definedName name="solver_scl" localSheetId="9" hidden="1">1</definedName>
    <definedName name="solver_scl" localSheetId="8" hidden="1">1</definedName>
    <definedName name="solver_scl" localSheetId="23" hidden="1">1</definedName>
    <definedName name="solver_scl" localSheetId="24" hidden="1">1</definedName>
    <definedName name="solver_scl" localSheetId="11" hidden="1">1</definedName>
    <definedName name="solver_scl" localSheetId="10" hidden="1">1</definedName>
    <definedName name="solver_scl" localSheetId="21" hidden="1">1</definedName>
    <definedName name="solver_scl" localSheetId="19" hidden="1">1</definedName>
    <definedName name="solver_scl" localSheetId="20" hidden="1">1</definedName>
    <definedName name="solver_sho" localSheetId="13" hidden="1">2</definedName>
    <definedName name="solver_sho" localSheetId="14" hidden="1">2</definedName>
    <definedName name="solver_sho" localSheetId="16" hidden="1">2</definedName>
    <definedName name="solver_sho" localSheetId="17" hidden="1">2</definedName>
    <definedName name="solver_sho" localSheetId="18" hidden="1">2</definedName>
    <definedName name="solver_sho" localSheetId="9" hidden="1">2</definedName>
    <definedName name="solver_sho" localSheetId="8" hidden="1">2</definedName>
    <definedName name="solver_sho" localSheetId="23" hidden="1">2</definedName>
    <definedName name="solver_sho" localSheetId="24" hidden="1">2</definedName>
    <definedName name="solver_sho" localSheetId="11" hidden="1">2</definedName>
    <definedName name="solver_sho" localSheetId="10" hidden="1">2</definedName>
    <definedName name="solver_sho" localSheetId="21" hidden="1">2</definedName>
    <definedName name="solver_sho" localSheetId="19" hidden="1">2</definedName>
    <definedName name="solver_sho" localSheetId="20" hidden="1">2</definedName>
    <definedName name="solver_ssz" localSheetId="13" hidden="1">100</definedName>
    <definedName name="solver_ssz" localSheetId="14" hidden="1">100</definedName>
    <definedName name="solver_ssz" localSheetId="16" hidden="1">100</definedName>
    <definedName name="solver_ssz" localSheetId="17" hidden="1">100</definedName>
    <definedName name="solver_ssz" localSheetId="18" hidden="1">100</definedName>
    <definedName name="solver_ssz" localSheetId="9" hidden="1">100</definedName>
    <definedName name="solver_ssz" localSheetId="8" hidden="1">100</definedName>
    <definedName name="solver_ssz" localSheetId="23" hidden="1">100</definedName>
    <definedName name="solver_ssz" localSheetId="24" hidden="1">100</definedName>
    <definedName name="solver_ssz" localSheetId="11" hidden="1">100</definedName>
    <definedName name="solver_ssz" localSheetId="10" hidden="1">100</definedName>
    <definedName name="solver_ssz" localSheetId="21" hidden="1">100</definedName>
    <definedName name="solver_ssz" localSheetId="19" hidden="1">100</definedName>
    <definedName name="solver_ssz" localSheetId="20" hidden="1">100</definedName>
    <definedName name="solver_tim" localSheetId="13" hidden="1">2147483647</definedName>
    <definedName name="solver_tim" localSheetId="14" hidden="1">2147483647</definedName>
    <definedName name="solver_tim" localSheetId="16" hidden="1">2147483647</definedName>
    <definedName name="solver_tim" localSheetId="17" hidden="1">2147483647</definedName>
    <definedName name="solver_tim" localSheetId="18" hidden="1">2147483647</definedName>
    <definedName name="solver_tim" localSheetId="9" hidden="1">2147483647</definedName>
    <definedName name="solver_tim" localSheetId="8" hidden="1">2147483647</definedName>
    <definedName name="solver_tim" localSheetId="23" hidden="1">2147483647</definedName>
    <definedName name="solver_tim" localSheetId="24" hidden="1">2147483647</definedName>
    <definedName name="solver_tim" localSheetId="11" hidden="1">2147483647</definedName>
    <definedName name="solver_tim" localSheetId="10" hidden="1">2147483647</definedName>
    <definedName name="solver_tim" localSheetId="21" hidden="1">2147483647</definedName>
    <definedName name="solver_tim" localSheetId="19" hidden="1">2147483647</definedName>
    <definedName name="solver_tim" localSheetId="20" hidden="1">2147483647</definedName>
    <definedName name="solver_tol" localSheetId="13" hidden="1">0.01</definedName>
    <definedName name="solver_tol" localSheetId="14" hidden="1">0.01</definedName>
    <definedName name="solver_tol" localSheetId="16" hidden="1">0.01</definedName>
    <definedName name="solver_tol" localSheetId="17" hidden="1">0.01</definedName>
    <definedName name="solver_tol" localSheetId="18" hidden="1">0.01</definedName>
    <definedName name="solver_tol" localSheetId="9" hidden="1">0.01</definedName>
    <definedName name="solver_tol" localSheetId="8" hidden="1">0.01</definedName>
    <definedName name="solver_tol" localSheetId="23" hidden="1">0.01</definedName>
    <definedName name="solver_tol" localSheetId="24" hidden="1">0.01</definedName>
    <definedName name="solver_tol" localSheetId="11" hidden="1">0.01</definedName>
    <definedName name="solver_tol" localSheetId="10" hidden="1">0.01</definedName>
    <definedName name="solver_tol" localSheetId="21" hidden="1">0.01</definedName>
    <definedName name="solver_tol" localSheetId="19" hidden="1">0.01</definedName>
    <definedName name="solver_tol" localSheetId="20" hidden="1">0.01</definedName>
    <definedName name="solver_typ" localSheetId="0" hidden="1">2</definedName>
    <definedName name="solver_typ" localSheetId="13" hidden="1">2</definedName>
    <definedName name="solver_typ" localSheetId="1" hidden="1">2</definedName>
    <definedName name="solver_typ" localSheetId="22" hidden="1">2</definedName>
    <definedName name="solver_typ" localSheetId="14" hidden="1">3</definedName>
    <definedName name="solver_typ" localSheetId="16" hidden="1">1</definedName>
    <definedName name="solver_typ" localSheetId="17" hidden="1">2</definedName>
    <definedName name="solver_typ" localSheetId="18" hidden="1">2</definedName>
    <definedName name="solver_typ" localSheetId="9" hidden="1">2</definedName>
    <definedName name="solver_typ" localSheetId="8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23" hidden="1">2</definedName>
    <definedName name="solver_typ" localSheetId="24" hidden="1">2</definedName>
    <definedName name="solver_typ" localSheetId="11" hidden="1">2</definedName>
    <definedName name="solver_typ" localSheetId="10" hidden="1">2</definedName>
    <definedName name="solver_typ" localSheetId="21" hidden="1">2</definedName>
    <definedName name="solver_typ" localSheetId="19" hidden="1">2</definedName>
    <definedName name="solver_typ" localSheetId="20" hidden="1">2</definedName>
    <definedName name="solver_val" localSheetId="13" hidden="1">0</definedName>
    <definedName name="solver_val" localSheetId="14" hidden="1">16</definedName>
    <definedName name="solver_val" localSheetId="16" hidden="1">0</definedName>
    <definedName name="solver_val" localSheetId="17" hidden="1">0</definedName>
    <definedName name="solver_val" localSheetId="18" hidden="1">0</definedName>
    <definedName name="solver_val" localSheetId="9" hidden="1">0</definedName>
    <definedName name="solver_val" localSheetId="8" hidden="1">0</definedName>
    <definedName name="solver_val" localSheetId="23" hidden="1">0</definedName>
    <definedName name="solver_val" localSheetId="24" hidden="1">0</definedName>
    <definedName name="solver_val" localSheetId="11" hidden="1">0</definedName>
    <definedName name="solver_val" localSheetId="10" hidden="1">0</definedName>
    <definedName name="solver_val" localSheetId="21" hidden="1">0</definedName>
    <definedName name="solver_val" localSheetId="19" hidden="1">0</definedName>
    <definedName name="solver_val" localSheetId="20" hidden="1">0</definedName>
    <definedName name="solver_ver" localSheetId="0" hidden="1">17</definedName>
    <definedName name="solver_ver" localSheetId="13" hidden="1">3</definedName>
    <definedName name="solver_ver" localSheetId="1" hidden="1">17</definedName>
    <definedName name="solver_ver" localSheetId="22" hidden="1">17</definedName>
    <definedName name="solver_ver" localSheetId="14" hidden="1">3</definedName>
    <definedName name="solver_ver" localSheetId="16" hidden="1">3</definedName>
    <definedName name="solver_ver" localSheetId="17" hidden="1">3</definedName>
    <definedName name="solver_ver" localSheetId="18" hidden="1">3</definedName>
    <definedName name="solver_ver" localSheetId="9" hidden="1">3</definedName>
    <definedName name="solver_ver" localSheetId="8" hidden="1">3</definedName>
    <definedName name="solver_ver" localSheetId="2" hidden="1">17</definedName>
    <definedName name="solver_ver" localSheetId="3" hidden="1">17</definedName>
    <definedName name="solver_ver" localSheetId="4" hidden="1">17</definedName>
    <definedName name="solver_ver" localSheetId="23" hidden="1">3</definedName>
    <definedName name="solver_ver" localSheetId="24" hidden="1">3</definedName>
    <definedName name="solver_ver" localSheetId="11" hidden="1">3</definedName>
    <definedName name="solver_ver" localSheetId="10" hidden="1">3</definedName>
    <definedName name="solver_ver" localSheetId="21" hidden="1">3</definedName>
    <definedName name="solver_ver" localSheetId="19" hidden="1">3</definedName>
    <definedName name="solver_ver" localSheetId="20" hidden="1">3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47" l="1"/>
  <c r="E5" i="47"/>
  <c r="L7" i="52"/>
  <c r="M4" i="52"/>
  <c r="J3" i="52"/>
  <c r="F3" i="52"/>
  <c r="D2" i="52"/>
  <c r="C2" i="52"/>
  <c r="M1" i="14"/>
  <c r="O14" i="47"/>
  <c r="F5" i="47"/>
  <c r="F4" i="47"/>
  <c r="S19" i="52"/>
  <c r="L19" i="52"/>
  <c r="F33" i="34" l="1"/>
  <c r="F34" i="34"/>
  <c r="F35" i="34"/>
  <c r="F32" i="34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4" i="34"/>
  <c r="E9" i="34"/>
  <c r="E13" i="34" s="1"/>
  <c r="E10" i="34"/>
  <c r="E11" i="34"/>
  <c r="E12" i="34"/>
  <c r="E8" i="34"/>
  <c r="D5" i="34"/>
  <c r="D4" i="34"/>
  <c r="C5" i="34"/>
  <c r="C4" i="34"/>
  <c r="D3" i="34"/>
  <c r="C3" i="34"/>
  <c r="C33" i="33"/>
  <c r="C34" i="33" s="1"/>
  <c r="C32" i="33"/>
  <c r="D2" i="32"/>
  <c r="M1" i="31"/>
  <c r="L2" i="46"/>
  <c r="Y5" i="24"/>
  <c r="Y4" i="24"/>
  <c r="Y7" i="24"/>
  <c r="Y6" i="24"/>
  <c r="P2" i="24"/>
  <c r="Q2" i="24"/>
  <c r="R2" i="24"/>
  <c r="P3" i="24"/>
  <c r="Q3" i="24"/>
  <c r="Q9" i="24" s="1"/>
  <c r="R3" i="24"/>
  <c r="P4" i="24"/>
  <c r="Q4" i="24"/>
  <c r="Q6" i="24" s="1"/>
  <c r="Q10" i="24" s="1"/>
  <c r="R4" i="24"/>
  <c r="P5" i="24"/>
  <c r="Q5" i="24"/>
  <c r="R5" i="24"/>
  <c r="R6" i="24" s="1"/>
  <c r="R10" i="24" s="1"/>
  <c r="P6" i="24"/>
  <c r="P10" i="24" s="1"/>
  <c r="P7" i="24"/>
  <c r="P8" i="24" s="1"/>
  <c r="Q7" i="24"/>
  <c r="R7" i="24"/>
  <c r="Q8" i="24"/>
  <c r="R8" i="24"/>
  <c r="P9" i="24"/>
  <c r="R9" i="24"/>
  <c r="O10" i="24"/>
  <c r="O9" i="24"/>
  <c r="O7" i="24"/>
  <c r="O6" i="24"/>
  <c r="O5" i="24"/>
  <c r="O4" i="24"/>
  <c r="O3" i="24"/>
  <c r="O2" i="24"/>
  <c r="N35" i="34"/>
  <c r="N34" i="34"/>
  <c r="N33" i="34"/>
  <c r="N32" i="34"/>
  <c r="M33" i="34"/>
  <c r="M34" i="34"/>
  <c r="M35" i="34"/>
  <c r="M32" i="34"/>
  <c r="M8" i="34"/>
  <c r="L4" i="34"/>
  <c r="K4" i="34"/>
  <c r="M7" i="34"/>
  <c r="M5" i="34"/>
  <c r="M6" i="34"/>
  <c r="M4" i="34"/>
  <c r="L3" i="34"/>
  <c r="K3" i="34"/>
  <c r="K30" i="32"/>
  <c r="J30" i="32"/>
  <c r="I30" i="32"/>
  <c r="K3" i="32"/>
  <c r="J3" i="32"/>
  <c r="I3" i="32"/>
  <c r="J2" i="32"/>
  <c r="I2" i="32"/>
  <c r="C6" i="34" l="1"/>
  <c r="D6" i="34" s="1"/>
  <c r="AI6" i="52"/>
  <c r="AA6" i="52"/>
  <c r="T6" i="52"/>
  <c r="L6" i="52"/>
  <c r="E6" i="52"/>
  <c r="AI5" i="52"/>
  <c r="AA5" i="52"/>
  <c r="T5" i="52"/>
  <c r="L5" i="52"/>
  <c r="E5" i="52"/>
  <c r="AI4" i="52"/>
  <c r="AA4" i="52"/>
  <c r="T4" i="52"/>
  <c r="L4" i="52"/>
  <c r="E4" i="52"/>
  <c r="AI3" i="52"/>
  <c r="AA3" i="52"/>
  <c r="T3" i="52"/>
  <c r="L3" i="52"/>
  <c r="E3" i="52"/>
  <c r="AH2" i="52"/>
  <c r="AG2" i="52"/>
  <c r="Y2" i="52"/>
  <c r="R2" i="52"/>
  <c r="K2" i="52"/>
  <c r="J2" i="52"/>
  <c r="AH16" i="52"/>
  <c r="AH19" i="52"/>
  <c r="L16" i="52"/>
  <c r="B18" i="52"/>
  <c r="B21" i="52"/>
  <c r="L17" i="52"/>
  <c r="AH17" i="52"/>
  <c r="Z16" i="52"/>
  <c r="Z19" i="52"/>
  <c r="B20" i="52"/>
  <c r="B22" i="52"/>
  <c r="AH18" i="52"/>
  <c r="Z18" i="52"/>
  <c r="B17" i="52"/>
  <c r="S17" i="52"/>
  <c r="S18" i="52"/>
  <c r="B16" i="52"/>
  <c r="B19" i="52"/>
  <c r="S16" i="52"/>
  <c r="L18" i="52"/>
  <c r="Z17" i="52"/>
  <c r="M3" i="52" l="1"/>
  <c r="AJ3" i="52"/>
  <c r="AI7" i="52"/>
  <c r="AG3" i="52"/>
  <c r="AH3" i="52" s="1"/>
  <c r="AG4" i="52" s="1"/>
  <c r="AH4" i="52" s="1"/>
  <c r="D7" i="34"/>
  <c r="C7" i="34"/>
  <c r="Z2" i="52"/>
  <c r="S2" i="52"/>
  <c r="T7" i="52" s="1"/>
  <c r="E3" i="51"/>
  <c r="F3" i="51"/>
  <c r="E4" i="51"/>
  <c r="F4" i="51"/>
  <c r="E5" i="51"/>
  <c r="F5" i="51"/>
  <c r="E6" i="51"/>
  <c r="F6" i="51"/>
  <c r="E7" i="51"/>
  <c r="E8" i="51"/>
  <c r="D9" i="51"/>
  <c r="M9" i="51"/>
  <c r="D10" i="51"/>
  <c r="M10" i="51"/>
  <c r="N10" i="51"/>
  <c r="M11" i="51"/>
  <c r="B15" i="51"/>
  <c r="C15" i="51" s="1"/>
  <c r="G15" i="51" s="1"/>
  <c r="D15" i="51"/>
  <c r="E15" i="51"/>
  <c r="F15" i="51"/>
  <c r="B19" i="51"/>
  <c r="C19" i="51" s="1"/>
  <c r="G19" i="51" s="1"/>
  <c r="D19" i="51"/>
  <c r="F19" i="51" s="1"/>
  <c r="E19" i="51"/>
  <c r="B20" i="51"/>
  <c r="C20" i="51" s="1"/>
  <c r="G20" i="51" s="1"/>
  <c r="D20" i="51"/>
  <c r="E20" i="51"/>
  <c r="F20" i="51"/>
  <c r="B21" i="51"/>
  <c r="C21" i="51" s="1"/>
  <c r="D21" i="51"/>
  <c r="F21" i="51" s="1"/>
  <c r="E21" i="51"/>
  <c r="B22" i="51"/>
  <c r="C22" i="51" s="1"/>
  <c r="G22" i="51" s="1"/>
  <c r="D22" i="51"/>
  <c r="E22" i="51"/>
  <c r="F22" i="51"/>
  <c r="B23" i="51"/>
  <c r="C23" i="51" s="1"/>
  <c r="D23" i="51"/>
  <c r="F23" i="51" s="1"/>
  <c r="E23" i="51"/>
  <c r="B24" i="51"/>
  <c r="C24" i="51" s="1"/>
  <c r="G24" i="51" s="1"/>
  <c r="D24" i="51"/>
  <c r="E24" i="51"/>
  <c r="F24" i="51"/>
  <c r="B25" i="51"/>
  <c r="C25" i="51" s="1"/>
  <c r="G25" i="51" s="1"/>
  <c r="D25" i="51"/>
  <c r="F25" i="51" s="1"/>
  <c r="E25" i="51"/>
  <c r="B26" i="51"/>
  <c r="C26" i="51" s="1"/>
  <c r="G26" i="51" s="1"/>
  <c r="D26" i="51"/>
  <c r="E26" i="51"/>
  <c r="F26" i="51"/>
  <c r="B27" i="51"/>
  <c r="C27" i="51" s="1"/>
  <c r="D27" i="51"/>
  <c r="F27" i="51" s="1"/>
  <c r="E27" i="51"/>
  <c r="B28" i="51"/>
  <c r="C28" i="51" s="1"/>
  <c r="G28" i="51" s="1"/>
  <c r="D28" i="51"/>
  <c r="E28" i="51"/>
  <c r="F28" i="51"/>
  <c r="B29" i="51"/>
  <c r="C29" i="51" s="1"/>
  <c r="D29" i="51"/>
  <c r="F29" i="51" s="1"/>
  <c r="E29" i="51"/>
  <c r="B30" i="51"/>
  <c r="C30" i="51" s="1"/>
  <c r="G30" i="51" s="1"/>
  <c r="D30" i="51"/>
  <c r="E30" i="51"/>
  <c r="F30" i="51"/>
  <c r="B31" i="51"/>
  <c r="C31" i="51" s="1"/>
  <c r="D31" i="51"/>
  <c r="F31" i="51" s="1"/>
  <c r="E31" i="51"/>
  <c r="B32" i="51"/>
  <c r="C32" i="51" s="1"/>
  <c r="G32" i="51" s="1"/>
  <c r="D32" i="51"/>
  <c r="E32" i="51"/>
  <c r="F32" i="51"/>
  <c r="B33" i="51"/>
  <c r="C33" i="51" s="1"/>
  <c r="D33" i="51"/>
  <c r="F33" i="51" s="1"/>
  <c r="E33" i="51"/>
  <c r="B34" i="51"/>
  <c r="C34" i="51" s="1"/>
  <c r="G34" i="51" s="1"/>
  <c r="D34" i="51"/>
  <c r="E34" i="51"/>
  <c r="F34" i="51"/>
  <c r="B35" i="51"/>
  <c r="C35" i="51" s="1"/>
  <c r="G35" i="51" s="1"/>
  <c r="D35" i="51"/>
  <c r="F35" i="51" s="1"/>
  <c r="E35" i="51"/>
  <c r="B36" i="51"/>
  <c r="C36" i="51" s="1"/>
  <c r="G36" i="51" s="1"/>
  <c r="D36" i="51"/>
  <c r="E36" i="51"/>
  <c r="F36" i="51"/>
  <c r="B37" i="51"/>
  <c r="C37" i="51" s="1"/>
  <c r="D37" i="51"/>
  <c r="F37" i="51" s="1"/>
  <c r="E37" i="51"/>
  <c r="B38" i="51"/>
  <c r="C38" i="51" s="1"/>
  <c r="G38" i="51" s="1"/>
  <c r="D38" i="51"/>
  <c r="E38" i="51"/>
  <c r="F38" i="51"/>
  <c r="B39" i="51"/>
  <c r="C39" i="51" s="1"/>
  <c r="G39" i="51" s="1"/>
  <c r="D39" i="51"/>
  <c r="F39" i="51" s="1"/>
  <c r="E39" i="51"/>
  <c r="B40" i="51"/>
  <c r="C40" i="51" s="1"/>
  <c r="G40" i="51" s="1"/>
  <c r="D40" i="51"/>
  <c r="E40" i="51"/>
  <c r="F40" i="51"/>
  <c r="B41" i="51"/>
  <c r="C41" i="51" s="1"/>
  <c r="G41" i="51" s="1"/>
  <c r="D41" i="51"/>
  <c r="F41" i="51" s="1"/>
  <c r="E41" i="51"/>
  <c r="B42" i="51"/>
  <c r="C42" i="51" s="1"/>
  <c r="G42" i="51" s="1"/>
  <c r="D42" i="51"/>
  <c r="E42" i="51"/>
  <c r="F42" i="51"/>
  <c r="B43" i="51"/>
  <c r="C43" i="51" s="1"/>
  <c r="D43" i="51"/>
  <c r="F43" i="51" s="1"/>
  <c r="E43" i="51"/>
  <c r="B44" i="51"/>
  <c r="C44" i="51" s="1"/>
  <c r="G44" i="51" s="1"/>
  <c r="D44" i="51"/>
  <c r="E44" i="51"/>
  <c r="F44" i="51"/>
  <c r="B45" i="51"/>
  <c r="C45" i="51" s="1"/>
  <c r="D45" i="51"/>
  <c r="F45" i="51" s="1"/>
  <c r="E45" i="51"/>
  <c r="B46" i="51"/>
  <c r="C46" i="51" s="1"/>
  <c r="G46" i="51" s="1"/>
  <c r="D46" i="51"/>
  <c r="E46" i="51"/>
  <c r="F46" i="51"/>
  <c r="B47" i="51"/>
  <c r="C47" i="51" s="1"/>
  <c r="D47" i="51"/>
  <c r="F47" i="51" s="1"/>
  <c r="E47" i="51"/>
  <c r="B48" i="51"/>
  <c r="C48" i="51" s="1"/>
  <c r="G48" i="51" s="1"/>
  <c r="D48" i="51"/>
  <c r="E48" i="51"/>
  <c r="F48" i="51"/>
  <c r="B49" i="51"/>
  <c r="C49" i="51" s="1"/>
  <c r="D49" i="51"/>
  <c r="F49" i="51" s="1"/>
  <c r="E49" i="51"/>
  <c r="B50" i="51"/>
  <c r="C50" i="51" s="1"/>
  <c r="G50" i="51" s="1"/>
  <c r="D50" i="51"/>
  <c r="E50" i="51"/>
  <c r="F50" i="51"/>
  <c r="B51" i="51"/>
  <c r="C51" i="51" s="1"/>
  <c r="G51" i="51" s="1"/>
  <c r="D51" i="51"/>
  <c r="F51" i="51" s="1"/>
  <c r="E51" i="51"/>
  <c r="B52" i="51"/>
  <c r="C52" i="51" s="1"/>
  <c r="G52" i="51" s="1"/>
  <c r="D52" i="51"/>
  <c r="E52" i="51"/>
  <c r="F52" i="51"/>
  <c r="B53" i="51"/>
  <c r="C53" i="51" s="1"/>
  <c r="D53" i="51"/>
  <c r="F53" i="51" s="1"/>
  <c r="E53" i="51"/>
  <c r="B54" i="51"/>
  <c r="C54" i="51" s="1"/>
  <c r="G54" i="51" s="1"/>
  <c r="D54" i="51"/>
  <c r="E54" i="51"/>
  <c r="F54" i="51"/>
  <c r="B55" i="51"/>
  <c r="C55" i="51" s="1"/>
  <c r="G55" i="51" s="1"/>
  <c r="D55" i="51"/>
  <c r="F55" i="51" s="1"/>
  <c r="E55" i="51"/>
  <c r="B56" i="51"/>
  <c r="C56" i="51" s="1"/>
  <c r="G56" i="51" s="1"/>
  <c r="D56" i="51"/>
  <c r="E56" i="51"/>
  <c r="F56" i="51"/>
  <c r="B57" i="51"/>
  <c r="C57" i="51" s="1"/>
  <c r="G57" i="51" s="1"/>
  <c r="D57" i="51"/>
  <c r="F57" i="51" s="1"/>
  <c r="E57" i="51"/>
  <c r="B58" i="51"/>
  <c r="C58" i="51" s="1"/>
  <c r="G58" i="51" s="1"/>
  <c r="D58" i="51"/>
  <c r="E58" i="51"/>
  <c r="F58" i="51"/>
  <c r="B59" i="51"/>
  <c r="C59" i="51" s="1"/>
  <c r="D59" i="51"/>
  <c r="F59" i="51" s="1"/>
  <c r="E59" i="51"/>
  <c r="B60" i="51"/>
  <c r="C60" i="51" s="1"/>
  <c r="G60" i="51" s="1"/>
  <c r="D60" i="51"/>
  <c r="E60" i="51"/>
  <c r="F60" i="51"/>
  <c r="B61" i="51"/>
  <c r="C61" i="51" s="1"/>
  <c r="D61" i="51"/>
  <c r="F61" i="51" s="1"/>
  <c r="E61" i="51"/>
  <c r="B62" i="51"/>
  <c r="C62" i="51" s="1"/>
  <c r="G62" i="51" s="1"/>
  <c r="D62" i="51"/>
  <c r="E62" i="51"/>
  <c r="F62" i="51"/>
  <c r="B63" i="51"/>
  <c r="C63" i="51" s="1"/>
  <c r="D63" i="51"/>
  <c r="F63" i="51" s="1"/>
  <c r="E63" i="51"/>
  <c r="B64" i="51"/>
  <c r="C64" i="51" s="1"/>
  <c r="G64" i="51" s="1"/>
  <c r="D64" i="51"/>
  <c r="E64" i="51"/>
  <c r="F64" i="51"/>
  <c r="B65" i="51"/>
  <c r="C65" i="51" s="1"/>
  <c r="G65" i="51" s="1"/>
  <c r="D65" i="51"/>
  <c r="F65" i="51" s="1"/>
  <c r="E65" i="51"/>
  <c r="B66" i="51"/>
  <c r="C66" i="51" s="1"/>
  <c r="G66" i="51" s="1"/>
  <c r="D66" i="51"/>
  <c r="E66" i="51"/>
  <c r="F66" i="51"/>
  <c r="B67" i="51"/>
  <c r="C67" i="51" s="1"/>
  <c r="D67" i="51"/>
  <c r="F67" i="51" s="1"/>
  <c r="E67" i="51"/>
  <c r="B68" i="51"/>
  <c r="C68" i="51" s="1"/>
  <c r="G68" i="51" s="1"/>
  <c r="D68" i="51"/>
  <c r="E68" i="51"/>
  <c r="F68" i="51"/>
  <c r="B69" i="51"/>
  <c r="C69" i="51" s="1"/>
  <c r="D69" i="51"/>
  <c r="F69" i="51" s="1"/>
  <c r="E69" i="51"/>
  <c r="B70" i="51"/>
  <c r="C70" i="51" s="1"/>
  <c r="G70" i="51" s="1"/>
  <c r="D70" i="51"/>
  <c r="E70" i="51"/>
  <c r="F70" i="51"/>
  <c r="B71" i="51"/>
  <c r="C71" i="51" s="1"/>
  <c r="G71" i="51" s="1"/>
  <c r="D71" i="51"/>
  <c r="F71" i="51" s="1"/>
  <c r="E71" i="51"/>
  <c r="B72" i="51"/>
  <c r="C72" i="51" s="1"/>
  <c r="G72" i="51" s="1"/>
  <c r="D72" i="51"/>
  <c r="E72" i="51"/>
  <c r="F72" i="51"/>
  <c r="B73" i="51"/>
  <c r="C73" i="51" s="1"/>
  <c r="G73" i="51" s="1"/>
  <c r="D73" i="51"/>
  <c r="F73" i="51" s="1"/>
  <c r="E73" i="51"/>
  <c r="B74" i="51"/>
  <c r="C74" i="51" s="1"/>
  <c r="G74" i="51" s="1"/>
  <c r="D74" i="51"/>
  <c r="E74" i="51"/>
  <c r="F74" i="51"/>
  <c r="B75" i="51"/>
  <c r="C75" i="51" s="1"/>
  <c r="D75" i="51"/>
  <c r="F75" i="51" s="1"/>
  <c r="E75" i="51"/>
  <c r="B76" i="51"/>
  <c r="C76" i="51" s="1"/>
  <c r="G76" i="51" s="1"/>
  <c r="D76" i="51"/>
  <c r="E76" i="51"/>
  <c r="F76" i="51"/>
  <c r="B77" i="51"/>
  <c r="C77" i="51" s="1"/>
  <c r="D77" i="51"/>
  <c r="F77" i="51" s="1"/>
  <c r="E77" i="51"/>
  <c r="B78" i="51"/>
  <c r="C78" i="51" s="1"/>
  <c r="G78" i="51" s="1"/>
  <c r="D78" i="51"/>
  <c r="E78" i="51"/>
  <c r="F78" i="51"/>
  <c r="B79" i="51"/>
  <c r="C79" i="51" s="1"/>
  <c r="D79" i="51"/>
  <c r="F79" i="51" s="1"/>
  <c r="E79" i="51"/>
  <c r="B80" i="51"/>
  <c r="C80" i="51" s="1"/>
  <c r="G80" i="51" s="1"/>
  <c r="D80" i="51"/>
  <c r="E80" i="51"/>
  <c r="F80" i="51"/>
  <c r="B81" i="51"/>
  <c r="C81" i="51" s="1"/>
  <c r="G81" i="51" s="1"/>
  <c r="D81" i="51"/>
  <c r="F81" i="51" s="1"/>
  <c r="E81" i="51"/>
  <c r="B82" i="51"/>
  <c r="C82" i="51" s="1"/>
  <c r="G82" i="51" s="1"/>
  <c r="D82" i="51"/>
  <c r="E82" i="51"/>
  <c r="F82" i="51"/>
  <c r="B83" i="51"/>
  <c r="C83" i="51" s="1"/>
  <c r="D83" i="51"/>
  <c r="F83" i="51" s="1"/>
  <c r="E83" i="51"/>
  <c r="B84" i="51"/>
  <c r="C84" i="51" s="1"/>
  <c r="G84" i="51" s="1"/>
  <c r="D84" i="51"/>
  <c r="E84" i="51"/>
  <c r="F84" i="51"/>
  <c r="B85" i="51"/>
  <c r="C85" i="51" s="1"/>
  <c r="D85" i="51"/>
  <c r="F85" i="51" s="1"/>
  <c r="E85" i="51"/>
  <c r="B86" i="51"/>
  <c r="C86" i="51" s="1"/>
  <c r="G86" i="51" s="1"/>
  <c r="D86" i="51"/>
  <c r="E86" i="51"/>
  <c r="F86" i="51"/>
  <c r="B87" i="51"/>
  <c r="C87" i="51" s="1"/>
  <c r="G87" i="51" s="1"/>
  <c r="D87" i="51"/>
  <c r="F87" i="51" s="1"/>
  <c r="E87" i="51"/>
  <c r="B88" i="51"/>
  <c r="C88" i="51" s="1"/>
  <c r="G88" i="51" s="1"/>
  <c r="D88" i="51"/>
  <c r="E88" i="51"/>
  <c r="F88" i="51"/>
  <c r="B89" i="51"/>
  <c r="C89" i="51" s="1"/>
  <c r="G89" i="51" s="1"/>
  <c r="D89" i="51"/>
  <c r="F89" i="51" s="1"/>
  <c r="E89" i="51"/>
  <c r="B90" i="51"/>
  <c r="C90" i="51" s="1"/>
  <c r="G90" i="51" s="1"/>
  <c r="D90" i="51"/>
  <c r="E90" i="51"/>
  <c r="F90" i="51"/>
  <c r="B91" i="51"/>
  <c r="C91" i="51" s="1"/>
  <c r="D91" i="51"/>
  <c r="F91" i="51" s="1"/>
  <c r="E91" i="51"/>
  <c r="B92" i="51"/>
  <c r="C92" i="51" s="1"/>
  <c r="G92" i="51" s="1"/>
  <c r="D92" i="51"/>
  <c r="E92" i="51"/>
  <c r="F92" i="51"/>
  <c r="B93" i="51"/>
  <c r="C93" i="51" s="1"/>
  <c r="D93" i="51"/>
  <c r="F93" i="51" s="1"/>
  <c r="E93" i="51"/>
  <c r="B94" i="51"/>
  <c r="C94" i="51" s="1"/>
  <c r="G94" i="51" s="1"/>
  <c r="D94" i="51"/>
  <c r="E94" i="51"/>
  <c r="F94" i="51"/>
  <c r="B95" i="51"/>
  <c r="C95" i="51" s="1"/>
  <c r="D95" i="51"/>
  <c r="F95" i="51" s="1"/>
  <c r="E95" i="51"/>
  <c r="B96" i="51"/>
  <c r="C96" i="51" s="1"/>
  <c r="G96" i="51" s="1"/>
  <c r="D96" i="51"/>
  <c r="E96" i="51"/>
  <c r="F96" i="51"/>
  <c r="B97" i="51"/>
  <c r="C97" i="51" s="1"/>
  <c r="G97" i="51" s="1"/>
  <c r="D97" i="51"/>
  <c r="F97" i="51" s="1"/>
  <c r="E97" i="51"/>
  <c r="B98" i="51"/>
  <c r="C98" i="51" s="1"/>
  <c r="G98" i="51" s="1"/>
  <c r="D98" i="51"/>
  <c r="E98" i="51"/>
  <c r="F98" i="51"/>
  <c r="B99" i="51"/>
  <c r="C99" i="51" s="1"/>
  <c r="D99" i="51"/>
  <c r="F99" i="51" s="1"/>
  <c r="E99" i="51"/>
  <c r="B100" i="51"/>
  <c r="C100" i="51" s="1"/>
  <c r="G100" i="51" s="1"/>
  <c r="D100" i="51"/>
  <c r="E100" i="51"/>
  <c r="F100" i="51"/>
  <c r="B101" i="51"/>
  <c r="C101" i="51" s="1"/>
  <c r="D101" i="51"/>
  <c r="F101" i="51" s="1"/>
  <c r="E101" i="51"/>
  <c r="B102" i="51"/>
  <c r="C102" i="51" s="1"/>
  <c r="G102" i="51" s="1"/>
  <c r="D102" i="51"/>
  <c r="E102" i="51"/>
  <c r="F102" i="51"/>
  <c r="B103" i="51"/>
  <c r="C103" i="51" s="1"/>
  <c r="G103" i="51" s="1"/>
  <c r="D103" i="51"/>
  <c r="F103" i="51" s="1"/>
  <c r="E103" i="51"/>
  <c r="B104" i="51"/>
  <c r="C104" i="51" s="1"/>
  <c r="G104" i="51" s="1"/>
  <c r="D104" i="51"/>
  <c r="E104" i="51"/>
  <c r="F104" i="51"/>
  <c r="B105" i="51"/>
  <c r="C105" i="51" s="1"/>
  <c r="G105" i="51" s="1"/>
  <c r="D105" i="51"/>
  <c r="F105" i="51" s="1"/>
  <c r="E105" i="51"/>
  <c r="B106" i="51"/>
  <c r="C106" i="51" s="1"/>
  <c r="G106" i="51" s="1"/>
  <c r="D106" i="51"/>
  <c r="E106" i="51"/>
  <c r="F106" i="51"/>
  <c r="B107" i="51"/>
  <c r="C107" i="51" s="1"/>
  <c r="D107" i="51"/>
  <c r="F107" i="51" s="1"/>
  <c r="E107" i="51"/>
  <c r="B108" i="51"/>
  <c r="C108" i="51" s="1"/>
  <c r="G108" i="51" s="1"/>
  <c r="D108" i="51"/>
  <c r="E108" i="51"/>
  <c r="F108" i="51"/>
  <c r="B109" i="51"/>
  <c r="C109" i="51" s="1"/>
  <c r="D109" i="51"/>
  <c r="F109" i="51" s="1"/>
  <c r="E109" i="51"/>
  <c r="B110" i="51"/>
  <c r="C110" i="51" s="1"/>
  <c r="G110" i="51" s="1"/>
  <c r="D110" i="51"/>
  <c r="E110" i="51"/>
  <c r="F110" i="51"/>
  <c r="B111" i="51"/>
  <c r="C111" i="51" s="1"/>
  <c r="D111" i="51"/>
  <c r="F111" i="51" s="1"/>
  <c r="E111" i="51"/>
  <c r="B112" i="51"/>
  <c r="C112" i="51" s="1"/>
  <c r="G112" i="51" s="1"/>
  <c r="D112" i="51"/>
  <c r="E112" i="51"/>
  <c r="F112" i="51"/>
  <c r="B113" i="51"/>
  <c r="C113" i="51" s="1"/>
  <c r="G113" i="51" s="1"/>
  <c r="D113" i="51"/>
  <c r="F113" i="51" s="1"/>
  <c r="E113" i="51"/>
  <c r="B114" i="51"/>
  <c r="C114" i="51" s="1"/>
  <c r="G114" i="51" s="1"/>
  <c r="D114" i="51"/>
  <c r="E114" i="51"/>
  <c r="F114" i="51"/>
  <c r="B115" i="51"/>
  <c r="C115" i="51" s="1"/>
  <c r="D115" i="51"/>
  <c r="F115" i="51" s="1"/>
  <c r="E115" i="51"/>
  <c r="B116" i="51"/>
  <c r="C116" i="51" s="1"/>
  <c r="G116" i="51" s="1"/>
  <c r="D116" i="51"/>
  <c r="E116" i="51"/>
  <c r="F116" i="51"/>
  <c r="B117" i="51"/>
  <c r="C117" i="51" s="1"/>
  <c r="D117" i="51"/>
  <c r="F117" i="51" s="1"/>
  <c r="E117" i="51"/>
  <c r="B118" i="51"/>
  <c r="C118" i="51" s="1"/>
  <c r="G118" i="51" s="1"/>
  <c r="D118" i="51"/>
  <c r="E118" i="51"/>
  <c r="F118" i="51"/>
  <c r="B119" i="51"/>
  <c r="C119" i="51" s="1"/>
  <c r="G119" i="51" s="1"/>
  <c r="D119" i="51"/>
  <c r="F119" i="51" s="1"/>
  <c r="E119" i="51"/>
  <c r="B120" i="51"/>
  <c r="C120" i="51" s="1"/>
  <c r="G120" i="51" s="1"/>
  <c r="D120" i="51"/>
  <c r="E120" i="51"/>
  <c r="F120" i="51"/>
  <c r="B121" i="51"/>
  <c r="C121" i="51" s="1"/>
  <c r="G121" i="51" s="1"/>
  <c r="D121" i="51"/>
  <c r="F121" i="51" s="1"/>
  <c r="E121" i="51"/>
  <c r="B122" i="51"/>
  <c r="C122" i="51" s="1"/>
  <c r="G122" i="51" s="1"/>
  <c r="D122" i="51"/>
  <c r="E122" i="51"/>
  <c r="F122" i="51"/>
  <c r="B123" i="51"/>
  <c r="C123" i="51" s="1"/>
  <c r="D123" i="51"/>
  <c r="F123" i="51" s="1"/>
  <c r="E123" i="51"/>
  <c r="B124" i="51"/>
  <c r="C124" i="51" s="1"/>
  <c r="G124" i="51" s="1"/>
  <c r="D124" i="51"/>
  <c r="E124" i="51"/>
  <c r="F124" i="51"/>
  <c r="B125" i="51"/>
  <c r="C125" i="51" s="1"/>
  <c r="D125" i="51"/>
  <c r="F125" i="51" s="1"/>
  <c r="E125" i="51"/>
  <c r="B126" i="51"/>
  <c r="C126" i="51" s="1"/>
  <c r="G126" i="51" s="1"/>
  <c r="D126" i="51"/>
  <c r="E126" i="51"/>
  <c r="F126" i="51"/>
  <c r="B127" i="51"/>
  <c r="C127" i="51" s="1"/>
  <c r="D127" i="51"/>
  <c r="F127" i="51" s="1"/>
  <c r="E127" i="51"/>
  <c r="B128" i="51"/>
  <c r="C128" i="51" s="1"/>
  <c r="G128" i="51" s="1"/>
  <c r="D128" i="51"/>
  <c r="E128" i="51"/>
  <c r="F128" i="51"/>
  <c r="B129" i="51"/>
  <c r="C129" i="51" s="1"/>
  <c r="G129" i="51" s="1"/>
  <c r="D129" i="51"/>
  <c r="F129" i="51" s="1"/>
  <c r="E129" i="51"/>
  <c r="B130" i="51"/>
  <c r="C130" i="51" s="1"/>
  <c r="G130" i="51" s="1"/>
  <c r="D130" i="51"/>
  <c r="E130" i="51"/>
  <c r="F130" i="51"/>
  <c r="B131" i="51"/>
  <c r="C131" i="51" s="1"/>
  <c r="D131" i="51"/>
  <c r="F131" i="51" s="1"/>
  <c r="E131" i="51"/>
  <c r="B132" i="51"/>
  <c r="C132" i="51" s="1"/>
  <c r="G132" i="51" s="1"/>
  <c r="D132" i="51"/>
  <c r="E132" i="51"/>
  <c r="F132" i="51"/>
  <c r="B133" i="51"/>
  <c r="C133" i="51" s="1"/>
  <c r="D133" i="51"/>
  <c r="F133" i="51" s="1"/>
  <c r="E133" i="51"/>
  <c r="B134" i="51"/>
  <c r="C134" i="51" s="1"/>
  <c r="G134" i="51" s="1"/>
  <c r="D134" i="51"/>
  <c r="E134" i="51"/>
  <c r="F134" i="51"/>
  <c r="B135" i="51"/>
  <c r="C135" i="51" s="1"/>
  <c r="G135" i="51" s="1"/>
  <c r="D135" i="51"/>
  <c r="F135" i="51" s="1"/>
  <c r="E135" i="51"/>
  <c r="B136" i="51"/>
  <c r="C136" i="51" s="1"/>
  <c r="G136" i="51" s="1"/>
  <c r="D136" i="51"/>
  <c r="E136" i="51"/>
  <c r="F136" i="51"/>
  <c r="B137" i="51"/>
  <c r="C137" i="51" s="1"/>
  <c r="D137" i="51"/>
  <c r="F137" i="51" s="1"/>
  <c r="E137" i="51"/>
  <c r="B138" i="51"/>
  <c r="C138" i="51" s="1"/>
  <c r="G138" i="51" s="1"/>
  <c r="D138" i="51"/>
  <c r="E138" i="51"/>
  <c r="F138" i="51"/>
  <c r="B139" i="51"/>
  <c r="C139" i="51" s="1"/>
  <c r="D139" i="51"/>
  <c r="F139" i="51" s="1"/>
  <c r="E139" i="51"/>
  <c r="B2" i="50"/>
  <c r="C2" i="50"/>
  <c r="B3" i="50"/>
  <c r="C3" i="50"/>
  <c r="D3" i="50"/>
  <c r="B4" i="50"/>
  <c r="D4" i="50" s="1"/>
  <c r="C4" i="50"/>
  <c r="B5" i="50"/>
  <c r="D5" i="50" s="1"/>
  <c r="C5" i="50"/>
  <c r="B6" i="50"/>
  <c r="D6" i="50" s="1"/>
  <c r="C6" i="50"/>
  <c r="B7" i="50"/>
  <c r="D7" i="50" s="1"/>
  <c r="C7" i="50"/>
  <c r="B8" i="50"/>
  <c r="D8" i="50" s="1"/>
  <c r="C8" i="50"/>
  <c r="B9" i="50"/>
  <c r="C9" i="50"/>
  <c r="B10" i="50"/>
  <c r="C10" i="50"/>
  <c r="B11" i="50"/>
  <c r="D11" i="50" s="1"/>
  <c r="C11" i="50"/>
  <c r="B12" i="50"/>
  <c r="D12" i="50" s="1"/>
  <c r="C12" i="50"/>
  <c r="B13" i="50"/>
  <c r="C13" i="50"/>
  <c r="B14" i="50"/>
  <c r="C14" i="50"/>
  <c r="D14" i="50" s="1"/>
  <c r="B15" i="50"/>
  <c r="D15" i="50" s="1"/>
  <c r="C15" i="50"/>
  <c r="B16" i="50"/>
  <c r="D16" i="50" s="1"/>
  <c r="C16" i="50"/>
  <c r="B17" i="50"/>
  <c r="C17" i="50"/>
  <c r="B18" i="50"/>
  <c r="C18" i="50"/>
  <c r="D18" i="50" s="1"/>
  <c r="B19" i="50"/>
  <c r="D19" i="50" s="1"/>
  <c r="C19" i="50"/>
  <c r="B20" i="50"/>
  <c r="D20" i="50" s="1"/>
  <c r="C20" i="50"/>
  <c r="B21" i="50"/>
  <c r="C21" i="50"/>
  <c r="B22" i="50"/>
  <c r="C22" i="50"/>
  <c r="D22" i="50" s="1"/>
  <c r="B23" i="50"/>
  <c r="D23" i="50" s="1"/>
  <c r="C23" i="50"/>
  <c r="B24" i="50"/>
  <c r="C24" i="50"/>
  <c r="B25" i="50"/>
  <c r="C25" i="50"/>
  <c r="B26" i="50"/>
  <c r="C26" i="50"/>
  <c r="D26" i="50" s="1"/>
  <c r="B27" i="50"/>
  <c r="D27" i="50" s="1"/>
  <c r="C27" i="50"/>
  <c r="B28" i="50"/>
  <c r="D28" i="50" s="1"/>
  <c r="C28" i="50"/>
  <c r="B29" i="50"/>
  <c r="C29" i="50"/>
  <c r="C30" i="50"/>
  <c r="C31" i="50"/>
  <c r="E2" i="49"/>
  <c r="F2" i="49"/>
  <c r="G6" i="51"/>
  <c r="F8" i="51"/>
  <c r="F10" i="51"/>
  <c r="G4" i="51"/>
  <c r="G5" i="51"/>
  <c r="G2" i="49"/>
  <c r="F7" i="51"/>
  <c r="F9" i="51"/>
  <c r="G3" i="51"/>
  <c r="D10" i="50" l="1"/>
  <c r="F26" i="50"/>
  <c r="D29" i="50"/>
  <c r="D25" i="50"/>
  <c r="D21" i="50"/>
  <c r="D17" i="50"/>
  <c r="D13" i="50"/>
  <c r="D9" i="50"/>
  <c r="F10" i="50"/>
  <c r="F22" i="50"/>
  <c r="AJ4" i="52"/>
  <c r="AI8" i="52"/>
  <c r="AI9" i="52"/>
  <c r="U3" i="52"/>
  <c r="Y3" i="52"/>
  <c r="Z3" i="52" s="1"/>
  <c r="AJ5" i="52"/>
  <c r="AG5" i="52"/>
  <c r="R3" i="52"/>
  <c r="S3" i="52" s="1"/>
  <c r="AB3" i="52"/>
  <c r="AA7" i="52"/>
  <c r="K3" i="52"/>
  <c r="G99" i="51"/>
  <c r="G133" i="51"/>
  <c r="G117" i="51"/>
  <c r="G101" i="51"/>
  <c r="G85" i="51"/>
  <c r="G69" i="51"/>
  <c r="G53" i="51"/>
  <c r="G37" i="51"/>
  <c r="G21" i="51"/>
  <c r="G131" i="51"/>
  <c r="G23" i="51"/>
  <c r="G67" i="51"/>
  <c r="G115" i="51"/>
  <c r="G137" i="51"/>
  <c r="G139" i="51"/>
  <c r="G123" i="51"/>
  <c r="G107" i="51"/>
  <c r="G91" i="51"/>
  <c r="G75" i="51"/>
  <c r="G59" i="51"/>
  <c r="G43" i="51"/>
  <c r="G27" i="51"/>
  <c r="G83" i="51"/>
  <c r="G125" i="51"/>
  <c r="G109" i="51"/>
  <c r="G93" i="51"/>
  <c r="G77" i="51"/>
  <c r="G61" i="51"/>
  <c r="G45" i="51"/>
  <c r="G29" i="51"/>
  <c r="G127" i="51"/>
  <c r="G111" i="51"/>
  <c r="G95" i="51"/>
  <c r="G79" i="51"/>
  <c r="G63" i="51"/>
  <c r="G47" i="51"/>
  <c r="G31" i="51"/>
  <c r="G49" i="51"/>
  <c r="G33" i="51"/>
  <c r="F27" i="50"/>
  <c r="F23" i="50"/>
  <c r="F19" i="50"/>
  <c r="F15" i="50"/>
  <c r="F11" i="50"/>
  <c r="J7" i="50"/>
  <c r="G6" i="50" s="1"/>
  <c r="F5" i="50"/>
  <c r="F6" i="50"/>
  <c r="F4" i="50"/>
  <c r="F28" i="50"/>
  <c r="F24" i="50"/>
  <c r="F20" i="50"/>
  <c r="F16" i="50"/>
  <c r="F12" i="50"/>
  <c r="F7" i="50"/>
  <c r="F8" i="50"/>
  <c r="F29" i="50"/>
  <c r="F25" i="50"/>
  <c r="D24" i="50"/>
  <c r="F21" i="50"/>
  <c r="F17" i="50"/>
  <c r="F13" i="50"/>
  <c r="F9" i="50"/>
  <c r="F2" i="50"/>
  <c r="F3" i="50"/>
  <c r="D2" i="50"/>
  <c r="F18" i="50"/>
  <c r="F14" i="50"/>
  <c r="E3" i="49"/>
  <c r="F3" i="49"/>
  <c r="E4" i="49"/>
  <c r="F4" i="49"/>
  <c r="E5" i="49"/>
  <c r="F5" i="49"/>
  <c r="E6" i="49"/>
  <c r="F6" i="49"/>
  <c r="G5" i="49"/>
  <c r="G4" i="49"/>
  <c r="G3" i="49"/>
  <c r="G28" i="50" l="1"/>
  <c r="G2" i="50"/>
  <c r="G12" i="50"/>
  <c r="G24" i="50"/>
  <c r="C8" i="34"/>
  <c r="AB4" i="52"/>
  <c r="Y4" i="52"/>
  <c r="AA8" i="52"/>
  <c r="R4" i="52"/>
  <c r="U4" i="52"/>
  <c r="T8" i="52"/>
  <c r="AH5" i="52"/>
  <c r="G4" i="50"/>
  <c r="G10" i="50"/>
  <c r="G14" i="50"/>
  <c r="G18" i="50"/>
  <c r="G22" i="50"/>
  <c r="G26" i="50"/>
  <c r="G9" i="50"/>
  <c r="G13" i="50"/>
  <c r="G5" i="50"/>
  <c r="G3" i="50"/>
  <c r="G17" i="50"/>
  <c r="G21" i="50"/>
  <c r="G15" i="50"/>
  <c r="G23" i="50"/>
  <c r="G25" i="50"/>
  <c r="G29" i="50"/>
  <c r="G19" i="50"/>
  <c r="G11" i="50"/>
  <c r="G27" i="50"/>
  <c r="G8" i="50"/>
  <c r="G7" i="50"/>
  <c r="G16" i="50"/>
  <c r="E3" i="50"/>
  <c r="J4" i="50"/>
  <c r="J5" i="50" s="1"/>
  <c r="J6" i="50" s="1"/>
  <c r="E9" i="50"/>
  <c r="E13" i="50"/>
  <c r="E17" i="50"/>
  <c r="E21" i="50"/>
  <c r="E25" i="50"/>
  <c r="E29" i="50"/>
  <c r="E12" i="50"/>
  <c r="E16" i="50"/>
  <c r="E20" i="50"/>
  <c r="E24" i="50"/>
  <c r="E28" i="50"/>
  <c r="E22" i="50"/>
  <c r="E26" i="50"/>
  <c r="E2" i="50"/>
  <c r="E8" i="50"/>
  <c r="E7" i="50"/>
  <c r="E10" i="50"/>
  <c r="E6" i="50"/>
  <c r="D30" i="50"/>
  <c r="E14" i="50"/>
  <c r="E5" i="50"/>
  <c r="E11" i="50"/>
  <c r="E15" i="50"/>
  <c r="E19" i="50"/>
  <c r="E23" i="50"/>
  <c r="E27" i="50"/>
  <c r="E18" i="50"/>
  <c r="E4" i="50"/>
  <c r="G20" i="50"/>
  <c r="E7" i="49"/>
  <c r="F7" i="49"/>
  <c r="G30" i="50" l="1"/>
  <c r="D8" i="34"/>
  <c r="C9" i="34"/>
  <c r="AI10" i="52"/>
  <c r="AG6" i="52"/>
  <c r="AH6" i="52" s="1"/>
  <c r="Z4" i="52"/>
  <c r="AB5" i="52" s="1"/>
  <c r="AJ6" i="52"/>
  <c r="S4" i="52"/>
  <c r="U5" i="52" s="1"/>
  <c r="J8" i="50"/>
  <c r="C25" i="49"/>
  <c r="L25" i="49"/>
  <c r="O25" i="49"/>
  <c r="C26" i="49"/>
  <c r="K26" i="49"/>
  <c r="O26" i="49"/>
  <c r="C18" i="48"/>
  <c r="D18" i="48"/>
  <c r="E18" i="48"/>
  <c r="C19" i="48"/>
  <c r="D19" i="48"/>
  <c r="E19" i="48"/>
  <c r="C20" i="48"/>
  <c r="D20" i="48"/>
  <c r="E20" i="48"/>
  <c r="C21" i="48"/>
  <c r="D21" i="48"/>
  <c r="E21" i="48"/>
  <c r="C22" i="48"/>
  <c r="D22" i="48"/>
  <c r="E22" i="48"/>
  <c r="C23" i="48"/>
  <c r="D23" i="48"/>
  <c r="E23" i="48"/>
  <c r="C24" i="48"/>
  <c r="D24" i="48"/>
  <c r="E24" i="48"/>
  <c r="C25" i="48"/>
  <c r="D25" i="48"/>
  <c r="E25" i="48"/>
  <c r="C26" i="48"/>
  <c r="D26" i="48"/>
  <c r="E26" i="48"/>
  <c r="E4" i="47"/>
  <c r="E7" i="47"/>
  <c r="E8" i="47"/>
  <c r="E17" i="47"/>
  <c r="E19" i="47" s="1"/>
  <c r="E18" i="47"/>
  <c r="D9" i="34" l="1"/>
  <c r="E14" i="34" s="1"/>
  <c r="AJ7" i="52"/>
  <c r="AA9" i="52"/>
  <c r="Y5" i="52"/>
  <c r="M14" i="47"/>
  <c r="T7" i="46"/>
  <c r="T8" i="46" s="1"/>
  <c r="T5" i="46"/>
  <c r="T4" i="46"/>
  <c r="T6" i="46" s="1"/>
  <c r="T3" i="46"/>
  <c r="T2" i="46"/>
  <c r="T9" i="46" s="1"/>
  <c r="C10" i="34" l="1"/>
  <c r="Z5" i="52"/>
  <c r="AB6" i="52" s="1"/>
  <c r="Y2" i="46"/>
  <c r="Y3" i="46" s="1"/>
  <c r="Y4" i="46" s="1"/>
  <c r="F2" i="46" s="1"/>
  <c r="T10" i="46"/>
  <c r="D1" i="45"/>
  <c r="B52" i="44"/>
  <c r="A52" i="44"/>
  <c r="B51" i="44"/>
  <c r="A51" i="44"/>
  <c r="B50" i="44"/>
  <c r="A50" i="44"/>
  <c r="B49" i="44"/>
  <c r="A49" i="44"/>
  <c r="B48" i="44"/>
  <c r="A48" i="44"/>
  <c r="B47" i="44"/>
  <c r="A47" i="44"/>
  <c r="B46" i="44"/>
  <c r="A46" i="44"/>
  <c r="B45" i="44"/>
  <c r="A45" i="44"/>
  <c r="B44" i="44"/>
  <c r="A44" i="44"/>
  <c r="B43" i="44"/>
  <c r="A43" i="44"/>
  <c r="B42" i="44"/>
  <c r="A42" i="44"/>
  <c r="B41" i="44"/>
  <c r="A41" i="44"/>
  <c r="B40" i="44"/>
  <c r="A40" i="44"/>
  <c r="B39" i="44"/>
  <c r="A39" i="44"/>
  <c r="B38" i="44"/>
  <c r="A38" i="44"/>
  <c r="B37" i="44"/>
  <c r="A37" i="44"/>
  <c r="B36" i="44"/>
  <c r="A36" i="44"/>
  <c r="B35" i="44"/>
  <c r="A35" i="44"/>
  <c r="B34" i="44"/>
  <c r="A34" i="44"/>
  <c r="B33" i="44"/>
  <c r="A33" i="44"/>
  <c r="B32" i="44"/>
  <c r="A32" i="44"/>
  <c r="B31" i="44"/>
  <c r="A31" i="44"/>
  <c r="B30" i="44"/>
  <c r="A30" i="44"/>
  <c r="B29" i="44"/>
  <c r="A29" i="44"/>
  <c r="B28" i="44"/>
  <c r="A28" i="44"/>
  <c r="B27" i="44"/>
  <c r="A27" i="44"/>
  <c r="B26" i="44"/>
  <c r="A26" i="44"/>
  <c r="B25" i="44"/>
  <c r="A25" i="44"/>
  <c r="B24" i="44"/>
  <c r="A24" i="44"/>
  <c r="B23" i="44"/>
  <c r="A23" i="44"/>
  <c r="B22" i="44"/>
  <c r="A22" i="44"/>
  <c r="B21" i="44"/>
  <c r="A21" i="44"/>
  <c r="B20" i="44"/>
  <c r="A20" i="44"/>
  <c r="B19" i="44"/>
  <c r="A19" i="44"/>
  <c r="B18" i="44"/>
  <c r="A18" i="44"/>
  <c r="B17" i="44"/>
  <c r="A17" i="44"/>
  <c r="B16" i="44"/>
  <c r="A16" i="44"/>
  <c r="B15" i="44"/>
  <c r="A15" i="44"/>
  <c r="B14" i="44"/>
  <c r="A14" i="44"/>
  <c r="B13" i="44"/>
  <c r="A13" i="44"/>
  <c r="B12" i="44"/>
  <c r="A12" i="44"/>
  <c r="B11" i="44"/>
  <c r="A11" i="44"/>
  <c r="B10" i="44"/>
  <c r="A10" i="44"/>
  <c r="B9" i="44"/>
  <c r="A9" i="44"/>
  <c r="B8" i="44"/>
  <c r="A8" i="44"/>
  <c r="B7" i="44"/>
  <c r="A7" i="44"/>
  <c r="B6" i="44"/>
  <c r="A6" i="44"/>
  <c r="B5" i="44"/>
  <c r="A5" i="44"/>
  <c r="C4" i="44"/>
  <c r="B4" i="44"/>
  <c r="A4" i="44"/>
  <c r="C3" i="44"/>
  <c r="B3" i="44"/>
  <c r="C48" i="44" s="1"/>
  <c r="A3" i="44"/>
  <c r="A2" i="44"/>
  <c r="D29" i="43"/>
  <c r="E29" i="43" s="1"/>
  <c r="C29" i="43"/>
  <c r="D30" i="43" s="1"/>
  <c r="D28" i="43"/>
  <c r="E28" i="43" s="1"/>
  <c r="C28" i="43"/>
  <c r="C27" i="43"/>
  <c r="E26" i="43"/>
  <c r="H26" i="43" s="1"/>
  <c r="D26" i="43"/>
  <c r="C26" i="43"/>
  <c r="D27" i="43" s="1"/>
  <c r="E27" i="43" s="1"/>
  <c r="C25" i="43"/>
  <c r="C24" i="43"/>
  <c r="D25" i="43" s="1"/>
  <c r="E25" i="43" s="1"/>
  <c r="D23" i="43"/>
  <c r="E23" i="43" s="1"/>
  <c r="C23" i="43"/>
  <c r="D24" i="43" s="1"/>
  <c r="E24" i="43" s="1"/>
  <c r="F24" i="43" s="1"/>
  <c r="G24" i="43" s="1"/>
  <c r="C22" i="43"/>
  <c r="D21" i="43"/>
  <c r="E21" i="43" s="1"/>
  <c r="C21" i="43"/>
  <c r="D22" i="43" s="1"/>
  <c r="E22" i="43" s="1"/>
  <c r="H22" i="43" s="1"/>
  <c r="D20" i="43"/>
  <c r="E20" i="43" s="1"/>
  <c r="C20" i="43"/>
  <c r="C19" i="43"/>
  <c r="C18" i="43"/>
  <c r="D19" i="43" s="1"/>
  <c r="E19" i="43" s="1"/>
  <c r="E17" i="43"/>
  <c r="C17" i="43"/>
  <c r="D18" i="43" s="1"/>
  <c r="E18" i="43" s="1"/>
  <c r="H16" i="43"/>
  <c r="C16" i="43"/>
  <c r="D17" i="43" s="1"/>
  <c r="D15" i="43"/>
  <c r="E15" i="43" s="1"/>
  <c r="C15" i="43"/>
  <c r="D16" i="43" s="1"/>
  <c r="E16" i="43" s="1"/>
  <c r="F16" i="43" s="1"/>
  <c r="G16" i="43" s="1"/>
  <c r="F14" i="43"/>
  <c r="G14" i="43" s="1"/>
  <c r="C14" i="43"/>
  <c r="D13" i="43"/>
  <c r="E13" i="43" s="1"/>
  <c r="C13" i="43"/>
  <c r="D14" i="43" s="1"/>
  <c r="E14" i="43" s="1"/>
  <c r="H14" i="43" s="1"/>
  <c r="D12" i="43"/>
  <c r="E12" i="43" s="1"/>
  <c r="C12" i="43"/>
  <c r="C11" i="43"/>
  <c r="C10" i="43"/>
  <c r="D11" i="43" s="1"/>
  <c r="E11" i="43" s="1"/>
  <c r="C9" i="43"/>
  <c r="D10" i="43" s="1"/>
  <c r="E10" i="43" s="1"/>
  <c r="C8" i="43"/>
  <c r="D9" i="43" s="1"/>
  <c r="E9" i="43" s="1"/>
  <c r="D7" i="43"/>
  <c r="E7" i="43" s="1"/>
  <c r="C7" i="43"/>
  <c r="D8" i="43" s="1"/>
  <c r="E8" i="43" s="1"/>
  <c r="F8" i="43" s="1"/>
  <c r="G8" i="43" s="1"/>
  <c r="C6" i="43"/>
  <c r="D5" i="43"/>
  <c r="E5" i="43" s="1"/>
  <c r="C5" i="43"/>
  <c r="D6" i="43" s="1"/>
  <c r="E6" i="43" s="1"/>
  <c r="H6" i="43" s="1"/>
  <c r="C4" i="43"/>
  <c r="I56" i="42"/>
  <c r="C52" i="42"/>
  <c r="C51" i="42"/>
  <c r="D50" i="42"/>
  <c r="C50" i="42"/>
  <c r="F50" i="42" s="1"/>
  <c r="J49" i="42"/>
  <c r="C49" i="42"/>
  <c r="F49" i="42" s="1"/>
  <c r="D48" i="42"/>
  <c r="C48" i="42"/>
  <c r="F48" i="42" s="1"/>
  <c r="D47" i="42"/>
  <c r="C47" i="42"/>
  <c r="F47" i="42" s="1"/>
  <c r="F46" i="42"/>
  <c r="D46" i="42"/>
  <c r="C46" i="42"/>
  <c r="C45" i="42"/>
  <c r="C44" i="42"/>
  <c r="F44" i="42" s="1"/>
  <c r="F43" i="42"/>
  <c r="C43" i="42"/>
  <c r="D43" i="42" s="1"/>
  <c r="C42" i="42"/>
  <c r="F42" i="42" s="1"/>
  <c r="C41" i="42"/>
  <c r="F41" i="42" s="1"/>
  <c r="D40" i="42"/>
  <c r="C40" i="42"/>
  <c r="F40" i="42" s="1"/>
  <c r="D39" i="42"/>
  <c r="C39" i="42"/>
  <c r="F39" i="42" s="1"/>
  <c r="F38" i="42"/>
  <c r="D38" i="42"/>
  <c r="C38" i="42"/>
  <c r="C37" i="42"/>
  <c r="C36" i="42"/>
  <c r="F36" i="42" s="1"/>
  <c r="F35" i="42"/>
  <c r="C35" i="42"/>
  <c r="D35" i="42" s="1"/>
  <c r="C34" i="42"/>
  <c r="F34" i="42" s="1"/>
  <c r="F33" i="42"/>
  <c r="C33" i="42"/>
  <c r="D33" i="42" s="1"/>
  <c r="D32" i="42"/>
  <c r="C32" i="42"/>
  <c r="F32" i="42" s="1"/>
  <c r="D31" i="42"/>
  <c r="C31" i="42"/>
  <c r="F31" i="42" s="1"/>
  <c r="F30" i="42"/>
  <c r="D30" i="42"/>
  <c r="C30" i="42"/>
  <c r="C29" i="42"/>
  <c r="C28" i="42"/>
  <c r="F28" i="42" s="1"/>
  <c r="F27" i="42"/>
  <c r="D27" i="42"/>
  <c r="C27" i="42"/>
  <c r="C26" i="42"/>
  <c r="F26" i="42" s="1"/>
  <c r="F25" i="42"/>
  <c r="C25" i="42"/>
  <c r="D25" i="42" s="1"/>
  <c r="D24" i="42"/>
  <c r="C24" i="42"/>
  <c r="F24" i="42" s="1"/>
  <c r="D23" i="42"/>
  <c r="C23" i="42"/>
  <c r="F23" i="42" s="1"/>
  <c r="F22" i="42"/>
  <c r="D22" i="42"/>
  <c r="C22" i="42"/>
  <c r="C21" i="42"/>
  <c r="C20" i="42"/>
  <c r="F20" i="42" s="1"/>
  <c r="F19" i="42"/>
  <c r="D19" i="42"/>
  <c r="C19" i="42"/>
  <c r="C18" i="42"/>
  <c r="F18" i="42" s="1"/>
  <c r="F17" i="42"/>
  <c r="C17" i="42"/>
  <c r="D17" i="42" s="1"/>
  <c r="D16" i="42"/>
  <c r="C16" i="42"/>
  <c r="F16" i="42" s="1"/>
  <c r="D15" i="42"/>
  <c r="C15" i="42"/>
  <c r="F15" i="42" s="1"/>
  <c r="F14" i="42"/>
  <c r="D14" i="42"/>
  <c r="C14" i="42"/>
  <c r="C13" i="42"/>
  <c r="F13" i="42" s="1"/>
  <c r="C12" i="42"/>
  <c r="F12" i="42" s="1"/>
  <c r="F11" i="42"/>
  <c r="D11" i="42"/>
  <c r="C11" i="42"/>
  <c r="C10" i="42"/>
  <c r="F9" i="42"/>
  <c r="C9" i="42"/>
  <c r="D9" i="42" s="1"/>
  <c r="C8" i="42"/>
  <c r="F8" i="42" s="1"/>
  <c r="C52" i="41"/>
  <c r="C51" i="41"/>
  <c r="D51" i="41" s="1"/>
  <c r="E51" i="41" s="1"/>
  <c r="I50" i="41"/>
  <c r="D50" i="41"/>
  <c r="E50" i="41" s="1"/>
  <c r="C50" i="41"/>
  <c r="E49" i="41"/>
  <c r="D49" i="41"/>
  <c r="C49" i="41"/>
  <c r="D48" i="41"/>
  <c r="E48" i="41" s="1"/>
  <c r="C48" i="41"/>
  <c r="C47" i="41"/>
  <c r="D47" i="41" s="1"/>
  <c r="E47" i="41" s="1"/>
  <c r="E46" i="41"/>
  <c r="D46" i="41"/>
  <c r="C46" i="41"/>
  <c r="E45" i="41"/>
  <c r="C45" i="41"/>
  <c r="D45" i="41" s="1"/>
  <c r="E44" i="41"/>
  <c r="C44" i="41"/>
  <c r="D44" i="41" s="1"/>
  <c r="D43" i="41"/>
  <c r="E43" i="41" s="1"/>
  <c r="C43" i="41"/>
  <c r="D42" i="41"/>
  <c r="E42" i="41" s="1"/>
  <c r="C42" i="41"/>
  <c r="D41" i="41"/>
  <c r="E41" i="41" s="1"/>
  <c r="C41" i="41"/>
  <c r="C40" i="41"/>
  <c r="D40" i="41" s="1"/>
  <c r="E40" i="41" s="1"/>
  <c r="C39" i="41"/>
  <c r="D39" i="41" s="1"/>
  <c r="E39" i="41" s="1"/>
  <c r="C38" i="41"/>
  <c r="D38" i="41" s="1"/>
  <c r="E38" i="41" s="1"/>
  <c r="E37" i="41"/>
  <c r="D37" i="41"/>
  <c r="C37" i="41"/>
  <c r="C36" i="41"/>
  <c r="D36" i="41" s="1"/>
  <c r="E36" i="41" s="1"/>
  <c r="C35" i="41"/>
  <c r="D35" i="41" s="1"/>
  <c r="E35" i="41" s="1"/>
  <c r="C34" i="41"/>
  <c r="D34" i="41" s="1"/>
  <c r="E34" i="41" s="1"/>
  <c r="E33" i="41"/>
  <c r="D33" i="41"/>
  <c r="C33" i="41"/>
  <c r="C32" i="41"/>
  <c r="D32" i="41" s="1"/>
  <c r="E32" i="41" s="1"/>
  <c r="C31" i="41"/>
  <c r="D31" i="41" s="1"/>
  <c r="E31" i="41" s="1"/>
  <c r="C30" i="41"/>
  <c r="D30" i="41" s="1"/>
  <c r="E30" i="41" s="1"/>
  <c r="C29" i="41"/>
  <c r="D29" i="41" s="1"/>
  <c r="E29" i="41" s="1"/>
  <c r="C28" i="41"/>
  <c r="D28" i="41" s="1"/>
  <c r="E28" i="41" s="1"/>
  <c r="C27" i="41"/>
  <c r="D27" i="41" s="1"/>
  <c r="E27" i="41" s="1"/>
  <c r="D26" i="41"/>
  <c r="E26" i="41" s="1"/>
  <c r="C26" i="41"/>
  <c r="C25" i="41"/>
  <c r="D25" i="41" s="1"/>
  <c r="E25" i="41" s="1"/>
  <c r="C24" i="41"/>
  <c r="D24" i="41" s="1"/>
  <c r="E24" i="41" s="1"/>
  <c r="C23" i="41"/>
  <c r="D23" i="41" s="1"/>
  <c r="E23" i="41" s="1"/>
  <c r="D22" i="41"/>
  <c r="E22" i="41" s="1"/>
  <c r="C22" i="41"/>
  <c r="C21" i="41"/>
  <c r="D21" i="41" s="1"/>
  <c r="E21" i="41" s="1"/>
  <c r="C20" i="41"/>
  <c r="D20" i="41" s="1"/>
  <c r="E20" i="41" s="1"/>
  <c r="C19" i="41"/>
  <c r="D19" i="41" s="1"/>
  <c r="E19" i="41" s="1"/>
  <c r="D18" i="41"/>
  <c r="E18" i="41" s="1"/>
  <c r="C18" i="41"/>
  <c r="C17" i="41"/>
  <c r="D17" i="41" s="1"/>
  <c r="E17" i="41" s="1"/>
  <c r="C16" i="41"/>
  <c r="D16" i="41" s="1"/>
  <c r="E16" i="41" s="1"/>
  <c r="C15" i="41"/>
  <c r="D15" i="41" s="1"/>
  <c r="E15" i="41" s="1"/>
  <c r="D14" i="41"/>
  <c r="E14" i="41" s="1"/>
  <c r="C14" i="41"/>
  <c r="C13" i="41"/>
  <c r="D13" i="41" s="1"/>
  <c r="E13" i="41" s="1"/>
  <c r="C12" i="41"/>
  <c r="D12" i="41" s="1"/>
  <c r="E12" i="41" s="1"/>
  <c r="C11" i="41"/>
  <c r="D11" i="41" s="1"/>
  <c r="E11" i="41" s="1"/>
  <c r="D10" i="41"/>
  <c r="E10" i="41" s="1"/>
  <c r="C10" i="41"/>
  <c r="C9" i="41"/>
  <c r="D9" i="41" s="1"/>
  <c r="E9" i="41" s="1"/>
  <c r="C8" i="41"/>
  <c r="D8" i="41" s="1"/>
  <c r="E8" i="41" s="1"/>
  <c r="G53" i="40"/>
  <c r="F53" i="40"/>
  <c r="E53" i="40"/>
  <c r="D53" i="40"/>
  <c r="G52" i="40"/>
  <c r="F52" i="40"/>
  <c r="E52" i="40"/>
  <c r="D52" i="40"/>
  <c r="J51" i="40"/>
  <c r="G51" i="40"/>
  <c r="F51" i="40"/>
  <c r="E51" i="40"/>
  <c r="D51" i="40"/>
  <c r="J50" i="40"/>
  <c r="J52" i="40" s="1"/>
  <c r="J53" i="40" s="1"/>
  <c r="G50" i="40"/>
  <c r="F50" i="40"/>
  <c r="E50" i="40"/>
  <c r="D50" i="40"/>
  <c r="J49" i="40"/>
  <c r="G49" i="40"/>
  <c r="F49" i="40"/>
  <c r="E49" i="40"/>
  <c r="D49" i="40"/>
  <c r="G48" i="40"/>
  <c r="F48" i="40"/>
  <c r="E48" i="40"/>
  <c r="D48" i="40"/>
  <c r="J47" i="40"/>
  <c r="J48" i="40" s="1"/>
  <c r="G47" i="40"/>
  <c r="F47" i="40"/>
  <c r="E47" i="40"/>
  <c r="D47" i="40"/>
  <c r="J46" i="40"/>
  <c r="G46" i="40"/>
  <c r="F46" i="40"/>
  <c r="E46" i="40"/>
  <c r="D46" i="40"/>
  <c r="G45" i="40"/>
  <c r="F45" i="40"/>
  <c r="E45" i="40"/>
  <c r="D45" i="40"/>
  <c r="G44" i="40"/>
  <c r="F44" i="40"/>
  <c r="E44" i="40"/>
  <c r="D44" i="40"/>
  <c r="G43" i="40"/>
  <c r="F43" i="40"/>
  <c r="E43" i="40"/>
  <c r="D43" i="40"/>
  <c r="G42" i="40"/>
  <c r="F42" i="40"/>
  <c r="E42" i="40"/>
  <c r="D42" i="40"/>
  <c r="G41" i="40"/>
  <c r="F41" i="40"/>
  <c r="E41" i="40"/>
  <c r="D41" i="40"/>
  <c r="G40" i="40"/>
  <c r="F40" i="40"/>
  <c r="E40" i="40"/>
  <c r="D40" i="40"/>
  <c r="G39" i="40"/>
  <c r="F39" i="40"/>
  <c r="E39" i="40"/>
  <c r="D39" i="40"/>
  <c r="G38" i="40"/>
  <c r="F38" i="40"/>
  <c r="E38" i="40"/>
  <c r="D38" i="40"/>
  <c r="G37" i="40"/>
  <c r="F37" i="40"/>
  <c r="E37" i="40"/>
  <c r="D37" i="40"/>
  <c r="G36" i="40"/>
  <c r="F36" i="40"/>
  <c r="E36" i="40"/>
  <c r="D36" i="40"/>
  <c r="G35" i="40"/>
  <c r="F35" i="40"/>
  <c r="E35" i="40"/>
  <c r="D35" i="40"/>
  <c r="G34" i="40"/>
  <c r="F34" i="40"/>
  <c r="E34" i="40"/>
  <c r="D34" i="40"/>
  <c r="G33" i="40"/>
  <c r="F33" i="40"/>
  <c r="E33" i="40"/>
  <c r="D33" i="40"/>
  <c r="G32" i="40"/>
  <c r="F32" i="40"/>
  <c r="E32" i="40"/>
  <c r="D32" i="40"/>
  <c r="G31" i="40"/>
  <c r="F31" i="40"/>
  <c r="E31" i="40"/>
  <c r="D31" i="40"/>
  <c r="G30" i="40"/>
  <c r="F30" i="40"/>
  <c r="E30" i="40"/>
  <c r="D30" i="40"/>
  <c r="G29" i="40"/>
  <c r="F29" i="40"/>
  <c r="E29" i="40"/>
  <c r="D29" i="40"/>
  <c r="G28" i="40"/>
  <c r="F28" i="40"/>
  <c r="E28" i="40"/>
  <c r="D28" i="40"/>
  <c r="G27" i="40"/>
  <c r="F27" i="40"/>
  <c r="E27" i="40"/>
  <c r="D27" i="40"/>
  <c r="G26" i="40"/>
  <c r="F26" i="40"/>
  <c r="E26" i="40"/>
  <c r="D26" i="40"/>
  <c r="G25" i="40"/>
  <c r="F25" i="40"/>
  <c r="E25" i="40"/>
  <c r="D25" i="40"/>
  <c r="G24" i="40"/>
  <c r="F24" i="40"/>
  <c r="E24" i="40"/>
  <c r="D24" i="40"/>
  <c r="G23" i="40"/>
  <c r="F23" i="40"/>
  <c r="E23" i="40"/>
  <c r="D23" i="40"/>
  <c r="G22" i="40"/>
  <c r="F22" i="40"/>
  <c r="E22" i="40"/>
  <c r="D22" i="40"/>
  <c r="G21" i="40"/>
  <c r="F21" i="40"/>
  <c r="E21" i="40"/>
  <c r="D21" i="40"/>
  <c r="G20" i="40"/>
  <c r="F20" i="40"/>
  <c r="E20" i="40"/>
  <c r="D20" i="40"/>
  <c r="G19" i="40"/>
  <c r="F19" i="40"/>
  <c r="E19" i="40"/>
  <c r="D19" i="40"/>
  <c r="G18" i="40"/>
  <c r="F18" i="40"/>
  <c r="E18" i="40"/>
  <c r="D18" i="40"/>
  <c r="G17" i="40"/>
  <c r="F17" i="40"/>
  <c r="E17" i="40"/>
  <c r="D17" i="40"/>
  <c r="G16" i="40"/>
  <c r="F16" i="40"/>
  <c r="E16" i="40"/>
  <c r="D16" i="40"/>
  <c r="G15" i="40"/>
  <c r="F15" i="40"/>
  <c r="E15" i="40"/>
  <c r="D15" i="40"/>
  <c r="G14" i="40"/>
  <c r="F14" i="40"/>
  <c r="E14" i="40"/>
  <c r="D14" i="40"/>
  <c r="G13" i="40"/>
  <c r="F13" i="40"/>
  <c r="E13" i="40"/>
  <c r="D13" i="40"/>
  <c r="G12" i="40"/>
  <c r="F12" i="40"/>
  <c r="E12" i="40"/>
  <c r="D12" i="40"/>
  <c r="G11" i="40"/>
  <c r="F11" i="40"/>
  <c r="E11" i="40"/>
  <c r="D11" i="40"/>
  <c r="F10" i="40"/>
  <c r="E10" i="40"/>
  <c r="D10" i="40"/>
  <c r="F9" i="40"/>
  <c r="E9" i="40"/>
  <c r="D9" i="40"/>
  <c r="F8" i="40"/>
  <c r="E8" i="40"/>
  <c r="D8" i="40"/>
  <c r="F7" i="40"/>
  <c r="E7" i="40"/>
  <c r="D7" i="40"/>
  <c r="F6" i="40"/>
  <c r="E6" i="40"/>
  <c r="D6" i="40"/>
  <c r="F5" i="40"/>
  <c r="E5" i="40"/>
  <c r="D5" i="40"/>
  <c r="E4" i="40"/>
  <c r="D4" i="40"/>
  <c r="P29" i="43"/>
  <c r="N29" i="43"/>
  <c r="V29" i="43"/>
  <c r="R29" i="43"/>
  <c r="Q29" i="43"/>
  <c r="O5" i="43"/>
  <c r="V5" i="43"/>
  <c r="S29" i="43"/>
  <c r="T29" i="43"/>
  <c r="E22" i="45"/>
  <c r="W5" i="43"/>
  <c r="O29" i="43"/>
  <c r="N5" i="43"/>
  <c r="S5" i="43"/>
  <c r="P5" i="43"/>
  <c r="U5" i="43"/>
  <c r="T5" i="43"/>
  <c r="W29" i="43"/>
  <c r="U29" i="43"/>
  <c r="R5" i="43"/>
  <c r="Q5" i="43"/>
  <c r="D10" i="34" l="1"/>
  <c r="E15" i="34" s="1"/>
  <c r="C2" i="45" a="1"/>
  <c r="C2" i="45" s="1"/>
  <c r="C3" i="45" a="1"/>
  <c r="C3" i="45" s="1"/>
  <c r="C4" i="45" s="1" a="1"/>
  <c r="C4" i="45" s="1"/>
  <c r="C5" i="45" s="1" a="1"/>
  <c r="C5" i="45" s="1"/>
  <c r="C6" i="45" s="1" a="1"/>
  <c r="C6" i="45" s="1"/>
  <c r="C7" i="45" s="1" a="1"/>
  <c r="C7" i="45" s="1"/>
  <c r="C8" i="45" s="1" a="1"/>
  <c r="C8" i="45" s="1"/>
  <c r="C9" i="45" s="1" a="1"/>
  <c r="C9" i="45" s="1"/>
  <c r="C10" i="45" s="1" a="1"/>
  <c r="C10" i="45" s="1"/>
  <c r="C11" i="45" s="1" a="1"/>
  <c r="C11" i="45" s="1"/>
  <c r="C12" i="45" s="1" a="1"/>
  <c r="C12" i="45" s="1"/>
  <c r="C13" i="45" s="1" a="1"/>
  <c r="C13" i="45" s="1"/>
  <c r="C14" i="45" s="1" a="1"/>
  <c r="C14" i="45" s="1"/>
  <c r="C15" i="45" s="1" a="1"/>
  <c r="C15" i="45" s="1"/>
  <c r="C16" i="45" s="1" a="1"/>
  <c r="C16" i="45" s="1"/>
  <c r="C17" i="45" s="1" a="1"/>
  <c r="C17" i="45" s="1"/>
  <c r="C18" i="45" s="1" a="1"/>
  <c r="C18" i="45" s="1"/>
  <c r="C19" i="45" s="1" a="1"/>
  <c r="C19" i="45" s="1"/>
  <c r="C20" i="45" s="1" a="1"/>
  <c r="C20" i="45" s="1"/>
  <c r="C21" i="45" s="1" a="1"/>
  <c r="C21" i="45" s="1"/>
  <c r="C22" i="45" s="1" a="1"/>
  <c r="C22" i="45" s="1"/>
  <c r="C23" i="45" s="1" a="1"/>
  <c r="C23" i="45" s="1"/>
  <c r="C24" i="45" s="1" a="1"/>
  <c r="C24" i="45" s="1"/>
  <c r="C25" i="45" s="1" a="1"/>
  <c r="C25" i="45" s="1"/>
  <c r="C26" i="45" s="1" a="1"/>
  <c r="C26" i="45" s="1"/>
  <c r="C27" i="45" s="1" a="1"/>
  <c r="C27" i="45" s="1"/>
  <c r="C28" i="45" s="1" a="1"/>
  <c r="C28" i="45" s="1"/>
  <c r="C29" i="45" s="1" a="1"/>
  <c r="C29" i="45" s="1"/>
  <c r="Y5" i="46"/>
  <c r="Y6" i="46" s="1"/>
  <c r="G2" i="46"/>
  <c r="E2" i="46"/>
  <c r="H25" i="43"/>
  <c r="F25" i="43"/>
  <c r="G25" i="43" s="1"/>
  <c r="F47" i="41"/>
  <c r="G47" i="41" s="1"/>
  <c r="F50" i="41"/>
  <c r="G50" i="41" s="1"/>
  <c r="F42" i="41"/>
  <c r="G42" i="41" s="1"/>
  <c r="F34" i="41"/>
  <c r="G34" i="41" s="1"/>
  <c r="F45" i="41"/>
  <c r="G45" i="41" s="1"/>
  <c r="F37" i="41"/>
  <c r="G37" i="41" s="1"/>
  <c r="F51" i="41"/>
  <c r="F48" i="41"/>
  <c r="G48" i="41" s="1"/>
  <c r="F43" i="41"/>
  <c r="G43" i="41" s="1"/>
  <c r="F31" i="41"/>
  <c r="G31" i="41" s="1"/>
  <c r="F27" i="41"/>
  <c r="G27" i="41" s="1"/>
  <c r="F19" i="41"/>
  <c r="G19" i="41" s="1"/>
  <c r="F11" i="41"/>
  <c r="G11" i="41" s="1"/>
  <c r="F49" i="41"/>
  <c r="G49" i="41" s="1"/>
  <c r="F41" i="41"/>
  <c r="G41" i="41" s="1"/>
  <c r="F39" i="41"/>
  <c r="G39" i="41" s="1"/>
  <c r="F22" i="41"/>
  <c r="G22" i="41" s="1"/>
  <c r="F14" i="41"/>
  <c r="G14" i="41" s="1"/>
  <c r="F35" i="41"/>
  <c r="G35" i="41" s="1"/>
  <c r="F8" i="41"/>
  <c r="G8" i="41" s="1"/>
  <c r="F25" i="41"/>
  <c r="G25" i="41" s="1"/>
  <c r="F17" i="41"/>
  <c r="G17" i="41" s="1"/>
  <c r="F9" i="41"/>
  <c r="G9" i="41" s="1"/>
  <c r="F46" i="41"/>
  <c r="G46" i="41" s="1"/>
  <c r="F33" i="41"/>
  <c r="G33" i="41" s="1"/>
  <c r="F38" i="41"/>
  <c r="G38" i="41" s="1"/>
  <c r="F36" i="41"/>
  <c r="G36" i="41" s="1"/>
  <c r="F32" i="41"/>
  <c r="G32" i="41" s="1"/>
  <c r="F30" i="41"/>
  <c r="G30" i="41" s="1"/>
  <c r="F20" i="41"/>
  <c r="G20" i="41" s="1"/>
  <c r="F12" i="41"/>
  <c r="G12" i="41" s="1"/>
  <c r="F24" i="41"/>
  <c r="G24" i="41" s="1"/>
  <c r="F28" i="41"/>
  <c r="G28" i="41" s="1"/>
  <c r="F23" i="41"/>
  <c r="G23" i="41" s="1"/>
  <c r="F15" i="41"/>
  <c r="G15" i="41" s="1"/>
  <c r="F29" i="41"/>
  <c r="G29" i="41" s="1"/>
  <c r="F40" i="41"/>
  <c r="G40" i="41" s="1"/>
  <c r="F26" i="41"/>
  <c r="G26" i="41" s="1"/>
  <c r="F18" i="41"/>
  <c r="G18" i="41" s="1"/>
  <c r="F10" i="41"/>
  <c r="G10" i="41" s="1"/>
  <c r="F44" i="41"/>
  <c r="G44" i="41" s="1"/>
  <c r="F21" i="41"/>
  <c r="G21" i="41" s="1"/>
  <c r="F13" i="41"/>
  <c r="G13" i="41" s="1"/>
  <c r="F16" i="41"/>
  <c r="G16" i="41" s="1"/>
  <c r="H9" i="43"/>
  <c r="F9" i="43"/>
  <c r="G9" i="43" s="1"/>
  <c r="G39" i="42"/>
  <c r="G10" i="42"/>
  <c r="G40" i="42"/>
  <c r="G8" i="42"/>
  <c r="G19" i="42"/>
  <c r="F45" i="42"/>
  <c r="D45" i="42"/>
  <c r="H13" i="43"/>
  <c r="F13" i="43"/>
  <c r="G13" i="43" s="1"/>
  <c r="C7" i="44"/>
  <c r="R1" i="44"/>
  <c r="R2" i="44" s="1"/>
  <c r="C46" i="44"/>
  <c r="C38" i="44"/>
  <c r="C30" i="44"/>
  <c r="C22" i="44"/>
  <c r="C14" i="44"/>
  <c r="C6" i="44"/>
  <c r="C51" i="44"/>
  <c r="D8" i="42"/>
  <c r="F29" i="42"/>
  <c r="D29" i="42"/>
  <c r="F37" i="42"/>
  <c r="D37" i="42"/>
  <c r="H7" i="43"/>
  <c r="F7" i="43"/>
  <c r="G7" i="43" s="1"/>
  <c r="I13" i="43"/>
  <c r="H18" i="43"/>
  <c r="F18" i="43"/>
  <c r="G18" i="43" s="1"/>
  <c r="H20" i="43"/>
  <c r="F20" i="43"/>
  <c r="G20" i="43" s="1"/>
  <c r="H23" i="43"/>
  <c r="F23" i="43"/>
  <c r="G23" i="43" s="1"/>
  <c r="D33" i="43"/>
  <c r="D32" i="43"/>
  <c r="F11" i="43"/>
  <c r="G11" i="43" s="1"/>
  <c r="H11" i="43"/>
  <c r="H17" i="43"/>
  <c r="F17" i="43"/>
  <c r="G17" i="43" s="1"/>
  <c r="H29" i="43"/>
  <c r="F29" i="43"/>
  <c r="G29" i="43" s="1"/>
  <c r="F21" i="42"/>
  <c r="D21" i="42"/>
  <c r="I26" i="43"/>
  <c r="I18" i="43"/>
  <c r="I10" i="43"/>
  <c r="I23" i="43"/>
  <c r="I15" i="43"/>
  <c r="I7" i="43"/>
  <c r="I5" i="43"/>
  <c r="I28" i="43"/>
  <c r="I20" i="43"/>
  <c r="I12" i="43"/>
  <c r="H5" i="43"/>
  <c r="I25" i="43"/>
  <c r="I17" i="43"/>
  <c r="I9" i="43"/>
  <c r="I22" i="43"/>
  <c r="I14" i="43"/>
  <c r="I6" i="43"/>
  <c r="F5" i="43"/>
  <c r="I27" i="43"/>
  <c r="I19" i="43"/>
  <c r="I11" i="43"/>
  <c r="I24" i="43"/>
  <c r="I16" i="43"/>
  <c r="I8" i="43"/>
  <c r="I29" i="43"/>
  <c r="C11" i="44"/>
  <c r="F27" i="43"/>
  <c r="G27" i="43" s="1"/>
  <c r="H27" i="43"/>
  <c r="H8" i="43"/>
  <c r="F19" i="43"/>
  <c r="G19" i="43" s="1"/>
  <c r="H19" i="43"/>
  <c r="H21" i="43"/>
  <c r="F21" i="43"/>
  <c r="G21" i="43" s="1"/>
  <c r="H24" i="43"/>
  <c r="C19" i="44"/>
  <c r="G9" i="42"/>
  <c r="D13" i="42"/>
  <c r="F51" i="42"/>
  <c r="D51" i="42"/>
  <c r="H10" i="43"/>
  <c r="F10" i="43"/>
  <c r="G10" i="43" s="1"/>
  <c r="H12" i="43"/>
  <c r="F12" i="43"/>
  <c r="G12" i="43" s="1"/>
  <c r="H15" i="43"/>
  <c r="F15" i="43"/>
  <c r="G15" i="43" s="1"/>
  <c r="I21" i="43"/>
  <c r="D31" i="43"/>
  <c r="C27" i="44"/>
  <c r="F10" i="42"/>
  <c r="G44" i="42" s="1"/>
  <c r="D10" i="42"/>
  <c r="C35" i="44"/>
  <c r="F6" i="43"/>
  <c r="G6" i="43" s="1"/>
  <c r="F22" i="43"/>
  <c r="G22" i="43" s="1"/>
  <c r="H28" i="43"/>
  <c r="F28" i="43"/>
  <c r="G28" i="43" s="1"/>
  <c r="C43" i="44"/>
  <c r="D18" i="42"/>
  <c r="D26" i="42"/>
  <c r="D34" i="42"/>
  <c r="D42" i="42"/>
  <c r="C9" i="44"/>
  <c r="C17" i="44"/>
  <c r="C25" i="44"/>
  <c r="C33" i="44"/>
  <c r="C41" i="44"/>
  <c r="C49" i="44"/>
  <c r="C12" i="44"/>
  <c r="C20" i="44"/>
  <c r="C28" i="44"/>
  <c r="C36" i="44"/>
  <c r="C44" i="44"/>
  <c r="C52" i="44"/>
  <c r="E20" i="45" a="1"/>
  <c r="E20" i="45" s="1"/>
  <c r="D12" i="42"/>
  <c r="D20" i="42"/>
  <c r="D28" i="42"/>
  <c r="D36" i="42"/>
  <c r="D44" i="42"/>
  <c r="F26" i="43"/>
  <c r="G26" i="43" s="1"/>
  <c r="C15" i="44"/>
  <c r="C23" i="44"/>
  <c r="C31" i="44"/>
  <c r="C39" i="44"/>
  <c r="C47" i="44"/>
  <c r="D41" i="42"/>
  <c r="D49" i="42"/>
  <c r="I58" i="42"/>
  <c r="C10" i="44"/>
  <c r="C18" i="44"/>
  <c r="C26" i="44"/>
  <c r="C34" i="44"/>
  <c r="C42" i="44"/>
  <c r="C50" i="44"/>
  <c r="C5" i="44"/>
  <c r="C13" i="44"/>
  <c r="C21" i="44"/>
  <c r="C29" i="44"/>
  <c r="C37" i="44"/>
  <c r="C45" i="44"/>
  <c r="C8" i="44"/>
  <c r="C16" i="44"/>
  <c r="C24" i="44"/>
  <c r="C32" i="44"/>
  <c r="C40" i="44"/>
  <c r="H2" i="46" l="1"/>
  <c r="N2" i="46"/>
  <c r="F3" i="46"/>
  <c r="G27" i="42"/>
  <c r="G48" i="42"/>
  <c r="G18" i="42"/>
  <c r="G47" i="42"/>
  <c r="M11" i="43"/>
  <c r="G17" i="42"/>
  <c r="G35" i="42"/>
  <c r="G13" i="42"/>
  <c r="G26" i="42"/>
  <c r="G50" i="42"/>
  <c r="G14" i="42"/>
  <c r="G22" i="42"/>
  <c r="G43" i="42"/>
  <c r="G21" i="42"/>
  <c r="G34" i="42"/>
  <c r="G12" i="42"/>
  <c r="L25" i="43"/>
  <c r="L17" i="43"/>
  <c r="L9" i="43"/>
  <c r="L22" i="43"/>
  <c r="L14" i="43"/>
  <c r="L6" i="43"/>
  <c r="L27" i="43"/>
  <c r="L19" i="43"/>
  <c r="L11" i="43"/>
  <c r="L24" i="43"/>
  <c r="L16" i="43"/>
  <c r="L8" i="43"/>
  <c r="L29" i="43"/>
  <c r="L21" i="43"/>
  <c r="L13" i="43"/>
  <c r="L26" i="43"/>
  <c r="L18" i="43"/>
  <c r="L10" i="43"/>
  <c r="L23" i="43"/>
  <c r="L15" i="43"/>
  <c r="L7" i="43"/>
  <c r="L5" i="43"/>
  <c r="L12" i="43"/>
  <c r="L28" i="43"/>
  <c r="L20" i="43"/>
  <c r="E46" i="42"/>
  <c r="E38" i="42"/>
  <c r="E30" i="42"/>
  <c r="E22" i="42"/>
  <c r="E14" i="42"/>
  <c r="E49" i="42"/>
  <c r="E41" i="42"/>
  <c r="E33" i="42"/>
  <c r="E25" i="42"/>
  <c r="E17" i="42"/>
  <c r="E9" i="42"/>
  <c r="E44" i="42"/>
  <c r="E36" i="42"/>
  <c r="E28" i="42"/>
  <c r="E20" i="42"/>
  <c r="E12" i="42"/>
  <c r="E50" i="42"/>
  <c r="E47" i="42"/>
  <c r="E39" i="42"/>
  <c r="E31" i="42"/>
  <c r="E23" i="42"/>
  <c r="E15" i="42"/>
  <c r="E42" i="42"/>
  <c r="E34" i="42"/>
  <c r="E26" i="42"/>
  <c r="E18" i="42"/>
  <c r="E10" i="42"/>
  <c r="E51" i="42"/>
  <c r="E52" i="42" s="1"/>
  <c r="J50" i="42" s="1"/>
  <c r="J51" i="42" s="1"/>
  <c r="I57" i="42" s="1"/>
  <c r="I59" i="42" s="1"/>
  <c r="E45" i="42"/>
  <c r="E37" i="42"/>
  <c r="E29" i="42"/>
  <c r="E21" i="42"/>
  <c r="E13" i="42"/>
  <c r="E48" i="42"/>
  <c r="E40" i="42"/>
  <c r="E32" i="42"/>
  <c r="E24" i="42"/>
  <c r="E35" i="42"/>
  <c r="E27" i="42"/>
  <c r="E16" i="42"/>
  <c r="E43" i="42"/>
  <c r="E19" i="42"/>
  <c r="E8" i="42"/>
  <c r="E11" i="42"/>
  <c r="G30" i="42"/>
  <c r="G29" i="42"/>
  <c r="G42" i="42"/>
  <c r="G20" i="42"/>
  <c r="M22" i="43"/>
  <c r="J23" i="43"/>
  <c r="M23" i="43" s="1"/>
  <c r="J15" i="43"/>
  <c r="M15" i="43" s="1"/>
  <c r="J7" i="43"/>
  <c r="M7" i="43" s="1"/>
  <c r="J5" i="43"/>
  <c r="M5" i="43" s="1"/>
  <c r="J28" i="43"/>
  <c r="J20" i="43"/>
  <c r="J12" i="43"/>
  <c r="M12" i="43" s="1"/>
  <c r="J25" i="43"/>
  <c r="M25" i="43" s="1"/>
  <c r="J17" i="43"/>
  <c r="M17" i="43" s="1"/>
  <c r="J9" i="43"/>
  <c r="M9" i="43" s="1"/>
  <c r="J22" i="43"/>
  <c r="J14" i="43"/>
  <c r="J6" i="43"/>
  <c r="G5" i="43"/>
  <c r="J27" i="43"/>
  <c r="M27" i="43" s="1"/>
  <c r="J19" i="43"/>
  <c r="M19" i="43" s="1"/>
  <c r="J11" i="43"/>
  <c r="J24" i="43"/>
  <c r="M24" i="43" s="1"/>
  <c r="J16" i="43"/>
  <c r="J8" i="43"/>
  <c r="J29" i="43"/>
  <c r="J21" i="43"/>
  <c r="J13" i="43"/>
  <c r="M13" i="43" s="1"/>
  <c r="J18" i="43"/>
  <c r="M18" i="43" s="1"/>
  <c r="J26" i="43"/>
  <c r="J10" i="43"/>
  <c r="M10" i="43" s="1"/>
  <c r="G49" i="42"/>
  <c r="G38" i="42"/>
  <c r="G16" i="42"/>
  <c r="G37" i="42"/>
  <c r="G15" i="42"/>
  <c r="G28" i="42"/>
  <c r="M16" i="43"/>
  <c r="M29" i="43"/>
  <c r="M6" i="43"/>
  <c r="M20" i="43"/>
  <c r="M26" i="43"/>
  <c r="G41" i="42"/>
  <c r="G46" i="42"/>
  <c r="G24" i="42"/>
  <c r="G45" i="42"/>
  <c r="G23" i="42"/>
  <c r="G36" i="42"/>
  <c r="M21" i="43"/>
  <c r="M8" i="43"/>
  <c r="M14" i="43"/>
  <c r="M28" i="43"/>
  <c r="G33" i="42"/>
  <c r="G25" i="42"/>
  <c r="G11" i="42"/>
  <c r="G32" i="42"/>
  <c r="G51" i="42"/>
  <c r="G52" i="42" s="1"/>
  <c r="J52" i="42" s="1"/>
  <c r="J53" i="42" s="1"/>
  <c r="G31" i="42"/>
  <c r="I51" i="41"/>
  <c r="G51" i="41"/>
  <c r="M2" i="46" l="1"/>
  <c r="G3" i="46"/>
  <c r="I2" i="46"/>
  <c r="K28" i="43"/>
  <c r="K20" i="43"/>
  <c r="K12" i="43"/>
  <c r="K25" i="43"/>
  <c r="K17" i="43"/>
  <c r="K9" i="43"/>
  <c r="K22" i="43"/>
  <c r="K14" i="43"/>
  <c r="K6" i="43"/>
  <c r="K27" i="43"/>
  <c r="K19" i="43"/>
  <c r="K11" i="43"/>
  <c r="K24" i="43"/>
  <c r="K16" i="43"/>
  <c r="K8" i="43"/>
  <c r="K29" i="43"/>
  <c r="K21" i="43"/>
  <c r="K13" i="43"/>
  <c r="K26" i="43"/>
  <c r="K18" i="43"/>
  <c r="K10" i="43"/>
  <c r="K15" i="43"/>
  <c r="K5" i="43"/>
  <c r="K23" i="43"/>
  <c r="K7" i="43"/>
  <c r="F4" i="46" l="1"/>
  <c r="L3" i="46"/>
  <c r="H3" i="46"/>
  <c r="N3" i="46"/>
  <c r="E3" i="46"/>
  <c r="G5" i="35"/>
  <c r="G6" i="35"/>
  <c r="G7" i="35"/>
  <c r="G8" i="35"/>
  <c r="G9" i="35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4" i="35"/>
  <c r="I3" i="46" l="1"/>
  <c r="M3" i="46"/>
  <c r="G4" i="46"/>
  <c r="E4" i="46"/>
  <c r="B5" i="35"/>
  <c r="C5" i="35"/>
  <c r="D5" i="35"/>
  <c r="E5" i="35"/>
  <c r="B6" i="35"/>
  <c r="C6" i="35"/>
  <c r="D6" i="35"/>
  <c r="E6" i="35"/>
  <c r="B7" i="35"/>
  <c r="C7" i="35"/>
  <c r="D7" i="35"/>
  <c r="E7" i="35"/>
  <c r="B8" i="35"/>
  <c r="C8" i="35"/>
  <c r="D8" i="35"/>
  <c r="E8" i="35"/>
  <c r="B9" i="35"/>
  <c r="C9" i="35"/>
  <c r="D9" i="35"/>
  <c r="E9" i="35"/>
  <c r="B10" i="35"/>
  <c r="C10" i="35"/>
  <c r="D10" i="35"/>
  <c r="E10" i="35"/>
  <c r="B11" i="35"/>
  <c r="C11" i="35"/>
  <c r="D11" i="35"/>
  <c r="E11" i="35"/>
  <c r="B12" i="35"/>
  <c r="C12" i="35"/>
  <c r="D12" i="35"/>
  <c r="E12" i="35"/>
  <c r="B13" i="35"/>
  <c r="C13" i="35"/>
  <c r="D13" i="35"/>
  <c r="E13" i="35"/>
  <c r="B14" i="35"/>
  <c r="C14" i="35"/>
  <c r="D14" i="35"/>
  <c r="E14" i="35"/>
  <c r="B15" i="35"/>
  <c r="C15" i="35"/>
  <c r="D15" i="35"/>
  <c r="E15" i="35"/>
  <c r="B16" i="35"/>
  <c r="C16" i="35"/>
  <c r="D16" i="35"/>
  <c r="E16" i="35"/>
  <c r="B17" i="35"/>
  <c r="C17" i="35"/>
  <c r="D17" i="35"/>
  <c r="E17" i="35"/>
  <c r="B18" i="35"/>
  <c r="C18" i="35"/>
  <c r="D18" i="35"/>
  <c r="E18" i="35"/>
  <c r="B19" i="35"/>
  <c r="C19" i="35"/>
  <c r="D19" i="35"/>
  <c r="E19" i="35"/>
  <c r="B20" i="35"/>
  <c r="C20" i="35"/>
  <c r="D20" i="35"/>
  <c r="E20" i="35"/>
  <c r="B21" i="35"/>
  <c r="C21" i="35"/>
  <c r="D21" i="35"/>
  <c r="E21" i="35"/>
  <c r="B22" i="35"/>
  <c r="C22" i="35"/>
  <c r="D22" i="35"/>
  <c r="E22" i="35"/>
  <c r="B23" i="35"/>
  <c r="C23" i="35"/>
  <c r="D23" i="35"/>
  <c r="E23" i="35"/>
  <c r="B24" i="35"/>
  <c r="C24" i="35"/>
  <c r="D24" i="35"/>
  <c r="E24" i="35"/>
  <c r="B25" i="35"/>
  <c r="C25" i="35"/>
  <c r="D25" i="35"/>
  <c r="E25" i="35"/>
  <c r="B26" i="35"/>
  <c r="C26" i="35"/>
  <c r="D26" i="35"/>
  <c r="E26" i="35"/>
  <c r="B27" i="35"/>
  <c r="C27" i="35"/>
  <c r="D27" i="35"/>
  <c r="E27" i="35"/>
  <c r="B28" i="35"/>
  <c r="C28" i="35"/>
  <c r="D28" i="35"/>
  <c r="E28" i="35"/>
  <c r="B29" i="35"/>
  <c r="C29" i="35"/>
  <c r="D29" i="35"/>
  <c r="E29" i="35"/>
  <c r="B30" i="35"/>
  <c r="C30" i="35"/>
  <c r="D30" i="35"/>
  <c r="E30" i="35"/>
  <c r="B31" i="35"/>
  <c r="C31" i="35"/>
  <c r="D31" i="35"/>
  <c r="E31" i="35"/>
  <c r="E4" i="35"/>
  <c r="C4" i="35"/>
  <c r="D4" i="35"/>
  <c r="B4" i="35"/>
  <c r="D31" i="37"/>
  <c r="D32" i="37"/>
  <c r="D33" i="37"/>
  <c r="D34" i="37"/>
  <c r="I30" i="37"/>
  <c r="F31" i="37"/>
  <c r="F32" i="37"/>
  <c r="F33" i="37"/>
  <c r="I33" i="37" s="1"/>
  <c r="F34" i="37"/>
  <c r="I34" i="37" s="1"/>
  <c r="C2" i="37"/>
  <c r="C28" i="37"/>
  <c r="C6" i="37"/>
  <c r="C7" i="37"/>
  <c r="C8" i="37"/>
  <c r="C9" i="37"/>
  <c r="C10" i="37"/>
  <c r="C11" i="37"/>
  <c r="C12" i="37"/>
  <c r="C13" i="37"/>
  <c r="C14" i="37"/>
  <c r="C15" i="37"/>
  <c r="C16" i="37"/>
  <c r="C17" i="37"/>
  <c r="C18" i="37"/>
  <c r="C19" i="37"/>
  <c r="C20" i="37"/>
  <c r="C21" i="37"/>
  <c r="C22" i="37"/>
  <c r="C23" i="37"/>
  <c r="C24" i="37"/>
  <c r="C25" i="37"/>
  <c r="C26" i="37"/>
  <c r="C27" i="37"/>
  <c r="C5" i="37"/>
  <c r="U4" i="38"/>
  <c r="U3" i="38"/>
  <c r="S4" i="38"/>
  <c r="S3" i="38"/>
  <c r="R4" i="38"/>
  <c r="Q4" i="38"/>
  <c r="R3" i="38"/>
  <c r="Q3" i="38"/>
  <c r="E7" i="38"/>
  <c r="C3" i="38"/>
  <c r="D3" i="38" s="1"/>
  <c r="D2" i="38"/>
  <c r="C2" i="38"/>
  <c r="N4" i="46" l="1"/>
  <c r="F5" i="46"/>
  <c r="L4" i="46"/>
  <c r="H4" i="46"/>
  <c r="I31" i="37"/>
  <c r="I32" i="37"/>
  <c r="T3" i="38"/>
  <c r="T4" i="38" s="1"/>
  <c r="V3" i="38"/>
  <c r="V4" i="38" s="1"/>
  <c r="E8" i="38"/>
  <c r="F3" i="38"/>
  <c r="E4" i="38"/>
  <c r="E5" i="38"/>
  <c r="E6" i="38"/>
  <c r="E3" i="38"/>
  <c r="I4" i="46" l="1"/>
  <c r="M4" i="46"/>
  <c r="G5" i="46"/>
  <c r="C4" i="38"/>
  <c r="L10" i="39"/>
  <c r="H5" i="46" l="1"/>
  <c r="L5" i="46"/>
  <c r="N5" i="46"/>
  <c r="F6" i="46"/>
  <c r="E5" i="46"/>
  <c r="L3" i="33"/>
  <c r="K3" i="33"/>
  <c r="G6" i="46" l="1"/>
  <c r="M5" i="46"/>
  <c r="I5" i="46"/>
  <c r="N6" i="46" l="1"/>
  <c r="H6" i="46"/>
  <c r="F7" i="46"/>
  <c r="L6" i="46"/>
  <c r="E6" i="46"/>
  <c r="J2" i="39"/>
  <c r="K2" i="39"/>
  <c r="L3" i="39"/>
  <c r="D2" i="39"/>
  <c r="C2" i="39"/>
  <c r="I6" i="46" l="1"/>
  <c r="M6" i="46"/>
  <c r="G7" i="46"/>
  <c r="J3" i="39"/>
  <c r="H7" i="46" l="1"/>
  <c r="L7" i="46"/>
  <c r="M7" i="46" s="1"/>
  <c r="F8" i="46"/>
  <c r="N7" i="46"/>
  <c r="E7" i="46"/>
  <c r="F14" i="39"/>
  <c r="F13" i="39"/>
  <c r="F12" i="39"/>
  <c r="C12" i="39"/>
  <c r="F11" i="39"/>
  <c r="C11" i="39"/>
  <c r="F10" i="39"/>
  <c r="C10" i="39"/>
  <c r="F9" i="39"/>
  <c r="C9" i="39"/>
  <c r="F8" i="39"/>
  <c r="C8" i="39"/>
  <c r="F7" i="39"/>
  <c r="C7" i="39"/>
  <c r="F6" i="39"/>
  <c r="C6" i="39"/>
  <c r="AA5" i="39"/>
  <c r="Z5" i="39"/>
  <c r="F5" i="39"/>
  <c r="C5" i="39"/>
  <c r="F4" i="39"/>
  <c r="F3" i="39"/>
  <c r="I7" i="46" l="1"/>
  <c r="G8" i="46"/>
  <c r="E8" i="46"/>
  <c r="Z6" i="39"/>
  <c r="H8" i="46" l="1"/>
  <c r="N8" i="46"/>
  <c r="L8" i="46"/>
  <c r="M8" i="46" s="1"/>
  <c r="F9" i="46"/>
  <c r="D12" i="39"/>
  <c r="E12" i="39" s="1"/>
  <c r="D8" i="39"/>
  <c r="D5" i="39"/>
  <c r="E5" i="39" s="1"/>
  <c r="D6" i="39"/>
  <c r="E6" i="39" s="1"/>
  <c r="D3" i="39"/>
  <c r="E3" i="39" s="1"/>
  <c r="D4" i="39"/>
  <c r="E4" i="39" s="1"/>
  <c r="D11" i="39"/>
  <c r="E11" i="39" s="1"/>
  <c r="D13" i="39"/>
  <c r="E13" i="39" s="1"/>
  <c r="D9" i="39"/>
  <c r="E9" i="39" s="1"/>
  <c r="D10" i="39"/>
  <c r="E10" i="39" s="1"/>
  <c r="D14" i="39"/>
  <c r="E14" i="39" s="1"/>
  <c r="D7" i="39"/>
  <c r="E7" i="39" s="1"/>
  <c r="E8" i="39"/>
  <c r="F4" i="37"/>
  <c r="F5" i="37"/>
  <c r="F6" i="37"/>
  <c r="F7" i="37"/>
  <c r="F8" i="37"/>
  <c r="F9" i="37"/>
  <c r="F10" i="37"/>
  <c r="F11" i="37"/>
  <c r="F12" i="37"/>
  <c r="F13" i="37"/>
  <c r="F14" i="37"/>
  <c r="F15" i="37"/>
  <c r="F16" i="37"/>
  <c r="F17" i="37"/>
  <c r="F18" i="37"/>
  <c r="F19" i="37"/>
  <c r="F20" i="37"/>
  <c r="F21" i="37"/>
  <c r="F22" i="37"/>
  <c r="F23" i="37"/>
  <c r="F24" i="37"/>
  <c r="F25" i="37"/>
  <c r="F26" i="37"/>
  <c r="F27" i="37"/>
  <c r="F28" i="37"/>
  <c r="F29" i="37"/>
  <c r="F30" i="37"/>
  <c r="F3" i="37"/>
  <c r="G9" i="46" l="1"/>
  <c r="I8" i="46"/>
  <c r="G5" i="39"/>
  <c r="G3" i="39"/>
  <c r="G4" i="39"/>
  <c r="G6" i="39"/>
  <c r="F4" i="38"/>
  <c r="Z5" i="37"/>
  <c r="AA5" i="37"/>
  <c r="F10" i="46" l="1"/>
  <c r="N9" i="46"/>
  <c r="H9" i="46"/>
  <c r="L9" i="46"/>
  <c r="M9" i="46" s="1"/>
  <c r="E9" i="46"/>
  <c r="H6" i="39"/>
  <c r="I6" i="39" s="1"/>
  <c r="H5" i="39"/>
  <c r="L5" i="39" s="1"/>
  <c r="I9" i="39"/>
  <c r="I5" i="39"/>
  <c r="I13" i="39"/>
  <c r="G7" i="39"/>
  <c r="H4" i="39"/>
  <c r="H3" i="39"/>
  <c r="D4" i="38"/>
  <c r="E9" i="38" s="1"/>
  <c r="J2" i="37"/>
  <c r="D2" i="37"/>
  <c r="K2" i="37" s="1"/>
  <c r="Z6" i="37"/>
  <c r="I9" i="46" l="1"/>
  <c r="G10" i="46"/>
  <c r="C5" i="38"/>
  <c r="I14" i="39"/>
  <c r="I10" i="39"/>
  <c r="L6" i="39"/>
  <c r="M3" i="39"/>
  <c r="H7" i="39"/>
  <c r="I7" i="39"/>
  <c r="I11" i="39"/>
  <c r="I3" i="39"/>
  <c r="L4" i="39"/>
  <c r="I8" i="39"/>
  <c r="I4" i="39"/>
  <c r="I12" i="39"/>
  <c r="F5" i="38"/>
  <c r="D4" i="37"/>
  <c r="E4" i="37" s="1"/>
  <c r="D12" i="37"/>
  <c r="E12" i="37" s="1"/>
  <c r="D20" i="37"/>
  <c r="E20" i="37" s="1"/>
  <c r="D28" i="37"/>
  <c r="E28" i="37" s="1"/>
  <c r="D5" i="37"/>
  <c r="E5" i="37" s="1"/>
  <c r="D13" i="37"/>
  <c r="E13" i="37" s="1"/>
  <c r="D21" i="37"/>
  <c r="E21" i="37" s="1"/>
  <c r="D29" i="37"/>
  <c r="E29" i="37" s="1"/>
  <c r="D18" i="37"/>
  <c r="E18" i="37" s="1"/>
  <c r="D6" i="37"/>
  <c r="E6" i="37" s="1"/>
  <c r="D14" i="37"/>
  <c r="E14" i="37" s="1"/>
  <c r="D22" i="37"/>
  <c r="E22" i="37" s="1"/>
  <c r="D30" i="37"/>
  <c r="E30" i="37" s="1"/>
  <c r="D26" i="37"/>
  <c r="E26" i="37" s="1"/>
  <c r="D11" i="37"/>
  <c r="E11" i="37" s="1"/>
  <c r="D27" i="37"/>
  <c r="E27" i="37" s="1"/>
  <c r="D7" i="37"/>
  <c r="E7" i="37" s="1"/>
  <c r="D15" i="37"/>
  <c r="E15" i="37" s="1"/>
  <c r="D23" i="37"/>
  <c r="E23" i="37" s="1"/>
  <c r="D3" i="37"/>
  <c r="E3" i="37" s="1"/>
  <c r="D8" i="37"/>
  <c r="E8" i="37" s="1"/>
  <c r="D16" i="37"/>
  <c r="E16" i="37" s="1"/>
  <c r="D24" i="37"/>
  <c r="E24" i="37" s="1"/>
  <c r="D19" i="37"/>
  <c r="E19" i="37" s="1"/>
  <c r="D9" i="37"/>
  <c r="E9" i="37" s="1"/>
  <c r="D17" i="37"/>
  <c r="E17" i="37" s="1"/>
  <c r="D25" i="37"/>
  <c r="E25" i="37" s="1"/>
  <c r="D10" i="37"/>
  <c r="E10" i="37" s="1"/>
  <c r="N10" i="46" l="1"/>
  <c r="H10" i="46"/>
  <c r="L10" i="46"/>
  <c r="M10" i="46" s="1"/>
  <c r="F11" i="46"/>
  <c r="E10" i="46"/>
  <c r="D5" i="38"/>
  <c r="E10" i="38" s="1"/>
  <c r="L7" i="39"/>
  <c r="N3" i="39"/>
  <c r="G5" i="37"/>
  <c r="G3" i="37"/>
  <c r="G6" i="37"/>
  <c r="G4" i="37"/>
  <c r="G11" i="46" l="1"/>
  <c r="E11" i="46"/>
  <c r="I10" i="46"/>
  <c r="C6" i="38"/>
  <c r="F6" i="38"/>
  <c r="Q3" i="39"/>
  <c r="R3" i="39"/>
  <c r="O3" i="39"/>
  <c r="K3" i="39"/>
  <c r="J4" i="39" s="1"/>
  <c r="H5" i="37"/>
  <c r="I5" i="37" s="1"/>
  <c r="H6" i="37"/>
  <c r="H4" i="37"/>
  <c r="G7" i="37"/>
  <c r="H3" i="37"/>
  <c r="H11" i="46" l="1"/>
  <c r="N11" i="46"/>
  <c r="L11" i="46"/>
  <c r="M11" i="46" s="1"/>
  <c r="F12" i="46"/>
  <c r="D6" i="38"/>
  <c r="E11" i="38" s="1"/>
  <c r="L8" i="39"/>
  <c r="S3" i="39"/>
  <c r="V3" i="39" s="1"/>
  <c r="P3" i="39"/>
  <c r="U3" i="39"/>
  <c r="K4" i="39"/>
  <c r="J5" i="39" s="1"/>
  <c r="F7" i="38"/>
  <c r="G3" i="38"/>
  <c r="I13" i="37"/>
  <c r="I29" i="37"/>
  <c r="I9" i="37"/>
  <c r="I17" i="37"/>
  <c r="I21" i="37"/>
  <c r="I25" i="37"/>
  <c r="L5" i="37"/>
  <c r="H7" i="37"/>
  <c r="I3" i="37"/>
  <c r="L3" i="37"/>
  <c r="M3" i="37" s="1"/>
  <c r="I27" i="37"/>
  <c r="I19" i="37"/>
  <c r="I11" i="37"/>
  <c r="I7" i="37"/>
  <c r="I23" i="37"/>
  <c r="I15" i="37"/>
  <c r="L4" i="37"/>
  <c r="I24" i="37"/>
  <c r="I4" i="37"/>
  <c r="I28" i="37"/>
  <c r="I20" i="37"/>
  <c r="I12" i="37"/>
  <c r="I16" i="37"/>
  <c r="I8" i="37"/>
  <c r="L6" i="37"/>
  <c r="I14" i="37"/>
  <c r="I22" i="37"/>
  <c r="I26" i="37"/>
  <c r="I10" i="37"/>
  <c r="I6" i="37"/>
  <c r="I18" i="37"/>
  <c r="G12" i="46" l="1"/>
  <c r="I11" i="46"/>
  <c r="C7" i="38"/>
  <c r="D7" i="38" s="1"/>
  <c r="E12" i="38" s="1"/>
  <c r="K5" i="39"/>
  <c r="T3" i="39"/>
  <c r="L9" i="39"/>
  <c r="M4" i="39"/>
  <c r="N4" i="39" s="1"/>
  <c r="J3" i="37"/>
  <c r="G4" i="38"/>
  <c r="J3" i="38"/>
  <c r="K3" i="38"/>
  <c r="H3" i="38"/>
  <c r="L7" i="37"/>
  <c r="L12" i="46" l="1"/>
  <c r="M12" i="46" s="1"/>
  <c r="H12" i="46"/>
  <c r="F13" i="46"/>
  <c r="N12" i="46"/>
  <c r="E12" i="46"/>
  <c r="C8" i="38"/>
  <c r="F8" i="38"/>
  <c r="J6" i="39"/>
  <c r="M5" i="39"/>
  <c r="N5" i="39" s="1"/>
  <c r="Q4" i="39"/>
  <c r="O4" i="39"/>
  <c r="R4" i="39"/>
  <c r="L3" i="38"/>
  <c r="O3" i="38" s="1"/>
  <c r="I3" i="38"/>
  <c r="N3" i="38"/>
  <c r="H4" i="38"/>
  <c r="I4" i="38" s="1"/>
  <c r="K4" i="38"/>
  <c r="J4" i="38"/>
  <c r="K3" i="37"/>
  <c r="L8" i="37" s="1"/>
  <c r="G13" i="46" l="1"/>
  <c r="I12" i="46"/>
  <c r="D8" i="38"/>
  <c r="E13" i="38" s="1"/>
  <c r="P4" i="39"/>
  <c r="S4" i="39"/>
  <c r="V4" i="39" s="1"/>
  <c r="U4" i="39"/>
  <c r="O5" i="39"/>
  <c r="P5" i="39" s="1"/>
  <c r="R5" i="39"/>
  <c r="Q5" i="39"/>
  <c r="U5" i="39" s="1"/>
  <c r="K6" i="39"/>
  <c r="M6" i="39" s="1"/>
  <c r="N6" i="39" s="1"/>
  <c r="F9" i="38"/>
  <c r="N4" i="38"/>
  <c r="G5" i="38"/>
  <c r="M4" i="38"/>
  <c r="M3" i="38"/>
  <c r="L4" i="38"/>
  <c r="O4" i="38" s="1"/>
  <c r="N3" i="37"/>
  <c r="Q3" i="37" s="1"/>
  <c r="J4" i="37"/>
  <c r="K4" i="37" s="1"/>
  <c r="J5" i="37" s="1"/>
  <c r="H13" i="46" l="1"/>
  <c r="N13" i="46"/>
  <c r="L13" i="46"/>
  <c r="M13" i="46" s="1"/>
  <c r="F14" i="46"/>
  <c r="E13" i="46"/>
  <c r="C9" i="38"/>
  <c r="D9" i="38" s="1"/>
  <c r="F10" i="38" s="1"/>
  <c r="O6" i="39"/>
  <c r="P6" i="39" s="1"/>
  <c r="Q6" i="39"/>
  <c r="R6" i="39"/>
  <c r="S5" i="39"/>
  <c r="V5" i="39" s="1"/>
  <c r="L11" i="39"/>
  <c r="T5" i="39"/>
  <c r="T4" i="39"/>
  <c r="J7" i="39"/>
  <c r="K7" i="39" s="1"/>
  <c r="G6" i="38"/>
  <c r="K5" i="38"/>
  <c r="H5" i="38"/>
  <c r="J5" i="38"/>
  <c r="R3" i="37"/>
  <c r="O3" i="37"/>
  <c r="L9" i="37"/>
  <c r="M4" i="37"/>
  <c r="N4" i="37" s="1"/>
  <c r="K5" i="37"/>
  <c r="M5" i="37" s="1"/>
  <c r="N5" i="37" s="1"/>
  <c r="E14" i="46" l="1"/>
  <c r="G14" i="46"/>
  <c r="I13" i="46"/>
  <c r="E14" i="38"/>
  <c r="C10" i="38"/>
  <c r="T6" i="39"/>
  <c r="J8" i="39"/>
  <c r="K8" i="39" s="1"/>
  <c r="M7" i="39"/>
  <c r="N7" i="39" s="1"/>
  <c r="L12" i="39"/>
  <c r="S6" i="39"/>
  <c r="V6" i="39" s="1"/>
  <c r="U6" i="39"/>
  <c r="N5" i="38"/>
  <c r="I5" i="38"/>
  <c r="L5" i="38"/>
  <c r="O5" i="38" s="1"/>
  <c r="K6" i="38"/>
  <c r="J6" i="38"/>
  <c r="H6" i="38"/>
  <c r="I6" i="38" s="1"/>
  <c r="R5" i="37"/>
  <c r="Q5" i="37"/>
  <c r="O5" i="37"/>
  <c r="P5" i="37" s="1"/>
  <c r="R4" i="37"/>
  <c r="Q4" i="37"/>
  <c r="O4" i="37"/>
  <c r="P4" i="37" s="1"/>
  <c r="P3" i="37"/>
  <c r="S3" i="37"/>
  <c r="V3" i="37" s="1"/>
  <c r="U3" i="37"/>
  <c r="L10" i="37"/>
  <c r="J6" i="37"/>
  <c r="L14" i="46" l="1"/>
  <c r="H14" i="46"/>
  <c r="N14" i="46"/>
  <c r="R7" i="39"/>
  <c r="Q7" i="39"/>
  <c r="O7" i="39"/>
  <c r="M8" i="39"/>
  <c r="N8" i="39" s="1"/>
  <c r="J9" i="39"/>
  <c r="L13" i="39"/>
  <c r="D10" i="38"/>
  <c r="C11" i="38" s="1"/>
  <c r="M6" i="38"/>
  <c r="M5" i="38"/>
  <c r="N6" i="38"/>
  <c r="G7" i="38"/>
  <c r="L6" i="38"/>
  <c r="O6" i="38" s="1"/>
  <c r="S4" i="37"/>
  <c r="V4" i="37" s="1"/>
  <c r="T5" i="37"/>
  <c r="T4" i="37"/>
  <c r="T3" i="37"/>
  <c r="U5" i="37"/>
  <c r="S5" i="37"/>
  <c r="V5" i="37" s="1"/>
  <c r="U4" i="37"/>
  <c r="K6" i="37"/>
  <c r="N15" i="46" l="1"/>
  <c r="I14" i="46"/>
  <c r="M14" i="46"/>
  <c r="L15" i="46"/>
  <c r="E15" i="38"/>
  <c r="P7" i="39"/>
  <c r="S7" i="39"/>
  <c r="V7" i="39" s="1"/>
  <c r="U7" i="39"/>
  <c r="O8" i="39"/>
  <c r="P8" i="39" s="1"/>
  <c r="Q8" i="39"/>
  <c r="R8" i="39"/>
  <c r="K9" i="39"/>
  <c r="M9" i="39" s="1"/>
  <c r="N9" i="39" s="1"/>
  <c r="F11" i="38"/>
  <c r="D11" i="38"/>
  <c r="E16" i="38" s="1"/>
  <c r="J7" i="38"/>
  <c r="T5" i="38" s="1"/>
  <c r="H7" i="38"/>
  <c r="K7" i="38"/>
  <c r="G8" i="38"/>
  <c r="L11" i="37"/>
  <c r="M6" i="37"/>
  <c r="N6" i="37" s="1"/>
  <c r="J7" i="37"/>
  <c r="O2" i="46" l="1"/>
  <c r="O3" i="46"/>
  <c r="O4" i="46"/>
  <c r="O5" i="46"/>
  <c r="O6" i="46"/>
  <c r="O7" i="46"/>
  <c r="O8" i="46"/>
  <c r="O9" i="46"/>
  <c r="O10" i="46"/>
  <c r="O11" i="46"/>
  <c r="O12" i="46"/>
  <c r="O13" i="46"/>
  <c r="I15" i="46"/>
  <c r="O14" i="46"/>
  <c r="C12" i="38"/>
  <c r="F12" i="38"/>
  <c r="L14" i="39"/>
  <c r="J10" i="39"/>
  <c r="K10" i="39" s="1"/>
  <c r="M10" i="39" s="1"/>
  <c r="N10" i="39" s="1"/>
  <c r="R9" i="39"/>
  <c r="Q9" i="39"/>
  <c r="O9" i="39"/>
  <c r="U8" i="39"/>
  <c r="U9" i="39"/>
  <c r="S8" i="39"/>
  <c r="V8" i="39" s="1"/>
  <c r="T8" i="39"/>
  <c r="T7" i="39"/>
  <c r="H8" i="38"/>
  <c r="I8" i="38" s="1"/>
  <c r="K8" i="38"/>
  <c r="J8" i="38"/>
  <c r="N8" i="38" s="1"/>
  <c r="I7" i="38"/>
  <c r="L7" i="38"/>
  <c r="N7" i="38"/>
  <c r="R6" i="37"/>
  <c r="O6" i="37"/>
  <c r="Q6" i="37"/>
  <c r="K7" i="37"/>
  <c r="M7" i="37" s="1"/>
  <c r="N7" i="37" s="1"/>
  <c r="K2" i="46" l="1"/>
  <c r="J2" i="46"/>
  <c r="K3" i="46"/>
  <c r="J3" i="46"/>
  <c r="K4" i="46"/>
  <c r="J4" i="46"/>
  <c r="K5" i="46"/>
  <c r="J5" i="46"/>
  <c r="K6" i="46"/>
  <c r="J6" i="46"/>
  <c r="K7" i="46"/>
  <c r="J7" i="46"/>
  <c r="K8" i="46"/>
  <c r="J8" i="46"/>
  <c r="K9" i="46"/>
  <c r="J9" i="46"/>
  <c r="K10" i="46"/>
  <c r="J10" i="46"/>
  <c r="K11" i="46"/>
  <c r="J11" i="46"/>
  <c r="K12" i="46"/>
  <c r="J12" i="46"/>
  <c r="K13" i="46"/>
  <c r="J13" i="46"/>
  <c r="K14" i="46"/>
  <c r="J14" i="46"/>
  <c r="O15" i="46"/>
  <c r="P8" i="46"/>
  <c r="P12" i="46"/>
  <c r="P10" i="46"/>
  <c r="P13" i="46"/>
  <c r="P11" i="46"/>
  <c r="P5" i="46"/>
  <c r="P3" i="46"/>
  <c r="P14" i="46"/>
  <c r="P7" i="46"/>
  <c r="P9" i="46"/>
  <c r="P6" i="46"/>
  <c r="P2" i="46"/>
  <c r="P4" i="46"/>
  <c r="R5" i="38"/>
  <c r="O7" i="38"/>
  <c r="D12" i="38"/>
  <c r="E17" i="38" s="1"/>
  <c r="J11" i="39"/>
  <c r="K11" i="39" s="1"/>
  <c r="R10" i="39"/>
  <c r="Q10" i="39"/>
  <c r="U10" i="39" s="1"/>
  <c r="O10" i="39"/>
  <c r="L15" i="39"/>
  <c r="P9" i="39"/>
  <c r="S9" i="39"/>
  <c r="V9" i="39" s="1"/>
  <c r="L8" i="38"/>
  <c r="O8" i="38" s="1"/>
  <c r="M8" i="38"/>
  <c r="M7" i="38"/>
  <c r="G9" i="38"/>
  <c r="U6" i="37"/>
  <c r="P6" i="37"/>
  <c r="S6" i="37"/>
  <c r="V6" i="37" s="1"/>
  <c r="R7" i="37"/>
  <c r="Q7" i="37"/>
  <c r="O7" i="37"/>
  <c r="P7" i="37" s="1"/>
  <c r="L12" i="37"/>
  <c r="J8" i="37"/>
  <c r="J15" i="46" l="1"/>
  <c r="V5" i="38"/>
  <c r="F13" i="38"/>
  <c r="C13" i="38"/>
  <c r="M11" i="39"/>
  <c r="N11" i="39" s="1"/>
  <c r="R11" i="39" s="1"/>
  <c r="J12" i="39"/>
  <c r="K12" i="39" s="1"/>
  <c r="L16" i="39"/>
  <c r="T9" i="39"/>
  <c r="P10" i="39"/>
  <c r="S10" i="39"/>
  <c r="V10" i="39" s="1"/>
  <c r="J9" i="38"/>
  <c r="H9" i="38"/>
  <c r="K9" i="38"/>
  <c r="G10" i="38"/>
  <c r="U7" i="37"/>
  <c r="S7" i="37"/>
  <c r="V7" i="37" s="1"/>
  <c r="T6" i="37"/>
  <c r="T7" i="37"/>
  <c r="K8" i="37"/>
  <c r="M8" i="37" s="1"/>
  <c r="N8" i="37" s="1"/>
  <c r="D13" i="38" l="1"/>
  <c r="E18" i="38" s="1"/>
  <c r="O11" i="39"/>
  <c r="S11" i="39" s="1"/>
  <c r="V11" i="39" s="1"/>
  <c r="Q11" i="39"/>
  <c r="U11" i="39" s="1"/>
  <c r="T10" i="39"/>
  <c r="L17" i="39"/>
  <c r="J13" i="39"/>
  <c r="K13" i="39" s="1"/>
  <c r="M12" i="39"/>
  <c r="N12" i="39" s="1"/>
  <c r="K10" i="38"/>
  <c r="J10" i="38"/>
  <c r="N10" i="38" s="1"/>
  <c r="H10" i="38"/>
  <c r="I9" i="38"/>
  <c r="L9" i="38"/>
  <c r="O9" i="38" s="1"/>
  <c r="N9" i="38"/>
  <c r="G11" i="38"/>
  <c r="L13" i="37"/>
  <c r="J9" i="37"/>
  <c r="K9" i="37" s="1"/>
  <c r="L14" i="37" s="1"/>
  <c r="Q8" i="37"/>
  <c r="O8" i="37"/>
  <c r="R8" i="37"/>
  <c r="C14" i="38" l="1"/>
  <c r="D14" i="38" s="1"/>
  <c r="F16" i="38" s="1"/>
  <c r="F14" i="38"/>
  <c r="P11" i="39"/>
  <c r="T11" i="39" s="1"/>
  <c r="O12" i="39"/>
  <c r="R12" i="39"/>
  <c r="Q12" i="39"/>
  <c r="U12" i="39" s="1"/>
  <c r="M13" i="39"/>
  <c r="N13" i="39" s="1"/>
  <c r="J14" i="39"/>
  <c r="L18" i="39"/>
  <c r="J11" i="38"/>
  <c r="H11" i="38"/>
  <c r="K11" i="38"/>
  <c r="M9" i="38"/>
  <c r="I10" i="38"/>
  <c r="M10" i="38" s="1"/>
  <c r="L10" i="38"/>
  <c r="O10" i="38" s="1"/>
  <c r="M9" i="37"/>
  <c r="N9" i="37" s="1"/>
  <c r="P8" i="37"/>
  <c r="S8" i="37"/>
  <c r="V8" i="37" s="1"/>
  <c r="U8" i="37"/>
  <c r="J10" i="37"/>
  <c r="F18" i="38" l="1"/>
  <c r="F15" i="38"/>
  <c r="F17" i="38"/>
  <c r="C15" i="38"/>
  <c r="D15" i="38" s="1"/>
  <c r="R13" i="39"/>
  <c r="Q13" i="39"/>
  <c r="U13" i="39" s="1"/>
  <c r="O13" i="39"/>
  <c r="P12" i="39"/>
  <c r="T12" i="39" s="1"/>
  <c r="S12" i="39"/>
  <c r="V12" i="39" s="1"/>
  <c r="K14" i="39"/>
  <c r="M16" i="39" s="1"/>
  <c r="G12" i="38"/>
  <c r="I11" i="38"/>
  <c r="L11" i="38"/>
  <c r="O11" i="38" s="1"/>
  <c r="N11" i="38"/>
  <c r="T8" i="37"/>
  <c r="Q9" i="37"/>
  <c r="O9" i="37"/>
  <c r="R9" i="37"/>
  <c r="K10" i="37"/>
  <c r="L15" i="37" s="1"/>
  <c r="C16" i="38" l="1"/>
  <c r="D16" i="38" s="1"/>
  <c r="C17" i="38"/>
  <c r="M14" i="39"/>
  <c r="N14" i="39" s="1"/>
  <c r="M18" i="39"/>
  <c r="M15" i="39"/>
  <c r="M17" i="39"/>
  <c r="P13" i="39"/>
  <c r="T13" i="39" s="1"/>
  <c r="S13" i="39"/>
  <c r="V13" i="39" s="1"/>
  <c r="H12" i="38"/>
  <c r="K12" i="38"/>
  <c r="J12" i="38"/>
  <c r="N12" i="38" s="1"/>
  <c r="M11" i="38"/>
  <c r="G13" i="38"/>
  <c r="U9" i="37"/>
  <c r="P9" i="37"/>
  <c r="S9" i="37"/>
  <c r="V9" i="37" s="1"/>
  <c r="J11" i="37"/>
  <c r="M10" i="37"/>
  <c r="N10" i="37" s="1"/>
  <c r="D17" i="38" l="1"/>
  <c r="R14" i="39"/>
  <c r="Q14" i="39"/>
  <c r="U14" i="39" s="1"/>
  <c r="O14" i="39"/>
  <c r="K13" i="38"/>
  <c r="J13" i="38"/>
  <c r="N13" i="38" s="1"/>
  <c r="H13" i="38"/>
  <c r="I12" i="38"/>
  <c r="M12" i="38" s="1"/>
  <c r="L12" i="38"/>
  <c r="O12" i="38" s="1"/>
  <c r="T9" i="37"/>
  <c r="Q10" i="37"/>
  <c r="O10" i="37"/>
  <c r="R10" i="37"/>
  <c r="K11" i="37"/>
  <c r="M11" i="37" s="1"/>
  <c r="N11" i="37" s="1"/>
  <c r="C18" i="38" l="1"/>
  <c r="D18" i="38" s="1"/>
  <c r="P14" i="39"/>
  <c r="T14" i="39" s="1"/>
  <c r="S14" i="39"/>
  <c r="V14" i="39" s="1"/>
  <c r="I13" i="38"/>
  <c r="M13" i="38" s="1"/>
  <c r="L13" i="38"/>
  <c r="O13" i="38" s="1"/>
  <c r="L16" i="37"/>
  <c r="J12" i="37"/>
  <c r="K12" i="37" s="1"/>
  <c r="J13" i="37" s="1"/>
  <c r="P10" i="37"/>
  <c r="S10" i="37"/>
  <c r="V10" i="37" s="1"/>
  <c r="U10" i="37"/>
  <c r="Q11" i="37"/>
  <c r="U11" i="37" s="1"/>
  <c r="O11" i="37"/>
  <c r="R11" i="37"/>
  <c r="G14" i="38" l="1"/>
  <c r="P11" i="37"/>
  <c r="T11" i="37" s="1"/>
  <c r="S11" i="37"/>
  <c r="V11" i="37" s="1"/>
  <c r="T10" i="37"/>
  <c r="K13" i="37"/>
  <c r="L18" i="37" s="1"/>
  <c r="M12" i="37"/>
  <c r="N12" i="37" s="1"/>
  <c r="L17" i="37"/>
  <c r="K14" i="38" l="1"/>
  <c r="J14" i="38"/>
  <c r="N14" i="38" s="1"/>
  <c r="H14" i="38"/>
  <c r="R12" i="37"/>
  <c r="Q12" i="37"/>
  <c r="U12" i="37" s="1"/>
  <c r="O12" i="37"/>
  <c r="J14" i="37"/>
  <c r="K14" i="37" s="1"/>
  <c r="M13" i="37"/>
  <c r="N13" i="37" s="1"/>
  <c r="I14" i="38" l="1"/>
  <c r="M14" i="38" s="1"/>
  <c r="L14" i="38"/>
  <c r="O14" i="38" s="1"/>
  <c r="P12" i="37"/>
  <c r="T12" i="37" s="1"/>
  <c r="S12" i="37"/>
  <c r="V12" i="37" s="1"/>
  <c r="R13" i="37"/>
  <c r="Q13" i="37"/>
  <c r="U13" i="37" s="1"/>
  <c r="O13" i="37"/>
  <c r="J15" i="37"/>
  <c r="K15" i="37" s="1"/>
  <c r="M14" i="37"/>
  <c r="N14" i="37" s="1"/>
  <c r="L19" i="37"/>
  <c r="P13" i="37" l="1"/>
  <c r="T13" i="37" s="1"/>
  <c r="S13" i="37"/>
  <c r="V13" i="37" s="1"/>
  <c r="Q14" i="37"/>
  <c r="U14" i="37" s="1"/>
  <c r="R14" i="37"/>
  <c r="O14" i="37"/>
  <c r="M15" i="37"/>
  <c r="N15" i="37" s="1"/>
  <c r="J16" i="37"/>
  <c r="K16" i="37" s="1"/>
  <c r="L20" i="37"/>
  <c r="R15" i="37" l="1"/>
  <c r="Q15" i="37"/>
  <c r="U15" i="37" s="1"/>
  <c r="O15" i="37"/>
  <c r="P14" i="37"/>
  <c r="T14" i="37" s="1"/>
  <c r="S14" i="37"/>
  <c r="V14" i="37" s="1"/>
  <c r="M16" i="37"/>
  <c r="N16" i="37" s="1"/>
  <c r="J17" i="37"/>
  <c r="L21" i="37"/>
  <c r="Q16" i="37" l="1"/>
  <c r="U16" i="37" s="1"/>
  <c r="O16" i="37"/>
  <c r="R16" i="37"/>
  <c r="P15" i="37"/>
  <c r="T15" i="37" s="1"/>
  <c r="S15" i="37"/>
  <c r="V15" i="37" s="1"/>
  <c r="K17" i="37"/>
  <c r="E7" i="34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" i="11"/>
  <c r="E4" i="34" l="1"/>
  <c r="E6" i="34"/>
  <c r="E5" i="34"/>
  <c r="P16" i="37"/>
  <c r="T16" i="37" s="1"/>
  <c r="S16" i="37"/>
  <c r="V16" i="37" s="1"/>
  <c r="L22" i="37"/>
  <c r="J18" i="37"/>
  <c r="K18" i="37" s="1"/>
  <c r="M17" i="37"/>
  <c r="N17" i="37" s="1"/>
  <c r="K20" i="11"/>
  <c r="Q17" i="37" l="1"/>
  <c r="U17" i="37" s="1"/>
  <c r="O17" i="37"/>
  <c r="R17" i="37"/>
  <c r="J19" i="37"/>
  <c r="K19" i="37" s="1"/>
  <c r="M18" i="37"/>
  <c r="N18" i="37" s="1"/>
  <c r="L23" i="37"/>
  <c r="Q18" i="37" l="1"/>
  <c r="U18" i="37" s="1"/>
  <c r="O18" i="37"/>
  <c r="R18" i="37"/>
  <c r="P17" i="37"/>
  <c r="T17" i="37" s="1"/>
  <c r="S17" i="37"/>
  <c r="V17" i="37" s="1"/>
  <c r="M19" i="37"/>
  <c r="N19" i="37" s="1"/>
  <c r="J20" i="37"/>
  <c r="L24" i="37"/>
  <c r="Q19" i="37" l="1"/>
  <c r="U19" i="37" s="1"/>
  <c r="O19" i="37"/>
  <c r="R19" i="37"/>
  <c r="P18" i="37"/>
  <c r="T18" i="37" s="1"/>
  <c r="S18" i="37"/>
  <c r="V18" i="37" s="1"/>
  <c r="K20" i="37"/>
  <c r="L25" i="37" s="1"/>
  <c r="J21" i="37" l="1"/>
  <c r="K21" i="37" s="1"/>
  <c r="M21" i="37" s="1"/>
  <c r="N21" i="37" s="1"/>
  <c r="P19" i="37"/>
  <c r="T19" i="37" s="1"/>
  <c r="S19" i="37"/>
  <c r="V19" i="37" s="1"/>
  <c r="M20" i="37"/>
  <c r="N20" i="37" s="1"/>
  <c r="L26" i="37" l="1"/>
  <c r="J22" i="37"/>
  <c r="K22" i="37" s="1"/>
  <c r="J23" i="37" s="1"/>
  <c r="R20" i="37"/>
  <c r="Q20" i="37"/>
  <c r="U20" i="37" s="1"/>
  <c r="O20" i="37"/>
  <c r="R21" i="37"/>
  <c r="Q21" i="37"/>
  <c r="O21" i="37"/>
  <c r="U21" i="37" l="1"/>
  <c r="P21" i="37"/>
  <c r="S21" i="37"/>
  <c r="V21" i="37" s="1"/>
  <c r="P20" i="37"/>
  <c r="T20" i="37" s="1"/>
  <c r="S20" i="37"/>
  <c r="V20" i="37" s="1"/>
  <c r="M22" i="37"/>
  <c r="N22" i="37" s="1"/>
  <c r="L27" i="37"/>
  <c r="K23" i="37"/>
  <c r="M23" i="37" s="1"/>
  <c r="N23" i="37" s="1"/>
  <c r="L28" i="37" l="1"/>
  <c r="J24" i="37"/>
  <c r="K24" i="37" s="1"/>
  <c r="J25" i="37" s="1"/>
  <c r="R23" i="37"/>
  <c r="Q23" i="37"/>
  <c r="O23" i="37"/>
  <c r="Q22" i="37"/>
  <c r="U22" i="37" s="1"/>
  <c r="O22" i="37"/>
  <c r="R22" i="37"/>
  <c r="T21" i="37"/>
  <c r="P22" i="37" l="1"/>
  <c r="T22" i="37" s="1"/>
  <c r="S22" i="37"/>
  <c r="V22" i="37" s="1"/>
  <c r="P23" i="37"/>
  <c r="S23" i="37"/>
  <c r="V23" i="37" s="1"/>
  <c r="U23" i="37"/>
  <c r="L29" i="37"/>
  <c r="K25" i="37"/>
  <c r="M24" i="37"/>
  <c r="N24" i="37" s="1"/>
  <c r="T23" i="37" l="1"/>
  <c r="Q24" i="37"/>
  <c r="U24" i="37" s="1"/>
  <c r="O24" i="37"/>
  <c r="R24" i="37"/>
  <c r="L30" i="37"/>
  <c r="J26" i="37"/>
  <c r="K26" i="37" s="1"/>
  <c r="M25" i="37"/>
  <c r="N25" i="37" s="1"/>
  <c r="Q25" i="37" l="1"/>
  <c r="U25" i="37" s="1"/>
  <c r="O25" i="37"/>
  <c r="R25" i="37"/>
  <c r="P24" i="37"/>
  <c r="T24" i="37" s="1"/>
  <c r="S24" i="37"/>
  <c r="V24" i="37" s="1"/>
  <c r="M26" i="37"/>
  <c r="N26" i="37" s="1"/>
  <c r="J27" i="37"/>
  <c r="P25" i="37" l="1"/>
  <c r="T25" i="37" s="1"/>
  <c r="S25" i="37"/>
  <c r="V25" i="37" s="1"/>
  <c r="Q26" i="37"/>
  <c r="U26" i="37" s="1"/>
  <c r="O26" i="37"/>
  <c r="R26" i="37"/>
  <c r="K27" i="37"/>
  <c r="P26" i="37" l="1"/>
  <c r="T26" i="37" s="1"/>
  <c r="S26" i="37"/>
  <c r="V26" i="37" s="1"/>
  <c r="J28" i="37"/>
  <c r="M27" i="37"/>
  <c r="N27" i="37" s="1"/>
  <c r="L31" i="37"/>
  <c r="Q27" i="37" l="1"/>
  <c r="U27" i="37" s="1"/>
  <c r="O27" i="37"/>
  <c r="R27" i="37"/>
  <c r="K28" i="37"/>
  <c r="P27" i="37" l="1"/>
  <c r="T27" i="37" s="1"/>
  <c r="S27" i="37"/>
  <c r="V27" i="37" s="1"/>
  <c r="J29" i="37"/>
  <c r="M28" i="37"/>
  <c r="N28" i="37" s="1"/>
  <c r="L32" i="37"/>
  <c r="R28" i="37" l="1"/>
  <c r="O28" i="37"/>
  <c r="Q28" i="37"/>
  <c r="U28" i="37" s="1"/>
  <c r="K29" i="37"/>
  <c r="M29" i="37" s="1"/>
  <c r="N29" i="37" s="1"/>
  <c r="R29" i="37" l="1"/>
  <c r="Q29" i="37"/>
  <c r="U29" i="37" s="1"/>
  <c r="O29" i="37"/>
  <c r="P28" i="37"/>
  <c r="T28" i="37" s="1"/>
  <c r="S28" i="37"/>
  <c r="V28" i="37" s="1"/>
  <c r="J30" i="37"/>
  <c r="L33" i="37"/>
  <c r="P29" i="37" l="1"/>
  <c r="T29" i="37" s="1"/>
  <c r="S29" i="37"/>
  <c r="V29" i="37" s="1"/>
  <c r="K30" i="37"/>
  <c r="M30" i="37" s="1"/>
  <c r="N30" i="37" s="1"/>
  <c r="R30" i="37" l="1"/>
  <c r="Q30" i="37"/>
  <c r="U30" i="37" s="1"/>
  <c r="O30" i="37"/>
  <c r="L34" i="37"/>
  <c r="M34" i="37"/>
  <c r="P30" i="37" l="1"/>
  <c r="T30" i="37" s="1"/>
  <c r="S30" i="37"/>
  <c r="V30" i="37" s="1"/>
  <c r="M31" i="37"/>
  <c r="M32" i="37"/>
  <c r="M33" i="37"/>
  <c r="F31" i="35" l="1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  <c r="F5" i="35"/>
  <c r="F4" i="35"/>
  <c r="L5" i="11"/>
  <c r="L6" i="11" s="1"/>
  <c r="K21" i="11"/>
  <c r="L9" i="11"/>
  <c r="B5" i="17" l="1"/>
  <c r="B6" i="17"/>
  <c r="B7" i="17"/>
  <c r="B8" i="17"/>
  <c r="B9" i="17"/>
  <c r="B10" i="17"/>
  <c r="B11" i="17"/>
  <c r="C13" i="17" s="1"/>
  <c r="B12" i="17"/>
  <c r="B13" i="17"/>
  <c r="B14" i="17"/>
  <c r="B15" i="17"/>
  <c r="B16" i="17"/>
  <c r="B17" i="17"/>
  <c r="B18" i="17"/>
  <c r="C20" i="17" s="1"/>
  <c r="B19" i="17"/>
  <c r="C21" i="17" s="1"/>
  <c r="B20" i="17"/>
  <c r="B21" i="17"/>
  <c r="B22" i="17"/>
  <c r="B23" i="17"/>
  <c r="B24" i="17"/>
  <c r="B25" i="17"/>
  <c r="B26" i="17"/>
  <c r="B27" i="17"/>
  <c r="C29" i="17" s="1"/>
  <c r="B28" i="17"/>
  <c r="B29" i="17"/>
  <c r="B30" i="17"/>
  <c r="B31" i="17"/>
  <c r="B4" i="17"/>
  <c r="C6" i="17" s="1"/>
  <c r="C12" i="17" l="1"/>
  <c r="C28" i="17"/>
  <c r="C19" i="17"/>
  <c r="C11" i="17"/>
  <c r="C9" i="17"/>
  <c r="C16" i="17"/>
  <c r="C25" i="17"/>
  <c r="C27" i="17"/>
  <c r="C8" i="17"/>
  <c r="C17" i="17"/>
  <c r="C23" i="17"/>
  <c r="C15" i="17"/>
  <c r="C7" i="17"/>
  <c r="C10" i="17"/>
  <c r="C24" i="17"/>
  <c r="C22" i="17"/>
  <c r="C14" i="17"/>
  <c r="C18" i="17"/>
  <c r="C26" i="17"/>
  <c r="C2" i="32" l="1"/>
  <c r="E3" i="32" s="1"/>
  <c r="C3" i="32" s="1"/>
  <c r="D3" i="32" l="1"/>
  <c r="E4" i="32" s="1"/>
  <c r="C4" i="32" s="1"/>
  <c r="Z17" i="32"/>
  <c r="O5" i="32"/>
  <c r="P5" i="32" s="1"/>
  <c r="Q5" i="32" s="1"/>
  <c r="R5" i="32" s="1"/>
  <c r="S5" i="32" s="1"/>
  <c r="T5" i="32" s="1"/>
  <c r="U5" i="32" s="1"/>
  <c r="V5" i="32" s="1"/>
  <c r="W5" i="32" s="1"/>
  <c r="X5" i="32" s="1"/>
  <c r="Y5" i="32" s="1"/>
  <c r="N6" i="32"/>
  <c r="N7" i="32" s="1"/>
  <c r="N8" i="32" s="1"/>
  <c r="N9" i="32" s="1"/>
  <c r="N10" i="32" s="1"/>
  <c r="N11" i="32" s="1"/>
  <c r="N12" i="32" s="1"/>
  <c r="N13" i="32" s="1"/>
  <c r="N14" i="32" s="1"/>
  <c r="N15" i="32" s="1"/>
  <c r="N16" i="32" s="1"/>
  <c r="D4" i="32" l="1"/>
  <c r="E5" i="32" l="1"/>
  <c r="C5" i="32" s="1"/>
  <c r="D5" i="32" l="1"/>
  <c r="E6" i="32" l="1"/>
  <c r="C6" i="32" s="1"/>
  <c r="D6" i="32" l="1"/>
  <c r="E7" i="32" l="1"/>
  <c r="C7" i="32" s="1"/>
  <c r="D7" i="32" l="1"/>
  <c r="E8" i="32" l="1"/>
  <c r="C8" i="32" s="1"/>
  <c r="C3" i="33"/>
  <c r="N17" i="33"/>
  <c r="M6" i="33"/>
  <c r="M7" i="33" s="1"/>
  <c r="M8" i="33" s="1"/>
  <c r="M9" i="33" s="1"/>
  <c r="M10" i="33" s="1"/>
  <c r="M11" i="33" s="1"/>
  <c r="M12" i="33" s="1"/>
  <c r="M13" i="33" s="1"/>
  <c r="M14" i="33" s="1"/>
  <c r="M15" i="33" s="1"/>
  <c r="M16" i="33" s="1"/>
  <c r="M17" i="31"/>
  <c r="L6" i="31"/>
  <c r="L7" i="31" s="1"/>
  <c r="L8" i="31" s="1"/>
  <c r="L9" i="31" s="1"/>
  <c r="L10" i="31" s="1"/>
  <c r="L11" i="31" s="1"/>
  <c r="L12" i="31" s="1"/>
  <c r="L13" i="31" s="1"/>
  <c r="L14" i="31" s="1"/>
  <c r="L15" i="31" s="1"/>
  <c r="L16" i="31" s="1"/>
  <c r="D8" i="32" l="1"/>
  <c r="C4" i="33"/>
  <c r="C5" i="33" s="1"/>
  <c r="C6" i="33" s="1"/>
  <c r="C7" i="33" s="1"/>
  <c r="C8" i="33" s="1"/>
  <c r="C9" i="33" s="1"/>
  <c r="C10" i="33" s="1"/>
  <c r="C11" i="33" s="1"/>
  <c r="C12" i="33" s="1"/>
  <c r="C13" i="33" s="1"/>
  <c r="C14" i="33" s="1"/>
  <c r="C15" i="33" s="1"/>
  <c r="C16" i="33" s="1"/>
  <c r="C17" i="33" s="1"/>
  <c r="C18" i="33" s="1"/>
  <c r="C19" i="33" s="1"/>
  <c r="C20" i="33" s="1"/>
  <c r="C21" i="33" s="1"/>
  <c r="C22" i="33" s="1"/>
  <c r="C23" i="33" s="1"/>
  <c r="C24" i="33" s="1"/>
  <c r="C25" i="33" s="1"/>
  <c r="C26" i="33" s="1"/>
  <c r="C27" i="33" s="1"/>
  <c r="C28" i="33" s="1"/>
  <c r="C29" i="33" s="1"/>
  <c r="C30" i="33" s="1"/>
  <c r="C31" i="33" s="1"/>
  <c r="D3" i="33"/>
  <c r="F3" i="33" s="1"/>
  <c r="F3" i="32"/>
  <c r="C3" i="31"/>
  <c r="C4" i="31" s="1"/>
  <c r="D4" i="31" s="1"/>
  <c r="E4" i="31" s="1"/>
  <c r="E9" i="32" l="1"/>
  <c r="C9" i="32" s="1"/>
  <c r="C5" i="31"/>
  <c r="C6" i="31" s="1"/>
  <c r="C7" i="31" s="1"/>
  <c r="C8" i="31" s="1"/>
  <c r="C9" i="31" s="1"/>
  <c r="C10" i="31" s="1"/>
  <c r="C11" i="31" s="1"/>
  <c r="C12" i="31" s="1"/>
  <c r="C13" i="31" s="1"/>
  <c r="C14" i="31" s="1"/>
  <c r="C15" i="31" s="1"/>
  <c r="C16" i="31" s="1"/>
  <c r="C17" i="31" s="1"/>
  <c r="C18" i="31" s="1"/>
  <c r="C19" i="31" s="1"/>
  <c r="C20" i="31" s="1"/>
  <c r="C21" i="31" s="1"/>
  <c r="C22" i="31" s="1"/>
  <c r="C23" i="31" s="1"/>
  <c r="C24" i="31" s="1"/>
  <c r="C25" i="31" s="1"/>
  <c r="C26" i="31" s="1"/>
  <c r="C27" i="31" s="1"/>
  <c r="C28" i="31" s="1"/>
  <c r="C29" i="31" s="1"/>
  <c r="C30" i="31" s="1"/>
  <c r="C31" i="31" s="1"/>
  <c r="D3" i="31"/>
  <c r="D4" i="33"/>
  <c r="E3" i="33"/>
  <c r="G3" i="32"/>
  <c r="I3" i="33"/>
  <c r="G4" i="31"/>
  <c r="F4" i="31"/>
  <c r="BB30" i="24"/>
  <c r="AT30" i="24"/>
  <c r="AO30" i="24"/>
  <c r="BB29" i="24"/>
  <c r="AT29" i="24"/>
  <c r="AO29" i="24"/>
  <c r="BB28" i="24"/>
  <c r="AT28" i="24"/>
  <c r="AO28" i="24"/>
  <c r="BB27" i="24"/>
  <c r="AT27" i="24"/>
  <c r="AO27" i="24"/>
  <c r="BB26" i="24"/>
  <c r="AT26" i="24"/>
  <c r="AO26" i="24"/>
  <c r="BB25" i="24"/>
  <c r="AT25" i="24"/>
  <c r="AO25" i="24"/>
  <c r="BB24" i="24"/>
  <c r="AT24" i="24"/>
  <c r="AO24" i="24"/>
  <c r="BB23" i="24"/>
  <c r="AT23" i="24"/>
  <c r="AO23" i="24"/>
  <c r="BB22" i="24"/>
  <c r="AT22" i="24"/>
  <c r="AO22" i="24"/>
  <c r="BB21" i="24"/>
  <c r="AT21" i="24"/>
  <c r="AO21" i="24"/>
  <c r="BB20" i="24"/>
  <c r="AT20" i="24"/>
  <c r="AO20" i="24"/>
  <c r="BB19" i="24"/>
  <c r="AT19" i="24"/>
  <c r="AO19" i="24"/>
  <c r="BB18" i="24"/>
  <c r="AT18" i="24"/>
  <c r="AO18" i="24"/>
  <c r="BB17" i="24"/>
  <c r="AT17" i="24"/>
  <c r="AO17" i="24"/>
  <c r="BB16" i="24"/>
  <c r="AT16" i="24"/>
  <c r="AO16" i="24"/>
  <c r="BB15" i="24"/>
  <c r="AT15" i="24"/>
  <c r="AO15" i="24"/>
  <c r="BB14" i="24"/>
  <c r="AT14" i="24"/>
  <c r="AO14" i="24"/>
  <c r="BB13" i="24"/>
  <c r="AT13" i="24"/>
  <c r="AO13" i="24"/>
  <c r="BB12" i="24"/>
  <c r="AT12" i="24"/>
  <c r="AO12" i="24"/>
  <c r="BB11" i="24"/>
  <c r="AT11" i="24"/>
  <c r="AO11" i="24"/>
  <c r="BB10" i="24"/>
  <c r="AX10" i="24"/>
  <c r="AT10" i="24"/>
  <c r="AR10" i="24"/>
  <c r="AR14" i="24" s="1"/>
  <c r="AO10" i="24"/>
  <c r="BB9" i="24"/>
  <c r="AX9" i="24"/>
  <c r="AX13" i="24" s="1"/>
  <c r="AT9" i="24"/>
  <c r="AR9" i="24"/>
  <c r="AR13" i="24" s="1"/>
  <c r="AO9" i="24"/>
  <c r="BB8" i="24"/>
  <c r="AX8" i="24"/>
  <c r="AX12" i="24" s="1"/>
  <c r="AT8" i="24"/>
  <c r="AR8" i="24"/>
  <c r="AR12" i="24" s="1"/>
  <c r="AO8" i="24"/>
  <c r="BB7" i="24"/>
  <c r="AX7" i="24"/>
  <c r="AX11" i="24" s="1"/>
  <c r="AT7" i="24"/>
  <c r="AR7" i="24"/>
  <c r="AR11" i="24" s="1"/>
  <c r="AO7" i="24"/>
  <c r="BB6" i="24"/>
  <c r="AT6" i="24"/>
  <c r="AQ6" i="24"/>
  <c r="AO6" i="24"/>
  <c r="BB5" i="24"/>
  <c r="AT5" i="24"/>
  <c r="AQ5" i="24"/>
  <c r="AO5" i="24"/>
  <c r="BB4" i="24"/>
  <c r="AT4" i="24"/>
  <c r="AQ4" i="24"/>
  <c r="AO4" i="24"/>
  <c r="BB3" i="24"/>
  <c r="AT3" i="24"/>
  <c r="AQ3" i="24"/>
  <c r="AO3" i="24"/>
  <c r="D9" i="32" l="1"/>
  <c r="F4" i="33"/>
  <c r="K4" i="33"/>
  <c r="E4" i="33"/>
  <c r="G4" i="33" s="1"/>
  <c r="D8" i="31"/>
  <c r="F8" i="31" s="1"/>
  <c r="D25" i="31"/>
  <c r="F25" i="31" s="1"/>
  <c r="D10" i="31"/>
  <c r="F10" i="31" s="1"/>
  <c r="D5" i="31"/>
  <c r="E5" i="31" s="1"/>
  <c r="D6" i="31"/>
  <c r="F6" i="31" s="1"/>
  <c r="D28" i="31"/>
  <c r="F28" i="31" s="1"/>
  <c r="D13" i="31"/>
  <c r="F13" i="31" s="1"/>
  <c r="D16" i="31"/>
  <c r="E16" i="31" s="1"/>
  <c r="G16" i="31" s="1"/>
  <c r="D9" i="31"/>
  <c r="E9" i="31" s="1"/>
  <c r="G9" i="31" s="1"/>
  <c r="D26" i="31"/>
  <c r="F26" i="31" s="1"/>
  <c r="D23" i="31"/>
  <c r="F23" i="31" s="1"/>
  <c r="D20" i="31"/>
  <c r="E20" i="31" s="1"/>
  <c r="G20" i="31" s="1"/>
  <c r="D14" i="31"/>
  <c r="F14" i="31" s="1"/>
  <c r="D30" i="31"/>
  <c r="F30" i="31" s="1"/>
  <c r="D12" i="31"/>
  <c r="F12" i="31" s="1"/>
  <c r="D18" i="31"/>
  <c r="F18" i="31" s="1"/>
  <c r="D22" i="31"/>
  <c r="F22" i="31" s="1"/>
  <c r="D24" i="31"/>
  <c r="E24" i="31" s="1"/>
  <c r="G24" i="31" s="1"/>
  <c r="D11" i="31"/>
  <c r="E11" i="31" s="1"/>
  <c r="G11" i="31" s="1"/>
  <c r="D21" i="31"/>
  <c r="F21" i="31" s="1"/>
  <c r="D15" i="31"/>
  <c r="E15" i="31" s="1"/>
  <c r="G15" i="31" s="1"/>
  <c r="D19" i="31"/>
  <c r="F19" i="31" s="1"/>
  <c r="D29" i="31"/>
  <c r="E29" i="31" s="1"/>
  <c r="G29" i="31" s="1"/>
  <c r="D17" i="31"/>
  <c r="F17" i="31" s="1"/>
  <c r="D27" i="31"/>
  <c r="F27" i="31" s="1"/>
  <c r="D7" i="31"/>
  <c r="E7" i="31" s="1"/>
  <c r="G7" i="31" s="1"/>
  <c r="E3" i="31"/>
  <c r="F3" i="31"/>
  <c r="I3" i="31" s="1"/>
  <c r="G3" i="33"/>
  <c r="J3" i="33" s="1"/>
  <c r="H3" i="33"/>
  <c r="D5" i="33"/>
  <c r="K5" i="33" s="1"/>
  <c r="I4" i="33"/>
  <c r="D6" i="33"/>
  <c r="F7" i="31"/>
  <c r="E25" i="31"/>
  <c r="G25" i="31" s="1"/>
  <c r="Y2" i="24"/>
  <c r="Y3" i="24" s="1"/>
  <c r="AQ8" i="24"/>
  <c r="AQ10" i="24"/>
  <c r="O8" i="24"/>
  <c r="AP13" i="24"/>
  <c r="AX15" i="24"/>
  <c r="AR18" i="24"/>
  <c r="AQ14" i="24"/>
  <c r="AX17" i="24"/>
  <c r="AR16" i="24"/>
  <c r="AQ12" i="24"/>
  <c r="AR17" i="24"/>
  <c r="AQ13" i="24"/>
  <c r="AR15" i="24"/>
  <c r="AQ11" i="24"/>
  <c r="AX16" i="24"/>
  <c r="AP11" i="24"/>
  <c r="AP4" i="24"/>
  <c r="AS4" i="24" s="1"/>
  <c r="AP8" i="24"/>
  <c r="AQ9" i="24"/>
  <c r="AP15" i="24"/>
  <c r="AP17" i="24"/>
  <c r="AP19" i="24"/>
  <c r="AP21" i="24"/>
  <c r="AP23" i="24"/>
  <c r="AP25" i="24"/>
  <c r="AP27" i="24"/>
  <c r="AP29" i="24"/>
  <c r="AT88" i="24"/>
  <c r="AP3" i="24"/>
  <c r="AS3" i="24" s="1"/>
  <c r="AQ7" i="24"/>
  <c r="AP14" i="24"/>
  <c r="AX14" i="24"/>
  <c r="AP6" i="24"/>
  <c r="AS6" i="24" s="1"/>
  <c r="AP12" i="24"/>
  <c r="AP16" i="24"/>
  <c r="AP18" i="24"/>
  <c r="AP20" i="24"/>
  <c r="AP22" i="24"/>
  <c r="AP24" i="24"/>
  <c r="AP26" i="24"/>
  <c r="AP28" i="24"/>
  <c r="AP30" i="24"/>
  <c r="AP7" i="24"/>
  <c r="AP5" i="24"/>
  <c r="AS5" i="24" s="1"/>
  <c r="AP10" i="24"/>
  <c r="AP9" i="24"/>
  <c r="E10" i="32" l="1"/>
  <c r="C10" i="32" s="1"/>
  <c r="G2" i="24"/>
  <c r="H2" i="24" s="1"/>
  <c r="K6" i="33"/>
  <c r="H4" i="33"/>
  <c r="L4" i="33" s="1"/>
  <c r="E10" i="31"/>
  <c r="G10" i="31" s="1"/>
  <c r="F11" i="31"/>
  <c r="F24" i="31"/>
  <c r="E6" i="31"/>
  <c r="G6" i="31" s="1"/>
  <c r="E28" i="31"/>
  <c r="G28" i="31" s="1"/>
  <c r="F5" i="31"/>
  <c r="I6" i="31" s="1"/>
  <c r="E30" i="31"/>
  <c r="G30" i="31" s="1"/>
  <c r="F16" i="31"/>
  <c r="E8" i="31"/>
  <c r="G8" i="31" s="1"/>
  <c r="E13" i="31"/>
  <c r="G13" i="31" s="1"/>
  <c r="E22" i="31"/>
  <c r="G22" i="31" s="1"/>
  <c r="F9" i="31"/>
  <c r="E23" i="31"/>
  <c r="G23" i="31" s="1"/>
  <c r="F15" i="31"/>
  <c r="F20" i="31"/>
  <c r="E26" i="31"/>
  <c r="G26" i="31" s="1"/>
  <c r="E21" i="31"/>
  <c r="G21" i="31" s="1"/>
  <c r="E14" i="31"/>
  <c r="G14" i="31" s="1"/>
  <c r="E12" i="31"/>
  <c r="G12" i="31" s="1"/>
  <c r="E18" i="31"/>
  <c r="G18" i="31" s="1"/>
  <c r="E27" i="31"/>
  <c r="G27" i="31" s="1"/>
  <c r="I4" i="31"/>
  <c r="H3" i="31"/>
  <c r="G3" i="31"/>
  <c r="H4" i="31"/>
  <c r="F29" i="31"/>
  <c r="E19" i="31"/>
  <c r="G19" i="31" s="1"/>
  <c r="E17" i="31"/>
  <c r="G17" i="31" s="1"/>
  <c r="E5" i="33"/>
  <c r="G5" i="33" s="1"/>
  <c r="J5" i="33" s="1"/>
  <c r="F5" i="33"/>
  <c r="I5" i="33" s="1"/>
  <c r="J4" i="33"/>
  <c r="F6" i="33"/>
  <c r="E6" i="33"/>
  <c r="D7" i="33"/>
  <c r="G5" i="31"/>
  <c r="H5" i="31"/>
  <c r="AS8" i="24"/>
  <c r="AS10" i="24"/>
  <c r="AS12" i="24"/>
  <c r="AS14" i="24"/>
  <c r="AS9" i="24"/>
  <c r="AS7" i="24"/>
  <c r="AS11" i="24"/>
  <c r="AS13" i="24"/>
  <c r="AR21" i="24"/>
  <c r="AQ17" i="24"/>
  <c r="AS17" i="24" s="1"/>
  <c r="AX20" i="24"/>
  <c r="AR20" i="24"/>
  <c r="AQ16" i="24"/>
  <c r="AS16" i="24" s="1"/>
  <c r="AR22" i="24"/>
  <c r="AQ18" i="24"/>
  <c r="AS18" i="24" s="1"/>
  <c r="AX18" i="24"/>
  <c r="AR19" i="24"/>
  <c r="AQ15" i="24"/>
  <c r="AS15" i="24" s="1"/>
  <c r="AX21" i="24"/>
  <c r="AX19" i="24"/>
  <c r="D10" i="32" l="1"/>
  <c r="K7" i="33"/>
  <c r="H6" i="31"/>
  <c r="I7" i="31"/>
  <c r="I5" i="31"/>
  <c r="I9" i="31"/>
  <c r="H7" i="31"/>
  <c r="H9" i="31"/>
  <c r="H11" i="31"/>
  <c r="H10" i="31"/>
  <c r="H8" i="31"/>
  <c r="I8" i="31"/>
  <c r="I14" i="31"/>
  <c r="I12" i="31"/>
  <c r="I10" i="31"/>
  <c r="I19" i="31"/>
  <c r="H5" i="33"/>
  <c r="L5" i="33" s="1"/>
  <c r="H6" i="33"/>
  <c r="L6" i="33" s="1"/>
  <c r="I25" i="31"/>
  <c r="I16" i="31"/>
  <c r="I20" i="31"/>
  <c r="I18" i="31"/>
  <c r="I13" i="31"/>
  <c r="I11" i="31"/>
  <c r="I29" i="31"/>
  <c r="I30" i="31"/>
  <c r="H15" i="31"/>
  <c r="I24" i="31"/>
  <c r="I28" i="31"/>
  <c r="I17" i="31"/>
  <c r="I26" i="31"/>
  <c r="I27" i="31"/>
  <c r="I15" i="31"/>
  <c r="I23" i="31"/>
  <c r="I22" i="31"/>
  <c r="I21" i="31"/>
  <c r="H17" i="31"/>
  <c r="H14" i="31"/>
  <c r="H30" i="31"/>
  <c r="H21" i="31"/>
  <c r="H20" i="31"/>
  <c r="H16" i="31"/>
  <c r="H13" i="31"/>
  <c r="H12" i="31"/>
  <c r="H23" i="31"/>
  <c r="H27" i="31"/>
  <c r="H28" i="31"/>
  <c r="H18" i="31"/>
  <c r="H25" i="31"/>
  <c r="J3" i="31"/>
  <c r="J4" i="31"/>
  <c r="H19" i="31"/>
  <c r="H22" i="31"/>
  <c r="H24" i="31"/>
  <c r="H26" i="31"/>
  <c r="H29" i="31"/>
  <c r="G6" i="33"/>
  <c r="I6" i="33"/>
  <c r="F7" i="33"/>
  <c r="E7" i="33"/>
  <c r="D8" i="33"/>
  <c r="J17" i="31"/>
  <c r="J28" i="31"/>
  <c r="J26" i="31"/>
  <c r="J25" i="31"/>
  <c r="J5" i="31"/>
  <c r="J8" i="31"/>
  <c r="J21" i="31"/>
  <c r="J13" i="31"/>
  <c r="J16" i="31"/>
  <c r="J6" i="31"/>
  <c r="J29" i="31"/>
  <c r="J7" i="31"/>
  <c r="J24" i="31"/>
  <c r="J14" i="31"/>
  <c r="J27" i="31"/>
  <c r="J15" i="31"/>
  <c r="J19" i="31"/>
  <c r="J22" i="31"/>
  <c r="J23" i="31"/>
  <c r="J11" i="31"/>
  <c r="J30" i="31"/>
  <c r="M5" i="31" s="1"/>
  <c r="J12" i="31"/>
  <c r="J10" i="31"/>
  <c r="J9" i="31"/>
  <c r="J20" i="31"/>
  <c r="J18" i="31"/>
  <c r="AR23" i="24"/>
  <c r="AQ19" i="24"/>
  <c r="AS19" i="24" s="1"/>
  <c r="AR24" i="24"/>
  <c r="AQ20" i="24"/>
  <c r="AS20" i="24" s="1"/>
  <c r="AX25" i="24"/>
  <c r="G3" i="24"/>
  <c r="I2" i="24"/>
  <c r="AR26" i="24"/>
  <c r="AQ22" i="24"/>
  <c r="AS22" i="24" s="1"/>
  <c r="F2" i="24"/>
  <c r="AQ21" i="24"/>
  <c r="AS21" i="24" s="1"/>
  <c r="AR25" i="24"/>
  <c r="AX24" i="24"/>
  <c r="AX23" i="24"/>
  <c r="AX22" i="24"/>
  <c r="E11" i="32" l="1"/>
  <c r="C11" i="32" s="1"/>
  <c r="K8" i="33"/>
  <c r="E8" i="33"/>
  <c r="F8" i="33"/>
  <c r="I8" i="33" s="1"/>
  <c r="J6" i="33"/>
  <c r="D9" i="33"/>
  <c r="I7" i="33"/>
  <c r="G7" i="33"/>
  <c r="H7" i="33"/>
  <c r="L7" i="33" s="1"/>
  <c r="J2" i="24"/>
  <c r="H3" i="24"/>
  <c r="F3" i="24" s="1"/>
  <c r="AQ25" i="24"/>
  <c r="AS25" i="24" s="1"/>
  <c r="AR29" i="24"/>
  <c r="AQ29" i="24" s="1"/>
  <c r="AS29" i="24" s="1"/>
  <c r="AX28" i="24"/>
  <c r="AX29" i="24"/>
  <c r="AR28" i="24"/>
  <c r="AQ28" i="24" s="1"/>
  <c r="AS28" i="24" s="1"/>
  <c r="AQ24" i="24"/>
  <c r="AS24" i="24" s="1"/>
  <c r="AX26" i="24"/>
  <c r="AX27" i="24"/>
  <c r="AR30" i="24"/>
  <c r="AQ30" i="24" s="1"/>
  <c r="AS30" i="24" s="1"/>
  <c r="AQ26" i="24"/>
  <c r="AS26" i="24" s="1"/>
  <c r="AQ23" i="24"/>
  <c r="AS23" i="24" s="1"/>
  <c r="AR27" i="24"/>
  <c r="AQ27" i="24" s="1"/>
  <c r="AS27" i="24" s="1"/>
  <c r="D11" i="32" l="1"/>
  <c r="K9" i="33"/>
  <c r="G8" i="33"/>
  <c r="H8" i="33"/>
  <c r="L8" i="33" s="1"/>
  <c r="E9" i="33"/>
  <c r="F9" i="33"/>
  <c r="I9" i="33" s="1"/>
  <c r="J7" i="33"/>
  <c r="D10" i="33"/>
  <c r="AU14" i="24"/>
  <c r="AU12" i="24"/>
  <c r="AU23" i="24"/>
  <c r="AU15" i="24"/>
  <c r="AU25" i="24"/>
  <c r="AU5" i="24"/>
  <c r="AU16" i="24"/>
  <c r="AU11" i="24"/>
  <c r="AU8" i="24"/>
  <c r="AU26" i="24"/>
  <c r="AU24" i="24"/>
  <c r="AU19" i="24"/>
  <c r="AU27" i="24"/>
  <c r="AU22" i="24"/>
  <c r="AV14" i="24"/>
  <c r="BC14" i="24" s="1"/>
  <c r="AV13" i="24"/>
  <c r="BC13" i="24" s="1"/>
  <c r="AV24" i="24"/>
  <c r="BC24" i="24" s="1"/>
  <c r="AU17" i="24"/>
  <c r="AU7" i="24"/>
  <c r="AU9" i="24"/>
  <c r="AU4" i="24"/>
  <c r="AU29" i="24"/>
  <c r="AU20" i="24"/>
  <c r="AV11" i="24"/>
  <c r="BC11" i="24" s="1"/>
  <c r="AU18" i="24"/>
  <c r="AU10" i="24"/>
  <c r="AU28" i="24"/>
  <c r="AU6" i="24"/>
  <c r="AV12" i="24"/>
  <c r="BC12" i="24" s="1"/>
  <c r="AU3" i="24"/>
  <c r="AV25" i="24"/>
  <c r="BC25" i="24" s="1"/>
  <c r="AU13" i="24"/>
  <c r="AU21" i="24"/>
  <c r="AV21" i="24"/>
  <c r="BC21" i="24" s="1"/>
  <c r="AV10" i="24"/>
  <c r="BC10" i="24" s="1"/>
  <c r="AV9" i="24"/>
  <c r="BC9" i="24" s="1"/>
  <c r="AV19" i="24"/>
  <c r="BC19" i="24" s="1"/>
  <c r="AV15" i="24"/>
  <c r="BC15" i="24" s="1"/>
  <c r="AS32" i="24"/>
  <c r="AS88" i="24" s="1"/>
  <c r="AX30" i="24"/>
  <c r="AV22" i="24"/>
  <c r="BC22" i="24" s="1"/>
  <c r="AV18" i="24"/>
  <c r="BC18" i="24" s="1"/>
  <c r="AV16" i="24"/>
  <c r="BC16" i="24" s="1"/>
  <c r="AV8" i="24"/>
  <c r="BC8" i="24" s="1"/>
  <c r="AU30" i="24"/>
  <c r="AV5" i="24"/>
  <c r="BC5" i="24" s="1"/>
  <c r="AV17" i="24"/>
  <c r="BC17" i="24" s="1"/>
  <c r="AV26" i="24"/>
  <c r="BC26" i="24" s="1"/>
  <c r="AV7" i="24"/>
  <c r="BC7" i="24" s="1"/>
  <c r="AV20" i="24"/>
  <c r="BC20" i="24" s="1"/>
  <c r="AV27" i="24"/>
  <c r="BC27" i="24" s="1"/>
  <c r="AV3" i="24"/>
  <c r="AV28" i="24"/>
  <c r="BC28" i="24" s="1"/>
  <c r="G4" i="24"/>
  <c r="I3" i="24"/>
  <c r="AV29" i="24"/>
  <c r="BC29" i="24" s="1"/>
  <c r="AV30" i="24"/>
  <c r="BC30" i="24" s="1"/>
  <c r="AV4" i="24"/>
  <c r="BC4" i="24" s="1"/>
  <c r="AV23" i="24"/>
  <c r="BC23" i="24" s="1"/>
  <c r="AV6" i="24"/>
  <c r="BC6" i="24" s="1"/>
  <c r="E12" i="32" l="1"/>
  <c r="C12" i="32" s="1"/>
  <c r="K10" i="33"/>
  <c r="D11" i="33"/>
  <c r="G9" i="33"/>
  <c r="H9" i="33"/>
  <c r="L9" i="33" s="1"/>
  <c r="F10" i="33"/>
  <c r="I10" i="33" s="1"/>
  <c r="E10" i="33"/>
  <c r="J8" i="33"/>
  <c r="AW28" i="24"/>
  <c r="AW20" i="24"/>
  <c r="AW16" i="24"/>
  <c r="AW17" i="24"/>
  <c r="AW4" i="24"/>
  <c r="AU32" i="24"/>
  <c r="AU88" i="24" s="1"/>
  <c r="AW13" i="24"/>
  <c r="AW25" i="24"/>
  <c r="AW12" i="24"/>
  <c r="AW5" i="24"/>
  <c r="AW29" i="24"/>
  <c r="AW24" i="24"/>
  <c r="AW21" i="24"/>
  <c r="AW9" i="24"/>
  <c r="AW8" i="24"/>
  <c r="J3" i="24"/>
  <c r="H4" i="24"/>
  <c r="F4" i="24" s="1"/>
  <c r="BC3" i="24"/>
  <c r="AW23" i="24" s="1"/>
  <c r="AV32" i="24"/>
  <c r="AV88" i="24" s="1"/>
  <c r="D12" i="32" l="1"/>
  <c r="K11" i="33"/>
  <c r="G10" i="33"/>
  <c r="D12" i="33"/>
  <c r="J9" i="33"/>
  <c r="F11" i="33"/>
  <c r="I11" i="33" s="1"/>
  <c r="E11" i="33"/>
  <c r="H10" i="33"/>
  <c r="L10" i="33" s="1"/>
  <c r="AW19" i="24"/>
  <c r="AW7" i="24"/>
  <c r="AW11" i="24"/>
  <c r="AW22" i="24"/>
  <c r="AW18" i="24"/>
  <c r="AW3" i="24"/>
  <c r="AW26" i="24"/>
  <c r="AW6" i="24"/>
  <c r="AW14" i="24"/>
  <c r="AW10" i="24"/>
  <c r="AW27" i="24"/>
  <c r="AW15" i="24"/>
  <c r="AW30" i="24"/>
  <c r="I4" i="24"/>
  <c r="G5" i="24"/>
  <c r="E13" i="32" l="1"/>
  <c r="C13" i="32" s="1"/>
  <c r="K12" i="33"/>
  <c r="F12" i="33"/>
  <c r="I12" i="33" s="1"/>
  <c r="E12" i="33"/>
  <c r="D13" i="33"/>
  <c r="G11" i="33"/>
  <c r="J11" i="33" s="1"/>
  <c r="H11" i="33"/>
  <c r="L11" i="33" s="1"/>
  <c r="J10" i="33"/>
  <c r="AW32" i="24"/>
  <c r="AW88" i="24" s="1"/>
  <c r="H5" i="24"/>
  <c r="J4" i="24"/>
  <c r="D13" i="32" l="1"/>
  <c r="K13" i="33"/>
  <c r="D14" i="33"/>
  <c r="F13" i="33"/>
  <c r="I13" i="33" s="1"/>
  <c r="E13" i="33"/>
  <c r="G12" i="33"/>
  <c r="J12" i="33" s="1"/>
  <c r="H12" i="33"/>
  <c r="L12" i="33" s="1"/>
  <c r="I5" i="24"/>
  <c r="G6" i="24"/>
  <c r="F5" i="24"/>
  <c r="A3" i="17"/>
  <c r="B3" i="17"/>
  <c r="A4" i="17"/>
  <c r="F4" i="17" s="1"/>
  <c r="A5" i="17"/>
  <c r="F5" i="17" s="1"/>
  <c r="A6" i="17"/>
  <c r="A7" i="17"/>
  <c r="F7" i="17" s="1"/>
  <c r="A8" i="17"/>
  <c r="F8" i="17" s="1"/>
  <c r="A9" i="17"/>
  <c r="F9" i="17" s="1"/>
  <c r="A10" i="17"/>
  <c r="F10" i="17" s="1"/>
  <c r="A11" i="17"/>
  <c r="F11" i="17" s="1"/>
  <c r="A12" i="17"/>
  <c r="F12" i="17" s="1"/>
  <c r="A13" i="17"/>
  <c r="F13" i="17" s="1"/>
  <c r="A14" i="17"/>
  <c r="F14" i="17" s="1"/>
  <c r="A15" i="17"/>
  <c r="F15" i="17" s="1"/>
  <c r="A16" i="17"/>
  <c r="F16" i="17" s="1"/>
  <c r="A17" i="17"/>
  <c r="F17" i="17" s="1"/>
  <c r="A18" i="17"/>
  <c r="F18" i="17" s="1"/>
  <c r="A19" i="17"/>
  <c r="F19" i="17" s="1"/>
  <c r="A20" i="17"/>
  <c r="F20" i="17" s="1"/>
  <c r="A21" i="17"/>
  <c r="F21" i="17" s="1"/>
  <c r="A22" i="17"/>
  <c r="F22" i="17" s="1"/>
  <c r="A23" i="17"/>
  <c r="F23" i="17" s="1"/>
  <c r="A24" i="17"/>
  <c r="F24" i="17" s="1"/>
  <c r="A25" i="17"/>
  <c r="F25" i="17" s="1"/>
  <c r="A26" i="17"/>
  <c r="F26" i="17" s="1"/>
  <c r="A27" i="17"/>
  <c r="F27" i="17" s="1"/>
  <c r="A28" i="17"/>
  <c r="F28" i="17" s="1"/>
  <c r="A29" i="17"/>
  <c r="F29" i="17" s="1"/>
  <c r="A30" i="17"/>
  <c r="F30" i="17" s="1"/>
  <c r="A31" i="17"/>
  <c r="F31" i="17" s="1"/>
  <c r="A1" i="14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W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F2" i="11"/>
  <c r="E3" i="11" s="1"/>
  <c r="E14" i="32" l="1"/>
  <c r="C14" i="32" s="1"/>
  <c r="D2" i="14"/>
  <c r="C2" i="14"/>
  <c r="K14" i="33"/>
  <c r="C8" i="11"/>
  <c r="D8" i="11" s="1"/>
  <c r="C23" i="11"/>
  <c r="D23" i="11" s="1"/>
  <c r="E10" i="11"/>
  <c r="C20" i="11"/>
  <c r="D20" i="11" s="1"/>
  <c r="E6" i="11"/>
  <c r="E30" i="11"/>
  <c r="E29" i="11"/>
  <c r="C12" i="11"/>
  <c r="D12" i="11" s="1"/>
  <c r="C28" i="11"/>
  <c r="D28" i="11" s="1"/>
  <c r="E11" i="11"/>
  <c r="E24" i="11"/>
  <c r="C7" i="11"/>
  <c r="D7" i="11" s="1"/>
  <c r="C15" i="11"/>
  <c r="D15" i="11" s="1"/>
  <c r="E23" i="11"/>
  <c r="E13" i="11"/>
  <c r="C4" i="11"/>
  <c r="D4" i="11" s="1"/>
  <c r="E8" i="11"/>
  <c r="F6" i="17"/>
  <c r="E2" i="17"/>
  <c r="D2" i="17"/>
  <c r="G13" i="33"/>
  <c r="J13" i="33" s="1"/>
  <c r="H13" i="33"/>
  <c r="L13" i="33" s="1"/>
  <c r="F14" i="33"/>
  <c r="I14" i="33" s="1"/>
  <c r="E14" i="33"/>
  <c r="D15" i="33"/>
  <c r="H6" i="24"/>
  <c r="J5" i="24"/>
  <c r="E12" i="11"/>
  <c r="C30" i="11"/>
  <c r="D30" i="11" s="1"/>
  <c r="C22" i="11"/>
  <c r="D22" i="11" s="1"/>
  <c r="C14" i="11"/>
  <c r="D14" i="11" s="1"/>
  <c r="C6" i="11"/>
  <c r="D6" i="11" s="1"/>
  <c r="E15" i="11"/>
  <c r="E28" i="11"/>
  <c r="E19" i="11"/>
  <c r="E25" i="11"/>
  <c r="E9" i="11"/>
  <c r="C3" i="11"/>
  <c r="D3" i="11" s="1"/>
  <c r="C29" i="11"/>
  <c r="D29" i="11" s="1"/>
  <c r="C21" i="11"/>
  <c r="D21" i="11" s="1"/>
  <c r="C13" i="11"/>
  <c r="D13" i="11" s="1"/>
  <c r="C5" i="11"/>
  <c r="D5" i="11" s="1"/>
  <c r="E21" i="11"/>
  <c r="E5" i="11"/>
  <c r="C27" i="11"/>
  <c r="D27" i="11" s="1"/>
  <c r="C19" i="11"/>
  <c r="D19" i="11" s="1"/>
  <c r="C11" i="11"/>
  <c r="D11" i="11" s="1"/>
  <c r="E14" i="11"/>
  <c r="E27" i="11"/>
  <c r="E18" i="11"/>
  <c r="E20" i="11"/>
  <c r="E4" i="11"/>
  <c r="C26" i="11"/>
  <c r="D26" i="11" s="1"/>
  <c r="C18" i="11"/>
  <c r="D18" i="11" s="1"/>
  <c r="C10" i="11"/>
  <c r="D10" i="11" s="1"/>
  <c r="E22" i="11"/>
  <c r="E17" i="11"/>
  <c r="C25" i="11"/>
  <c r="D25" i="11" s="1"/>
  <c r="C17" i="11"/>
  <c r="D17" i="11" s="1"/>
  <c r="C9" i="11"/>
  <c r="D9" i="11" s="1"/>
  <c r="E26" i="11"/>
  <c r="E7" i="11"/>
  <c r="E16" i="11"/>
  <c r="C24" i="11"/>
  <c r="D24" i="11" s="1"/>
  <c r="C16" i="11"/>
  <c r="D16" i="11" s="1"/>
  <c r="D14" i="32" l="1"/>
  <c r="E3" i="14"/>
  <c r="C3" i="14" s="1"/>
  <c r="K15" i="33"/>
  <c r="L8" i="11"/>
  <c r="H2" i="11"/>
  <c r="D8" i="17"/>
  <c r="E8" i="17" s="1"/>
  <c r="D16" i="17"/>
  <c r="E16" i="17" s="1"/>
  <c r="D24" i="17"/>
  <c r="E24" i="17" s="1"/>
  <c r="D4" i="17"/>
  <c r="E4" i="17" s="1"/>
  <c r="D5" i="17"/>
  <c r="E5" i="17" s="1"/>
  <c r="D29" i="17"/>
  <c r="E29" i="17" s="1"/>
  <c r="D30" i="17"/>
  <c r="E30" i="17" s="1"/>
  <c r="D23" i="17"/>
  <c r="E23" i="17" s="1"/>
  <c r="D9" i="17"/>
  <c r="E9" i="17" s="1"/>
  <c r="D17" i="17"/>
  <c r="E17" i="17" s="1"/>
  <c r="D25" i="17"/>
  <c r="E25" i="17" s="1"/>
  <c r="D13" i="17"/>
  <c r="E13" i="17" s="1"/>
  <c r="D6" i="17"/>
  <c r="E6" i="17" s="1"/>
  <c r="J5" i="17" s="1"/>
  <c r="D22" i="17"/>
  <c r="E22" i="17" s="1"/>
  <c r="D15" i="17"/>
  <c r="E15" i="17" s="1"/>
  <c r="D10" i="17"/>
  <c r="E10" i="17" s="1"/>
  <c r="D18" i="17"/>
  <c r="E18" i="17" s="1"/>
  <c r="D26" i="17"/>
  <c r="E26" i="17" s="1"/>
  <c r="D31" i="17"/>
  <c r="E31" i="17" s="1"/>
  <c r="D11" i="17"/>
  <c r="E11" i="17" s="1"/>
  <c r="D19" i="17"/>
  <c r="E19" i="17" s="1"/>
  <c r="D27" i="17"/>
  <c r="E27" i="17" s="1"/>
  <c r="D21" i="17"/>
  <c r="E21" i="17" s="1"/>
  <c r="D14" i="17"/>
  <c r="E14" i="17" s="1"/>
  <c r="D7" i="17"/>
  <c r="E7" i="17" s="1"/>
  <c r="D12" i="17"/>
  <c r="E12" i="17" s="1"/>
  <c r="D20" i="17"/>
  <c r="E20" i="17" s="1"/>
  <c r="D28" i="17"/>
  <c r="E28" i="17" s="1"/>
  <c r="F15" i="33"/>
  <c r="I15" i="33" s="1"/>
  <c r="E15" i="33"/>
  <c r="G14" i="33"/>
  <c r="J14" i="33" s="1"/>
  <c r="H14" i="33"/>
  <c r="L14" i="33" s="1"/>
  <c r="D16" i="33"/>
  <c r="G7" i="24"/>
  <c r="I6" i="24"/>
  <c r="F6" i="24"/>
  <c r="G2" i="11"/>
  <c r="M6" i="11" s="1"/>
  <c r="J3" i="17" l="1"/>
  <c r="E15" i="32"/>
  <c r="C15" i="32" s="1"/>
  <c r="J4" i="17"/>
  <c r="D3" i="14"/>
  <c r="E4" i="14" s="1"/>
  <c r="C4" i="14" s="1"/>
  <c r="K16" i="33"/>
  <c r="J6" i="17"/>
  <c r="E16" i="33"/>
  <c r="F16" i="33"/>
  <c r="I16" i="33" s="1"/>
  <c r="G15" i="33"/>
  <c r="J15" i="33" s="1"/>
  <c r="H15" i="33"/>
  <c r="L15" i="33" s="1"/>
  <c r="D17" i="33"/>
  <c r="J6" i="24"/>
  <c r="H7" i="24"/>
  <c r="F7" i="24" s="1"/>
  <c r="I53" i="11"/>
  <c r="I2" i="11"/>
  <c r="F3" i="14"/>
  <c r="D15" i="32" l="1"/>
  <c r="D4" i="14"/>
  <c r="E5" i="14" s="1"/>
  <c r="C5" i="14" s="1"/>
  <c r="K17" i="33"/>
  <c r="J8" i="17"/>
  <c r="K6" i="17" s="1"/>
  <c r="F17" i="33"/>
  <c r="I17" i="33" s="1"/>
  <c r="E17" i="33"/>
  <c r="D18" i="33"/>
  <c r="G16" i="33"/>
  <c r="J16" i="33" s="1"/>
  <c r="H16" i="33"/>
  <c r="L16" i="33" s="1"/>
  <c r="G8" i="24"/>
  <c r="I7" i="24"/>
  <c r="G3" i="14"/>
  <c r="E16" i="32" l="1"/>
  <c r="C16" i="32" s="1"/>
  <c r="D5" i="14"/>
  <c r="E6" i="14" s="1"/>
  <c r="C6" i="14" s="1"/>
  <c r="K18" i="33"/>
  <c r="K5" i="17"/>
  <c r="K4" i="17"/>
  <c r="K3" i="17"/>
  <c r="F18" i="33"/>
  <c r="I18" i="33" s="1"/>
  <c r="E18" i="33"/>
  <c r="D19" i="33"/>
  <c r="G17" i="33"/>
  <c r="J17" i="33" s="1"/>
  <c r="H17" i="33"/>
  <c r="L17" i="33" s="1"/>
  <c r="J7" i="24"/>
  <c r="H8" i="24"/>
  <c r="F8" i="24" s="1"/>
  <c r="F4" i="14"/>
  <c r="H3" i="14"/>
  <c r="I3" i="14" s="1"/>
  <c r="G2" i="17"/>
  <c r="F2" i="17"/>
  <c r="D16" i="32" l="1"/>
  <c r="D6" i="14"/>
  <c r="E7" i="14" s="1"/>
  <c r="C7" i="14" s="1"/>
  <c r="K19" i="33"/>
  <c r="F19" i="33"/>
  <c r="I19" i="33" s="1"/>
  <c r="E19" i="33"/>
  <c r="D20" i="33"/>
  <c r="G18" i="33"/>
  <c r="J18" i="33" s="1"/>
  <c r="H18" i="33"/>
  <c r="L18" i="33" s="1"/>
  <c r="I8" i="24"/>
  <c r="G9" i="24"/>
  <c r="G4" i="14"/>
  <c r="E17" i="32" l="1"/>
  <c r="C17" i="32" s="1"/>
  <c r="D7" i="14"/>
  <c r="E8" i="14" s="1"/>
  <c r="C8" i="14" s="1"/>
  <c r="K20" i="33"/>
  <c r="F20" i="33"/>
  <c r="I20" i="33" s="1"/>
  <c r="E20" i="33"/>
  <c r="D21" i="33"/>
  <c r="G19" i="33"/>
  <c r="J19" i="33" s="1"/>
  <c r="H19" i="33"/>
  <c r="L19" i="33" s="1"/>
  <c r="H9" i="24"/>
  <c r="F9" i="24" s="1"/>
  <c r="J8" i="24"/>
  <c r="F5" i="14"/>
  <c r="H4" i="14"/>
  <c r="I4" i="14" s="1"/>
  <c r="D17" i="32" l="1"/>
  <c r="D8" i="14"/>
  <c r="E9" i="14" s="1"/>
  <c r="C9" i="14" s="1"/>
  <c r="K21" i="33"/>
  <c r="D22" i="33"/>
  <c r="F21" i="33"/>
  <c r="I21" i="33" s="1"/>
  <c r="E21" i="33"/>
  <c r="G20" i="33"/>
  <c r="J20" i="33" s="1"/>
  <c r="H20" i="33"/>
  <c r="L20" i="33" s="1"/>
  <c r="I9" i="24"/>
  <c r="G10" i="24"/>
  <c r="G5" i="14"/>
  <c r="E18" i="32" l="1"/>
  <c r="C18" i="32" s="1"/>
  <c r="D9" i="14"/>
  <c r="E10" i="14" s="1"/>
  <c r="C10" i="14" s="1"/>
  <c r="K22" i="33"/>
  <c r="D23" i="33"/>
  <c r="G21" i="33"/>
  <c r="J21" i="33" s="1"/>
  <c r="H21" i="33"/>
  <c r="L21" i="33" s="1"/>
  <c r="F22" i="33"/>
  <c r="I22" i="33" s="1"/>
  <c r="E22" i="33"/>
  <c r="H10" i="24"/>
  <c r="F10" i="24" s="1"/>
  <c r="J9" i="24"/>
  <c r="F6" i="14"/>
  <c r="H5" i="14"/>
  <c r="I5" i="14" s="1"/>
  <c r="D18" i="32" l="1"/>
  <c r="D10" i="14"/>
  <c r="E11" i="14" s="1"/>
  <c r="C11" i="14" s="1"/>
  <c r="K23" i="33"/>
  <c r="G10" i="17"/>
  <c r="D24" i="33"/>
  <c r="F23" i="33"/>
  <c r="I23" i="33" s="1"/>
  <c r="E23" i="33"/>
  <c r="G22" i="33"/>
  <c r="J22" i="33" s="1"/>
  <c r="H22" i="33"/>
  <c r="L22" i="33" s="1"/>
  <c r="I10" i="24"/>
  <c r="G11" i="24"/>
  <c r="G6" i="14"/>
  <c r="G15" i="17"/>
  <c r="G5" i="17"/>
  <c r="G24" i="17"/>
  <c r="G30" i="17"/>
  <c r="G25" i="17"/>
  <c r="E19" i="32" l="1"/>
  <c r="C19" i="32" s="1"/>
  <c r="D11" i="14"/>
  <c r="E12" i="14" s="1"/>
  <c r="C12" i="14" s="1"/>
  <c r="K24" i="33"/>
  <c r="G20" i="17"/>
  <c r="F24" i="33"/>
  <c r="I24" i="33" s="1"/>
  <c r="E24" i="33"/>
  <c r="D25" i="33"/>
  <c r="G23" i="33"/>
  <c r="J23" i="33" s="1"/>
  <c r="H23" i="33"/>
  <c r="L23" i="33" s="1"/>
  <c r="H11" i="24"/>
  <c r="J10" i="24"/>
  <c r="F7" i="14"/>
  <c r="H6" i="14"/>
  <c r="I6" i="14" s="1"/>
  <c r="G4" i="17"/>
  <c r="G22" i="17"/>
  <c r="G21" i="17"/>
  <c r="G26" i="17"/>
  <c r="G23" i="17"/>
  <c r="G28" i="17"/>
  <c r="G16" i="17"/>
  <c r="G27" i="17"/>
  <c r="G11" i="17"/>
  <c r="G17" i="17"/>
  <c r="G13" i="17"/>
  <c r="G14" i="17"/>
  <c r="G6" i="17"/>
  <c r="G12" i="17"/>
  <c r="G18" i="17"/>
  <c r="G7" i="17"/>
  <c r="G9" i="17"/>
  <c r="G29" i="17"/>
  <c r="G8" i="17"/>
  <c r="G19" i="17"/>
  <c r="K8" i="17"/>
  <c r="G31" i="17"/>
  <c r="D19" i="32" l="1"/>
  <c r="D12" i="14"/>
  <c r="E13" i="14" s="1"/>
  <c r="C13" i="14" s="1"/>
  <c r="K25" i="33"/>
  <c r="G24" i="33"/>
  <c r="J24" i="33" s="1"/>
  <c r="H24" i="33"/>
  <c r="L24" i="33" s="1"/>
  <c r="F25" i="33"/>
  <c r="I25" i="33" s="1"/>
  <c r="E25" i="33"/>
  <c r="D26" i="33"/>
  <c r="G12" i="24"/>
  <c r="I11" i="24"/>
  <c r="F11" i="24"/>
  <c r="G7" i="14"/>
  <c r="E20" i="32" l="1"/>
  <c r="C20" i="32" s="1"/>
  <c r="D13" i="14"/>
  <c r="E14" i="14" s="1"/>
  <c r="C14" i="14" s="1"/>
  <c r="K26" i="33"/>
  <c r="F26" i="33"/>
  <c r="I26" i="33" s="1"/>
  <c r="E26" i="33"/>
  <c r="D27" i="33"/>
  <c r="G25" i="33"/>
  <c r="J25" i="33" s="1"/>
  <c r="H25" i="33"/>
  <c r="L25" i="33" s="1"/>
  <c r="J11" i="24"/>
  <c r="H12" i="24"/>
  <c r="F12" i="24" s="1"/>
  <c r="F8" i="14"/>
  <c r="H7" i="14"/>
  <c r="I7" i="14" s="1"/>
  <c r="D20" i="32" l="1"/>
  <c r="D14" i="14"/>
  <c r="E15" i="14" s="1"/>
  <c r="C15" i="14" s="1"/>
  <c r="K27" i="33"/>
  <c r="G26" i="33"/>
  <c r="J26" i="33" s="1"/>
  <c r="H26" i="33"/>
  <c r="L26" i="33" s="1"/>
  <c r="F27" i="33"/>
  <c r="I27" i="33" s="1"/>
  <c r="E27" i="33"/>
  <c r="D28" i="33"/>
  <c r="I12" i="24"/>
  <c r="G13" i="24"/>
  <c r="G8" i="14"/>
  <c r="H8" i="14" s="1"/>
  <c r="I8" i="14" s="1"/>
  <c r="E21" i="32" l="1"/>
  <c r="C21" i="32" s="1"/>
  <c r="D15" i="14"/>
  <c r="E16" i="14" s="1"/>
  <c r="C16" i="14" s="1"/>
  <c r="K28" i="33"/>
  <c r="F28" i="33"/>
  <c r="I28" i="33" s="1"/>
  <c r="E28" i="33"/>
  <c r="D29" i="33"/>
  <c r="G27" i="33"/>
  <c r="J27" i="33" s="1"/>
  <c r="H27" i="33"/>
  <c r="L27" i="33" s="1"/>
  <c r="H13" i="24"/>
  <c r="F13" i="24" s="1"/>
  <c r="J12" i="24"/>
  <c r="F9" i="14"/>
  <c r="D21" i="32" l="1"/>
  <c r="D16" i="14"/>
  <c r="E17" i="14" s="1"/>
  <c r="C17" i="14" s="1"/>
  <c r="K29" i="33"/>
  <c r="G28" i="33"/>
  <c r="J28" i="33" s="1"/>
  <c r="H28" i="33"/>
  <c r="L28" i="33" s="1"/>
  <c r="F29" i="33"/>
  <c r="I29" i="33" s="1"/>
  <c r="E29" i="33"/>
  <c r="D30" i="33"/>
  <c r="G14" i="24"/>
  <c r="I13" i="24"/>
  <c r="G9" i="14"/>
  <c r="H9" i="14" s="1"/>
  <c r="I9" i="14" s="1"/>
  <c r="E22" i="32" l="1"/>
  <c r="C22" i="32" s="1"/>
  <c r="D17" i="14"/>
  <c r="E18" i="14" s="1"/>
  <c r="C18" i="14" s="1"/>
  <c r="K30" i="33"/>
  <c r="F30" i="33"/>
  <c r="I30" i="33" s="1"/>
  <c r="E30" i="33"/>
  <c r="G29" i="33"/>
  <c r="J29" i="33" s="1"/>
  <c r="H29" i="33"/>
  <c r="L29" i="33" s="1"/>
  <c r="J13" i="24"/>
  <c r="H14" i="24"/>
  <c r="I14" i="24" s="1"/>
  <c r="F10" i="14"/>
  <c r="D22" i="32" l="1"/>
  <c r="D18" i="14"/>
  <c r="E19" i="14" s="1"/>
  <c r="C19" i="14" s="1"/>
  <c r="G30" i="33"/>
  <c r="J30" i="33" s="1"/>
  <c r="N5" i="33" s="1"/>
  <c r="H30" i="33"/>
  <c r="L30" i="33" s="1"/>
  <c r="F14" i="24"/>
  <c r="J14" i="24"/>
  <c r="G10" i="14"/>
  <c r="H10" i="14" s="1"/>
  <c r="I10" i="14" s="1"/>
  <c r="E23" i="32" l="1"/>
  <c r="C23" i="32" s="1"/>
  <c r="D19" i="14"/>
  <c r="E20" i="14" s="1"/>
  <c r="C20" i="14" s="1"/>
  <c r="J15" i="24"/>
  <c r="F11" i="14"/>
  <c r="D23" i="32" l="1"/>
  <c r="D20" i="14"/>
  <c r="E21" i="14" s="1"/>
  <c r="C21" i="14" s="1"/>
  <c r="L2" i="24"/>
  <c r="K2" i="24"/>
  <c r="L3" i="24"/>
  <c r="K3" i="24"/>
  <c r="L4" i="24"/>
  <c r="K4" i="24"/>
  <c r="L5" i="24"/>
  <c r="K5" i="24"/>
  <c r="L6" i="24"/>
  <c r="K6" i="24"/>
  <c r="L7" i="24"/>
  <c r="K7" i="24"/>
  <c r="L8" i="24"/>
  <c r="K8" i="24"/>
  <c r="L9" i="24"/>
  <c r="K9" i="24"/>
  <c r="L10" i="24"/>
  <c r="K10" i="24"/>
  <c r="L11" i="24"/>
  <c r="K11" i="24"/>
  <c r="L12" i="24"/>
  <c r="K12" i="24"/>
  <c r="L13" i="24"/>
  <c r="L14" i="24"/>
  <c r="K13" i="24"/>
  <c r="K14" i="24"/>
  <c r="G11" i="14"/>
  <c r="H11" i="14" s="1"/>
  <c r="I11" i="14" s="1"/>
  <c r="E24" i="32" l="1"/>
  <c r="C24" i="32" s="1"/>
  <c r="D21" i="14"/>
  <c r="E22" i="14" s="1"/>
  <c r="C22" i="14" s="1"/>
  <c r="K15" i="24"/>
  <c r="F12" i="14"/>
  <c r="D24" i="32" l="1"/>
  <c r="D22" i="14"/>
  <c r="E23" i="14" s="1"/>
  <c r="C23" i="14" s="1"/>
  <c r="G12" i="14"/>
  <c r="H12" i="14" s="1"/>
  <c r="I12" i="14" s="1"/>
  <c r="E25" i="32" l="1"/>
  <c r="C25" i="32" s="1"/>
  <c r="D23" i="14"/>
  <c r="E24" i="14" s="1"/>
  <c r="C24" i="14" s="1"/>
  <c r="F13" i="14"/>
  <c r="D25" i="32" l="1"/>
  <c r="D24" i="14"/>
  <c r="E25" i="14" s="1"/>
  <c r="C25" i="14" s="1"/>
  <c r="G13" i="14"/>
  <c r="H13" i="14" s="1"/>
  <c r="I13" i="14" s="1"/>
  <c r="E26" i="32" l="1"/>
  <c r="C26" i="32" s="1"/>
  <c r="D25" i="14"/>
  <c r="E26" i="14" s="1"/>
  <c r="C26" i="14" s="1"/>
  <c r="F14" i="14"/>
  <c r="D26" i="32" l="1"/>
  <c r="D26" i="14"/>
  <c r="E27" i="14" s="1"/>
  <c r="C27" i="14" s="1"/>
  <c r="G14" i="14"/>
  <c r="H14" i="14" s="1"/>
  <c r="I14" i="14" s="1"/>
  <c r="E27" i="32" l="1"/>
  <c r="C27" i="32" s="1"/>
  <c r="D27" i="14"/>
  <c r="E28" i="14" s="1"/>
  <c r="C28" i="14" s="1"/>
  <c r="F15" i="14"/>
  <c r="D27" i="32" l="1"/>
  <c r="D28" i="14"/>
  <c r="E29" i="14" s="1"/>
  <c r="C29" i="14" s="1"/>
  <c r="G15" i="14"/>
  <c r="H15" i="14" s="1"/>
  <c r="I15" i="14" s="1"/>
  <c r="E28" i="32" l="1"/>
  <c r="C28" i="32" s="1"/>
  <c r="D29" i="14"/>
  <c r="E30" i="14" s="1"/>
  <c r="C30" i="14" s="1"/>
  <c r="F16" i="14"/>
  <c r="D28" i="32" l="1"/>
  <c r="D30" i="14"/>
  <c r="E31" i="14" s="1"/>
  <c r="C31" i="14" s="1"/>
  <c r="G16" i="14"/>
  <c r="H16" i="14" s="1"/>
  <c r="I16" i="14" s="1"/>
  <c r="E29" i="32" l="1"/>
  <c r="C29" i="32" s="1"/>
  <c r="D31" i="14"/>
  <c r="E32" i="14" s="1"/>
  <c r="C32" i="14" s="1"/>
  <c r="F17" i="14"/>
  <c r="D29" i="32" l="1"/>
  <c r="D32" i="14"/>
  <c r="E33" i="14" s="1"/>
  <c r="C33" i="14" s="1"/>
  <c r="G17" i="14"/>
  <c r="H17" i="14" s="1"/>
  <c r="I17" i="14" s="1"/>
  <c r="E30" i="32" l="1"/>
  <c r="C30" i="32" s="1"/>
  <c r="D30" i="32" s="1"/>
  <c r="E31" i="32" s="1"/>
  <c r="E32" i="32" s="1"/>
  <c r="E33" i="32" s="1"/>
  <c r="E34" i="32" s="1"/>
  <c r="D33" i="14"/>
  <c r="E34" i="14" s="1"/>
  <c r="C34" i="14" s="1"/>
  <c r="F18" i="14"/>
  <c r="D34" i="14" l="1"/>
  <c r="E35" i="14" s="1"/>
  <c r="C35" i="14" s="1"/>
  <c r="G18" i="14"/>
  <c r="H18" i="14" s="1"/>
  <c r="I18" i="14" s="1"/>
  <c r="D35" i="14" l="1"/>
  <c r="E36" i="14" s="1"/>
  <c r="C36" i="14" s="1"/>
  <c r="F19" i="14"/>
  <c r="D36" i="14" l="1"/>
  <c r="E37" i="14" s="1"/>
  <c r="C37" i="14" s="1"/>
  <c r="G19" i="14"/>
  <c r="H19" i="14" s="1"/>
  <c r="I19" i="14" s="1"/>
  <c r="D37" i="14" l="1"/>
  <c r="E38" i="14" s="1"/>
  <c r="C38" i="14" s="1"/>
  <c r="F20" i="14"/>
  <c r="D38" i="14" l="1"/>
  <c r="E39" i="14" s="1"/>
  <c r="C39" i="14" s="1"/>
  <c r="G20" i="14"/>
  <c r="H20" i="14" s="1"/>
  <c r="I20" i="14" s="1"/>
  <c r="D39" i="14" l="1"/>
  <c r="E40" i="14" s="1"/>
  <c r="C40" i="14" s="1"/>
  <c r="F21" i="14"/>
  <c r="D40" i="14" l="1"/>
  <c r="E41" i="14" s="1"/>
  <c r="C41" i="14" s="1"/>
  <c r="G21" i="14"/>
  <c r="H21" i="14" s="1"/>
  <c r="I21" i="14" s="1"/>
  <c r="D41" i="14" l="1"/>
  <c r="E42" i="14" s="1"/>
  <c r="C42" i="14" s="1"/>
  <c r="F22" i="14"/>
  <c r="D42" i="14" l="1"/>
  <c r="E43" i="14" s="1"/>
  <c r="C43" i="14" s="1"/>
  <c r="G22" i="14"/>
  <c r="H22" i="14" s="1"/>
  <c r="I22" i="14" s="1"/>
  <c r="D43" i="14" l="1"/>
  <c r="E44" i="14" s="1"/>
  <c r="C44" i="14" s="1"/>
  <c r="F23" i="14"/>
  <c r="D44" i="14" l="1"/>
  <c r="E45" i="14" s="1"/>
  <c r="C45" i="14" s="1"/>
  <c r="G23" i="14"/>
  <c r="H23" i="14" s="1"/>
  <c r="I23" i="14" s="1"/>
  <c r="D45" i="14" l="1"/>
  <c r="E46" i="14" s="1"/>
  <c r="C46" i="14" s="1"/>
  <c r="F24" i="14"/>
  <c r="D46" i="14" l="1"/>
  <c r="E47" i="14" s="1"/>
  <c r="C47" i="14" s="1"/>
  <c r="G24" i="14"/>
  <c r="H24" i="14" s="1"/>
  <c r="I24" i="14" s="1"/>
  <c r="D47" i="14" l="1"/>
  <c r="E48" i="14" s="1"/>
  <c r="C48" i="14" s="1"/>
  <c r="F25" i="14"/>
  <c r="D48" i="14" l="1"/>
  <c r="E49" i="14" s="1"/>
  <c r="C49" i="14" s="1"/>
  <c r="G25" i="14"/>
  <c r="H25" i="14" s="1"/>
  <c r="I25" i="14" s="1"/>
  <c r="D49" i="14" l="1"/>
  <c r="E50" i="14" s="1"/>
  <c r="C50" i="14" s="1"/>
  <c r="F26" i="14"/>
  <c r="D50" i="14" l="1"/>
  <c r="E51" i="14" s="1"/>
  <c r="C51" i="14" s="1"/>
  <c r="G26" i="14"/>
  <c r="H26" i="14" s="1"/>
  <c r="I26" i="14" s="1"/>
  <c r="D51" i="14" l="1"/>
  <c r="E52" i="14" s="1"/>
  <c r="C52" i="14" s="1"/>
  <c r="F27" i="14"/>
  <c r="D52" i="14" l="1"/>
  <c r="E53" i="14" s="1"/>
  <c r="C53" i="14" s="1"/>
  <c r="G27" i="14"/>
  <c r="H27" i="14" s="1"/>
  <c r="I27" i="14" s="1"/>
  <c r="D53" i="14" l="1"/>
  <c r="E54" i="14" s="1"/>
  <c r="C54" i="14" s="1"/>
  <c r="F28" i="14"/>
  <c r="D54" i="14" l="1"/>
  <c r="E55" i="14" s="1"/>
  <c r="C55" i="14" s="1"/>
  <c r="G28" i="14"/>
  <c r="H28" i="14" s="1"/>
  <c r="I28" i="14" s="1"/>
  <c r="D55" i="14" l="1"/>
  <c r="E56" i="14" s="1"/>
  <c r="C56" i="14" s="1"/>
  <c r="F29" i="14"/>
  <c r="D56" i="14" l="1"/>
  <c r="E57" i="14" s="1"/>
  <c r="C57" i="14" s="1"/>
  <c r="G29" i="14"/>
  <c r="H29" i="14" s="1"/>
  <c r="I29" i="14" s="1"/>
  <c r="D57" i="14" l="1"/>
  <c r="E58" i="14" s="1"/>
  <c r="C58" i="14" s="1"/>
  <c r="F30" i="14"/>
  <c r="D58" i="14" l="1"/>
  <c r="E59" i="14" s="1"/>
  <c r="C59" i="14" s="1"/>
  <c r="G30" i="14"/>
  <c r="H30" i="14" s="1"/>
  <c r="I30" i="14" s="1"/>
  <c r="D59" i="14" l="1"/>
  <c r="E60" i="14" s="1"/>
  <c r="C60" i="14" s="1"/>
  <c r="F31" i="14"/>
  <c r="D60" i="14" l="1"/>
  <c r="E61" i="14" s="1"/>
  <c r="C61" i="14" s="1"/>
  <c r="G31" i="14"/>
  <c r="H31" i="14" s="1"/>
  <c r="I31" i="14" s="1"/>
  <c r="D61" i="14" l="1"/>
  <c r="E62" i="14" s="1"/>
  <c r="C62" i="14" s="1"/>
  <c r="F32" i="14"/>
  <c r="D62" i="14" l="1"/>
  <c r="E63" i="14"/>
  <c r="C63" i="14" s="1"/>
  <c r="G32" i="14"/>
  <c r="H32" i="14" s="1"/>
  <c r="I32" i="14" s="1"/>
  <c r="D63" i="14" l="1"/>
  <c r="E64" i="14" s="1"/>
  <c r="C64" i="14" s="1"/>
  <c r="F33" i="14"/>
  <c r="D64" i="14" l="1"/>
  <c r="E65" i="14" s="1"/>
  <c r="C65" i="14" s="1"/>
  <c r="G33" i="14"/>
  <c r="H33" i="14" s="1"/>
  <c r="I33" i="14" s="1"/>
  <c r="D65" i="14" l="1"/>
  <c r="E66" i="14" s="1"/>
  <c r="C66" i="14" s="1"/>
  <c r="F34" i="14"/>
  <c r="D66" i="14" l="1"/>
  <c r="E67" i="14" s="1"/>
  <c r="C67" i="14" s="1"/>
  <c r="G34" i="14"/>
  <c r="H34" i="14" s="1"/>
  <c r="I34" i="14" s="1"/>
  <c r="D67" i="14" l="1"/>
  <c r="E68" i="14" s="1"/>
  <c r="C68" i="14" s="1"/>
  <c r="F35" i="14"/>
  <c r="D68" i="14" l="1"/>
  <c r="E69" i="14" s="1"/>
  <c r="C69" i="14" s="1"/>
  <c r="G35" i="14"/>
  <c r="H35" i="14" s="1"/>
  <c r="I35" i="14" s="1"/>
  <c r="D69" i="14" l="1"/>
  <c r="E70" i="14" s="1"/>
  <c r="C70" i="14" s="1"/>
  <c r="F36" i="14"/>
  <c r="D70" i="14" l="1"/>
  <c r="E71" i="14" s="1"/>
  <c r="C71" i="14" s="1"/>
  <c r="G36" i="14"/>
  <c r="H36" i="14" s="1"/>
  <c r="I36" i="14" s="1"/>
  <c r="D71" i="14" l="1"/>
  <c r="E72" i="14" s="1"/>
  <c r="C72" i="14" s="1"/>
  <c r="F37" i="14"/>
  <c r="D72" i="14" l="1"/>
  <c r="E73" i="14" s="1"/>
  <c r="C73" i="14" s="1"/>
  <c r="G37" i="14"/>
  <c r="H37" i="14" s="1"/>
  <c r="I37" i="14" s="1"/>
  <c r="D73" i="14" l="1"/>
  <c r="E74" i="14" s="1"/>
  <c r="C74" i="14" s="1"/>
  <c r="F38" i="14"/>
  <c r="D74" i="14" l="1"/>
  <c r="E75" i="14" s="1"/>
  <c r="C75" i="14" s="1"/>
  <c r="G38" i="14"/>
  <c r="H38" i="14" s="1"/>
  <c r="I38" i="14" s="1"/>
  <c r="D75" i="14" l="1"/>
  <c r="E76" i="14" s="1"/>
  <c r="C76" i="14" s="1"/>
  <c r="F39" i="14"/>
  <c r="D76" i="14" l="1"/>
  <c r="E77" i="14" s="1"/>
  <c r="C77" i="14" s="1"/>
  <c r="D77" i="14" s="1"/>
  <c r="G39" i="14"/>
  <c r="H39" i="14" s="1"/>
  <c r="I39" i="14" s="1"/>
  <c r="F40" i="14" l="1"/>
  <c r="G40" i="14" l="1"/>
  <c r="H40" i="14" s="1"/>
  <c r="I40" i="14" s="1"/>
  <c r="F41" i="14" l="1"/>
  <c r="G41" i="14" l="1"/>
  <c r="H41" i="14" s="1"/>
  <c r="I41" i="14" s="1"/>
  <c r="F42" i="14" l="1"/>
  <c r="G42" i="14" l="1"/>
  <c r="H42" i="14" s="1"/>
  <c r="I42" i="14" s="1"/>
  <c r="F43" i="14" l="1"/>
  <c r="G43" i="14" l="1"/>
  <c r="H43" i="14" s="1"/>
  <c r="I43" i="14" s="1"/>
  <c r="F44" i="14" l="1"/>
  <c r="G44" i="14" l="1"/>
  <c r="H44" i="14" s="1"/>
  <c r="I44" i="14" s="1"/>
  <c r="F45" i="14" l="1"/>
  <c r="G45" i="14" l="1"/>
  <c r="H45" i="14" s="1"/>
  <c r="I45" i="14" s="1"/>
  <c r="F46" i="14" l="1"/>
  <c r="G46" i="14" l="1"/>
  <c r="H46" i="14" s="1"/>
  <c r="I46" i="14" s="1"/>
  <c r="F47" i="14" l="1"/>
  <c r="G47" i="14" l="1"/>
  <c r="H47" i="14" s="1"/>
  <c r="I47" i="14" s="1"/>
  <c r="F48" i="14" l="1"/>
  <c r="G48" i="14" l="1"/>
  <c r="H48" i="14" s="1"/>
  <c r="I48" i="14" s="1"/>
  <c r="F49" i="14" l="1"/>
  <c r="G49" i="14" l="1"/>
  <c r="H49" i="14" s="1"/>
  <c r="I49" i="14" s="1"/>
  <c r="F50" i="14" l="1"/>
  <c r="G50" i="14" l="1"/>
  <c r="H50" i="14" s="1"/>
  <c r="I50" i="14" s="1"/>
  <c r="F51" i="14" l="1"/>
  <c r="G51" i="14" l="1"/>
  <c r="H51" i="14" s="1"/>
  <c r="I51" i="14" s="1"/>
  <c r="F52" i="14" l="1"/>
  <c r="G52" i="14" l="1"/>
  <c r="H52" i="14" s="1"/>
  <c r="I52" i="14" s="1"/>
  <c r="F53" i="14" l="1"/>
  <c r="G53" i="14" l="1"/>
  <c r="H53" i="14" s="1"/>
  <c r="I53" i="14" s="1"/>
  <c r="F54" i="14" l="1"/>
  <c r="G54" i="14" l="1"/>
  <c r="H54" i="14" s="1"/>
  <c r="I54" i="14" s="1"/>
  <c r="F55" i="14" l="1"/>
  <c r="G55" i="14" l="1"/>
  <c r="H55" i="14" s="1"/>
  <c r="I55" i="14" s="1"/>
  <c r="F56" i="14" l="1"/>
  <c r="G56" i="14" l="1"/>
  <c r="H56" i="14" s="1"/>
  <c r="I56" i="14" s="1"/>
  <c r="F57" i="14" l="1"/>
  <c r="G57" i="14" l="1"/>
  <c r="H57" i="14" s="1"/>
  <c r="I57" i="14" s="1"/>
  <c r="F58" i="14" l="1"/>
  <c r="G58" i="14" l="1"/>
  <c r="H58" i="14" s="1"/>
  <c r="I58" i="14" s="1"/>
  <c r="F59" i="14" l="1"/>
  <c r="G59" i="14" l="1"/>
  <c r="H59" i="14" s="1"/>
  <c r="I59" i="14" s="1"/>
  <c r="F60" i="14" l="1"/>
  <c r="G60" i="14" l="1"/>
  <c r="H60" i="14" s="1"/>
  <c r="I60" i="14" s="1"/>
  <c r="F61" i="14" l="1"/>
  <c r="G61" i="14" l="1"/>
  <c r="H61" i="14" s="1"/>
  <c r="I61" i="14" s="1"/>
  <c r="F62" i="14" l="1"/>
  <c r="G62" i="14" l="1"/>
  <c r="H62" i="14" s="1"/>
  <c r="I62" i="14" s="1"/>
  <c r="F63" i="14" l="1"/>
  <c r="G63" i="14" l="1"/>
  <c r="H63" i="14" s="1"/>
  <c r="I63" i="14" s="1"/>
  <c r="F64" i="14" l="1"/>
  <c r="G64" i="14" l="1"/>
  <c r="H64" i="14" s="1"/>
  <c r="I64" i="14" s="1"/>
  <c r="F65" i="14" l="1"/>
  <c r="G65" i="14" l="1"/>
  <c r="H65" i="14" s="1"/>
  <c r="I65" i="14" s="1"/>
  <c r="F66" i="14" l="1"/>
  <c r="G66" i="14" l="1"/>
  <c r="H66" i="14" s="1"/>
  <c r="I66" i="14" s="1"/>
  <c r="F67" i="14" l="1"/>
  <c r="G67" i="14" l="1"/>
  <c r="H67" i="14" s="1"/>
  <c r="I67" i="14" s="1"/>
  <c r="F68" i="14" l="1"/>
  <c r="G68" i="14" l="1"/>
  <c r="H68" i="14" s="1"/>
  <c r="I68" i="14" s="1"/>
  <c r="F69" i="14" l="1"/>
  <c r="G69" i="14" l="1"/>
  <c r="H69" i="14" s="1"/>
  <c r="I69" i="14" s="1"/>
  <c r="F70" i="14" l="1"/>
  <c r="G70" i="14" l="1"/>
  <c r="H70" i="14" s="1"/>
  <c r="I70" i="14" s="1"/>
  <c r="F71" i="14" l="1"/>
  <c r="G71" i="14" l="1"/>
  <c r="H71" i="14" s="1"/>
  <c r="I71" i="14" s="1"/>
  <c r="F72" i="14" l="1"/>
  <c r="G72" i="14" l="1"/>
  <c r="H72" i="14" s="1"/>
  <c r="I72" i="14" s="1"/>
  <c r="F73" i="14" l="1"/>
  <c r="G73" i="14" l="1"/>
  <c r="H73" i="14" s="1"/>
  <c r="I73" i="14" s="1"/>
  <c r="F74" i="14" l="1"/>
  <c r="G74" i="14" l="1"/>
  <c r="H74" i="14" s="1"/>
  <c r="I74" i="14" s="1"/>
  <c r="F75" i="14" l="1"/>
  <c r="G75" i="14" l="1"/>
  <c r="H75" i="14" s="1"/>
  <c r="I75" i="14" s="1"/>
  <c r="F76" i="14" l="1"/>
  <c r="G76" i="14" l="1"/>
  <c r="H76" i="14" s="1"/>
  <c r="I76" i="14" s="1"/>
  <c r="F77" i="14" l="1"/>
  <c r="E78" i="14" l="1"/>
  <c r="G77" i="14"/>
  <c r="H77" i="14" s="1"/>
  <c r="F78" i="14"/>
  <c r="J3" i="14" s="1"/>
  <c r="K3" i="14" l="1"/>
  <c r="N1" i="14"/>
  <c r="G78" i="14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L5" i="14"/>
  <c r="I77" i="14"/>
  <c r="H78" i="14"/>
  <c r="J77" i="14"/>
  <c r="K56" i="14" l="1"/>
  <c r="K8" i="14"/>
  <c r="K54" i="14"/>
  <c r="K70" i="14"/>
  <c r="K13" i="14"/>
  <c r="K60" i="14"/>
  <c r="K47" i="14"/>
  <c r="K27" i="14"/>
  <c r="K34" i="14"/>
  <c r="K41" i="14"/>
  <c r="K64" i="14"/>
  <c r="K5" i="14"/>
  <c r="K26" i="14"/>
  <c r="K30" i="14"/>
  <c r="K61" i="14"/>
  <c r="K39" i="14"/>
  <c r="K44" i="14"/>
  <c r="K75" i="14"/>
  <c r="K11" i="14"/>
  <c r="K18" i="14"/>
  <c r="K25" i="14"/>
  <c r="K48" i="14"/>
  <c r="K77" i="14"/>
  <c r="K33" i="14"/>
  <c r="K22" i="14"/>
  <c r="K53" i="14"/>
  <c r="K15" i="14"/>
  <c r="K36" i="14"/>
  <c r="K67" i="14"/>
  <c r="K74" i="14"/>
  <c r="K10" i="14"/>
  <c r="K17" i="14"/>
  <c r="K40" i="14"/>
  <c r="K14" i="14"/>
  <c r="K45" i="14"/>
  <c r="K62" i="14"/>
  <c r="K28" i="14"/>
  <c r="K59" i="14"/>
  <c r="K66" i="14"/>
  <c r="K73" i="14"/>
  <c r="K9" i="14"/>
  <c r="K32" i="14"/>
  <c r="K19" i="14"/>
  <c r="K63" i="14"/>
  <c r="K6" i="14"/>
  <c r="K37" i="14"/>
  <c r="K69" i="14"/>
  <c r="K20" i="14"/>
  <c r="K51" i="14"/>
  <c r="K58" i="14"/>
  <c r="K65" i="14"/>
  <c r="K71" i="14"/>
  <c r="K24" i="14"/>
  <c r="K38" i="14"/>
  <c r="K52" i="14"/>
  <c r="K46" i="14"/>
  <c r="K7" i="14"/>
  <c r="K55" i="14"/>
  <c r="K29" i="14"/>
  <c r="K76" i="14"/>
  <c r="K12" i="14"/>
  <c r="K43" i="14"/>
  <c r="K50" i="14"/>
  <c r="K57" i="14"/>
  <c r="K31" i="14"/>
  <c r="K16" i="14"/>
  <c r="K23" i="14"/>
  <c r="K21" i="14"/>
  <c r="K68" i="14"/>
  <c r="K4" i="14"/>
  <c r="K35" i="14"/>
  <c r="K42" i="14"/>
  <c r="K49" i="14"/>
  <c r="K72" i="14"/>
  <c r="F4" i="32" l="1"/>
  <c r="G4" i="32" l="1"/>
  <c r="F5" i="32" l="1"/>
  <c r="G5" i="32" l="1"/>
  <c r="F6" i="32" l="1"/>
  <c r="G6" i="32" l="1"/>
  <c r="F7" i="32" l="1"/>
  <c r="G7" i="32" l="1"/>
  <c r="F8" i="32" l="1"/>
  <c r="G8" i="32" l="1"/>
  <c r="F9" i="32" l="1"/>
  <c r="G9" i="32" s="1"/>
  <c r="F10" i="32" l="1"/>
  <c r="G10" i="32" s="1"/>
  <c r="F11" i="32" l="1"/>
  <c r="G11" i="32" s="1"/>
  <c r="F12" i="32" l="1"/>
  <c r="G12" i="32" s="1"/>
  <c r="F13" i="32" l="1"/>
  <c r="G13" i="32" s="1"/>
  <c r="F14" i="32" l="1"/>
  <c r="G14" i="32" s="1"/>
  <c r="F15" i="32" l="1"/>
  <c r="G15" i="32" s="1"/>
  <c r="F16" i="32" l="1"/>
  <c r="G16" i="32" s="1"/>
  <c r="F17" i="32" l="1"/>
  <c r="G17" i="32" s="1"/>
  <c r="F18" i="32" l="1"/>
  <c r="G18" i="32" s="1"/>
  <c r="F19" i="32" l="1"/>
  <c r="G19" i="32" s="1"/>
  <c r="F20" i="32" l="1"/>
  <c r="G20" i="32" s="1"/>
  <c r="F21" i="32" l="1"/>
  <c r="G21" i="32" s="1"/>
  <c r="F22" i="32" l="1"/>
  <c r="G22" i="32" s="1"/>
  <c r="F23" i="32" l="1"/>
  <c r="G23" i="32" s="1"/>
  <c r="F24" i="32" l="1"/>
  <c r="G24" i="32" s="1"/>
  <c r="F25" i="32" l="1"/>
  <c r="G25" i="32" s="1"/>
  <c r="F26" i="32" l="1"/>
  <c r="G26" i="32" s="1"/>
  <c r="F27" i="32" l="1"/>
  <c r="G27" i="32" s="1"/>
  <c r="F28" i="32" l="1"/>
  <c r="G28" i="32" s="1"/>
  <c r="F29" i="32" l="1"/>
  <c r="G29" i="32" s="1"/>
  <c r="F30" i="32" l="1"/>
  <c r="G30" i="32" s="1"/>
  <c r="N5" i="32" s="1"/>
  <c r="C11" i="34" l="1"/>
  <c r="D11" i="34" l="1"/>
  <c r="E16" i="34" s="1"/>
  <c r="C12" i="34" l="1"/>
  <c r="G8" i="34"/>
  <c r="H8" i="34" s="1"/>
  <c r="D12" i="34" l="1"/>
  <c r="E17" i="34" s="1"/>
  <c r="I8" i="34"/>
  <c r="C13" i="34" l="1"/>
  <c r="G9" i="34"/>
  <c r="H9" i="34" s="1"/>
  <c r="D13" i="34" l="1"/>
  <c r="E18" i="34" s="1"/>
  <c r="I9" i="34"/>
  <c r="C14" i="34" l="1"/>
  <c r="G10" i="34"/>
  <c r="H10" i="34" s="1"/>
  <c r="D14" i="34" l="1"/>
  <c r="E19" i="34" s="1"/>
  <c r="I10" i="34"/>
  <c r="G11" i="34"/>
  <c r="H11" i="34" s="1"/>
  <c r="C15" i="34" l="1"/>
  <c r="I11" i="34"/>
  <c r="G12" i="34"/>
  <c r="H12" i="34" s="1"/>
  <c r="I12" i="34" s="1"/>
  <c r="D15" i="34" l="1"/>
  <c r="E20" i="34" s="1"/>
  <c r="G13" i="34"/>
  <c r="H13" i="34" s="1"/>
  <c r="C16" i="34" l="1"/>
  <c r="I13" i="34"/>
  <c r="G14" i="34"/>
  <c r="H14" i="34" s="1"/>
  <c r="I14" i="34" s="1"/>
  <c r="D16" i="34" l="1"/>
  <c r="E21" i="34" s="1"/>
  <c r="G16" i="34"/>
  <c r="H16" i="34" s="1"/>
  <c r="G15" i="34"/>
  <c r="H15" i="34" s="1"/>
  <c r="I15" i="34" s="1"/>
  <c r="C17" i="34" l="1"/>
  <c r="I16" i="34"/>
  <c r="D17" i="34" l="1"/>
  <c r="E22" i="34" s="1"/>
  <c r="C18" i="34" l="1"/>
  <c r="G17" i="34"/>
  <c r="H17" i="34" s="1"/>
  <c r="I17" i="34" s="1"/>
  <c r="D18" i="34" l="1"/>
  <c r="E23" i="34" s="1"/>
  <c r="G18" i="34"/>
  <c r="H18" i="34" s="1"/>
  <c r="I18" i="34" s="1"/>
  <c r="C19" i="34" l="1"/>
  <c r="D19" i="34" l="1"/>
  <c r="E24" i="34" s="1"/>
  <c r="C20" i="34" l="1"/>
  <c r="G19" i="34"/>
  <c r="H19" i="34" s="1"/>
  <c r="I19" i="34" s="1"/>
  <c r="D20" i="34" l="1"/>
  <c r="E25" i="34" s="1"/>
  <c r="G20" i="34"/>
  <c r="H20" i="34" s="1"/>
  <c r="I20" i="34" s="1"/>
  <c r="C21" i="34" l="1"/>
  <c r="D21" i="34" l="1"/>
  <c r="E26" i="34" s="1"/>
  <c r="C22" i="34" l="1"/>
  <c r="G21" i="34"/>
  <c r="H21" i="34" s="1"/>
  <c r="I21" i="34" s="1"/>
  <c r="D22" i="34" l="1"/>
  <c r="E27" i="34" s="1"/>
  <c r="G22" i="34"/>
  <c r="H22" i="34" s="1"/>
  <c r="I22" i="34" s="1"/>
  <c r="C23" i="34" l="1"/>
  <c r="G23" i="34"/>
  <c r="H23" i="34" s="1"/>
  <c r="I23" i="34" s="1"/>
  <c r="D23" i="34" l="1"/>
  <c r="E28" i="34"/>
  <c r="C24" i="34"/>
  <c r="D24" i="34" l="1"/>
  <c r="E29" i="34" s="1"/>
  <c r="C25" i="34" l="1"/>
  <c r="G24" i="34"/>
  <c r="H24" i="34" s="1"/>
  <c r="I24" i="34" s="1"/>
  <c r="D25" i="34" l="1"/>
  <c r="E30" i="34" s="1"/>
  <c r="G25" i="34"/>
  <c r="H25" i="34" s="1"/>
  <c r="I25" i="34" s="1"/>
  <c r="C26" i="34" l="1"/>
  <c r="G26" i="34"/>
  <c r="H26" i="34" s="1"/>
  <c r="I26" i="34" s="1"/>
  <c r="D26" i="34" l="1"/>
  <c r="E31" i="34" s="1"/>
  <c r="C27" i="34" l="1"/>
  <c r="D27" i="34" l="1"/>
  <c r="E32" i="34" s="1"/>
  <c r="G27" i="34"/>
  <c r="H27" i="34" s="1"/>
  <c r="I27" i="34" s="1"/>
  <c r="C28" i="34" l="1"/>
  <c r="D28" i="34" s="1"/>
  <c r="G28" i="34"/>
  <c r="H28" i="34" s="1"/>
  <c r="I28" i="34" s="1"/>
  <c r="E33" i="34" l="1"/>
  <c r="C29" i="34"/>
  <c r="D29" i="34" l="1"/>
  <c r="E34" i="34" s="1"/>
  <c r="C30" i="34" l="1"/>
  <c r="G29" i="34"/>
  <c r="H29" i="34" s="1"/>
  <c r="I29" i="34" s="1"/>
  <c r="D30" i="34" l="1"/>
  <c r="E35" i="34" s="1"/>
  <c r="C31" i="34" l="1"/>
  <c r="D31" i="34" s="1"/>
  <c r="G30" i="34"/>
  <c r="H30" i="34" s="1"/>
  <c r="I30" i="34" s="1"/>
  <c r="G31" i="34" l="1"/>
  <c r="H31" i="34" s="1"/>
  <c r="I31" i="3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<sst xmlns="http://schemas.openxmlformats.org/spreadsheetml/2006/main" count="639" uniqueCount="290">
  <si>
    <t>At</t>
  </si>
  <si>
    <t>MAD</t>
  </si>
  <si>
    <t>|E|</t>
  </si>
  <si>
    <t>E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</si>
  <si>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</si>
  <si>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</si>
  <si>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</si>
  <si>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</si>
  <si>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</si>
  <si>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</si>
  <si>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</si>
  <si>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</si>
  <si>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</si>
  <si>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</si>
  <si>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</si>
  <si>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</si>
  <si>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</si>
  <si>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</si>
  <si>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</si>
  <si>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</si>
  <si>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</si>
  <si>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Actual</t>
  </si>
  <si>
    <t>Trend&amp;Seas</t>
  </si>
  <si>
    <t>=RANDBETWEEN(INT((ROWS($AC$3:AC15)/($AA$2)))*$AA$2,(INT((ROWS($AC$3:AC15)/($AA$2))+1)*$AA$2-1))</t>
  </si>
  <si>
    <t>TS</t>
  </si>
  <si>
    <t>Day</t>
  </si>
  <si>
    <t>Yhat (Reg)</t>
  </si>
  <si>
    <t>SE</t>
  </si>
  <si>
    <t>SUMMARY OUTPUT</t>
  </si>
  <si>
    <t>Regression Statistics</t>
  </si>
  <si>
    <t>Correlation</t>
  </si>
  <si>
    <t>Multiple R</t>
  </si>
  <si>
    <t>Coefficient of Determination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</si>
  <si>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</si>
  <si>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</si>
  <si>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</si>
  <si>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</si>
  <si>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</si>
  <si>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</si>
  <si>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</si>
  <si>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</si>
  <si>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</si>
  <si>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</si>
  <si>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</si>
  <si>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</si>
  <si>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</si>
  <si>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</si>
  <si>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</si>
  <si>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</si>
  <si>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</si>
  <si>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</si>
  <si>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b0</t>
  </si>
  <si>
    <t>Intercept</t>
  </si>
  <si>
    <t>b1</t>
  </si>
  <si>
    <t>X Variable 1</t>
  </si>
  <si>
    <t>ST</t>
  </si>
  <si>
    <t>Ybar</t>
  </si>
  <si>
    <t>SSE</t>
  </si>
  <si>
    <t>SST</t>
  </si>
  <si>
    <t>SSR</t>
  </si>
  <si>
    <t>Std.S</t>
  </si>
  <si>
    <t>(E-MeanE)^2</t>
  </si>
  <si>
    <t>Beta=</t>
  </si>
  <si>
    <t>alpha=</t>
  </si>
  <si>
    <t>ES-Forc</t>
  </si>
  <si>
    <t>Trens</t>
  </si>
  <si>
    <t>ES-Level</t>
  </si>
  <si>
    <t>Level</t>
  </si>
  <si>
    <t>Statistics</t>
  </si>
  <si>
    <t>Set 1</t>
  </si>
  <si>
    <t>Set 2</t>
  </si>
  <si>
    <t>Set 3</t>
  </si>
  <si>
    <t>Range/Mean</t>
  </si>
  <si>
    <t>Centered-MA</t>
  </si>
  <si>
    <t>R2</t>
  </si>
  <si>
    <t>Reg-Cen-MA</t>
  </si>
  <si>
    <t>Index</t>
  </si>
  <si>
    <t>Season</t>
  </si>
  <si>
    <t>Normlized Index</t>
  </si>
  <si>
    <t>Forecast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</si>
  <si>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</si>
  <si>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</si>
  <si>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</si>
  <si>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</si>
  <si>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</si>
  <si>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</si>
  <si>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</si>
  <si>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</si>
  <si>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 xml:space="preserve">The Lectre </t>
  </si>
  <si>
    <t>https://www.youtube.com/watch?v=VxYX8t5OZNc&amp;t=2s</t>
  </si>
  <si>
    <t>1. Use centered moving average to remove seasonality</t>
  </si>
  <si>
    <t>2. Apply regression analysis on the seasonality removed data (centered moving average)</t>
  </si>
  <si>
    <t>3. Divide data of each period by the data obtained using the regression line to find the index for that period</t>
  </si>
  <si>
    <t>4. Average the indices for each period</t>
  </si>
  <si>
    <t>5. Normalize the indices</t>
  </si>
  <si>
    <t>6. Apply the indices on the regression line</t>
  </si>
  <si>
    <t>Norm(Poiss)</t>
  </si>
  <si>
    <t>Small</t>
  </si>
  <si>
    <t>Data</t>
  </si>
  <si>
    <t>Rand()</t>
  </si>
  <si>
    <t>NoTrend</t>
  </si>
  <si>
    <t>Set 4</t>
  </si>
  <si>
    <t>NoTrenSeas</t>
  </si>
  <si>
    <t>Stationary</t>
  </si>
  <si>
    <t>Seas-No-Trend</t>
  </si>
  <si>
    <t>DataSeas</t>
  </si>
  <si>
    <t>SeasNoTrend</t>
  </si>
  <si>
    <t>SEasFac</t>
  </si>
  <si>
    <t>Ft</t>
  </si>
  <si>
    <t>Et</t>
  </si>
  <si>
    <t>|Et|</t>
  </si>
  <si>
    <t>E2</t>
  </si>
  <si>
    <t>|E|/At</t>
  </si>
  <si>
    <t>MSE</t>
  </si>
  <si>
    <t>MAPE</t>
  </si>
  <si>
    <t>alpha</t>
  </si>
  <si>
    <t>TrendData</t>
  </si>
  <si>
    <t>Bias</t>
  </si>
  <si>
    <t>Seasonality</t>
  </si>
  <si>
    <t>The Forecast for New Level is the Previous Lever + Previous Trend</t>
  </si>
  <si>
    <t>Actual Seasonality is demand divided by the current lever</t>
  </si>
  <si>
    <t>Initial Trend is the difference between the average of the last N periods and minus the average of the first N periods divided by N(K-1) where K is the number of the repeated N periods</t>
  </si>
  <si>
    <t>Starting level is the average of the first N periods (when N is periodicity)</t>
  </si>
  <si>
    <t>Initial Seasonality are the sensualities of the first N periods</t>
  </si>
  <si>
    <t>Actual for Level id Actual Data divided by Seasonality of N Period ago</t>
  </si>
  <si>
    <t>Actual Trend is the difference between current Level and previous Level</t>
  </si>
  <si>
    <t>Forecast Trend the  previous trend</t>
  </si>
  <si>
    <t>Forecast Seasonality is current demand divided by current level</t>
  </si>
  <si>
    <t>N</t>
  </si>
  <si>
    <t>Lower 95.0%</t>
  </si>
  <si>
    <t>Upper 95.0%</t>
  </si>
  <si>
    <t>X Variable 2</t>
  </si>
  <si>
    <t>X Variable 3</t>
  </si>
  <si>
    <t>X Variable 4</t>
  </si>
  <si>
    <t>X Variable 5</t>
  </si>
  <si>
    <t>Periodicity = N = 4 here</t>
  </si>
  <si>
    <t>L0: INTERCEPT</t>
  </si>
  <si>
    <t>T0: SLOPE</t>
  </si>
  <si>
    <t>Initial Seasonality for the first N periods are Demand divided by the average of the first N periods</t>
  </si>
  <si>
    <t>Actual for Level is Actual Data divided by Seasonality of N Period ago</t>
  </si>
  <si>
    <t>Forecast Trend is (1-Beta) multiplied the  previous trend forecast + Beta time the acyal trend (the difference between current level and previous level)</t>
  </si>
  <si>
    <t>Actual Seasonality is current demand divided by the current level</t>
  </si>
  <si>
    <t>Forecast Seasonality is (1-Gamma) times seasonality of P periods agoi  plus Gamma times Actual Seasonality</t>
  </si>
  <si>
    <t>Centered.MA</t>
  </si>
  <si>
    <t>Deseas.Reg</t>
  </si>
  <si>
    <t>Seas.Ind</t>
  </si>
  <si>
    <t>SeasInd</t>
  </si>
  <si>
    <t>SeasIndAdj</t>
  </si>
  <si>
    <t>Beta</t>
  </si>
  <si>
    <t>Gamma</t>
  </si>
  <si>
    <t>Alpha</t>
  </si>
  <si>
    <t>|E|/A</t>
  </si>
  <si>
    <t>Ft (Stat.Reg)</t>
  </si>
  <si>
    <t>Ft(TrSeasAdjExpSmoo</t>
  </si>
  <si>
    <t>a</t>
  </si>
  <si>
    <t>p</t>
  </si>
  <si>
    <t>b</t>
  </si>
  <si>
    <t>g</t>
  </si>
  <si>
    <t>TrenSeasAdjust-Ave</t>
  </si>
  <si>
    <t>F-L</t>
  </si>
  <si>
    <t>A-L</t>
  </si>
  <si>
    <t>F-T</t>
  </si>
  <si>
    <t>A-T</t>
  </si>
  <si>
    <t>F-S</t>
  </si>
  <si>
    <t>A-S</t>
  </si>
  <si>
    <t>S1</t>
  </si>
  <si>
    <t>S2</t>
  </si>
  <si>
    <t>S3</t>
  </si>
  <si>
    <t>S4</t>
  </si>
  <si>
    <t>T</t>
  </si>
  <si>
    <t>t</t>
  </si>
  <si>
    <t>Ft (1P)</t>
  </si>
  <si>
    <t>Ft (AllP)</t>
  </si>
  <si>
    <t>Ft (2P)</t>
  </si>
  <si>
    <t>Ft (8P)</t>
  </si>
  <si>
    <t>Lecture is Recorded at</t>
  </si>
  <si>
    <t>https://youtu.be/GICffBJLrsg</t>
  </si>
  <si>
    <t>E4=AVERAGE($C$3:C3) is correct</t>
  </si>
  <si>
    <t>Alternative MAs</t>
  </si>
  <si>
    <t>Average</t>
  </si>
  <si>
    <t>Ramge</t>
  </si>
  <si>
    <t>Rnge/Median</t>
  </si>
  <si>
    <t>Ft (6P)</t>
  </si>
  <si>
    <t>E=A-F</t>
  </si>
  <si>
    <t>LCL</t>
  </si>
  <si>
    <t>UCL</t>
  </si>
  <si>
    <t>Center</t>
  </si>
  <si>
    <t>F51 (Mean)</t>
  </si>
  <si>
    <t>StdDev F51</t>
  </si>
  <si>
    <r>
      <t>E</t>
    </r>
    <r>
      <rPr>
        <b/>
        <vertAlign val="superscript"/>
        <sz val="11"/>
        <color rgb="FFFF0000"/>
        <rFont val="Calibri"/>
        <family val="2"/>
        <scheme val="minor"/>
      </rPr>
      <t>2</t>
    </r>
  </si>
  <si>
    <t>F51</t>
  </si>
  <si>
    <t>StdDevF51</t>
  </si>
  <si>
    <t>MARD(MAPE)</t>
  </si>
  <si>
    <t>MARD(MAPE)-Std</t>
  </si>
  <si>
    <t>Z(alpha/2)</t>
  </si>
  <si>
    <t>Margin of Error for (1-alpha)</t>
  </si>
  <si>
    <t>MA</t>
  </si>
  <si>
    <t>Ass up the demand. If it is very close to a straight line, then it is Stationary. Stationary means no trend, no Seasonality.</t>
  </si>
  <si>
    <t>Non-Stationary</t>
  </si>
  <si>
    <t>SUM(At)</t>
  </si>
  <si>
    <t>Historical</t>
  </si>
  <si>
    <t>Poisson Fit</t>
  </si>
  <si>
    <t>PossFitCum</t>
  </si>
  <si>
    <t>Normal Fit</t>
  </si>
  <si>
    <t>NormFitCum</t>
  </si>
  <si>
    <t>Independent Variable: Not Time</t>
  </si>
  <si>
    <t>Linear or Non-Linear</t>
  </si>
  <si>
    <t>Independent Variable: Time</t>
  </si>
  <si>
    <t>More Than Two Variables</t>
  </si>
  <si>
    <t>Two Variables</t>
  </si>
  <si>
    <t>E-11 means 1/(10^11) = 1/100000000000= 0.00000000001</t>
  </si>
  <si>
    <t>E11 means 10^11 = 100000000000</t>
  </si>
  <si>
    <t>We want is less that .05</t>
  </si>
  <si>
    <t>Regression  Line</t>
  </si>
  <si>
    <t>Standard Error =1491.58</t>
  </si>
  <si>
    <t>x</t>
  </si>
  <si>
    <t>The standard Deviation is</t>
  </si>
  <si>
    <t>With an average of</t>
  </si>
  <si>
    <t>has Normal Distribution</t>
  </si>
  <si>
    <t>The forecast for the next period</t>
  </si>
  <si>
    <t>In Statistics, foe each estimate (b0 and b1) we lose one degree of freedom</t>
  </si>
  <si>
    <t>The NEXT period is period 29. We can forecast for period 29 and all other future periods</t>
  </si>
  <si>
    <t>It is not average =SUM/N, it is SUM/N-2)</t>
  </si>
  <si>
    <t xml:space="preserve">The number of periods is 28, therefore, if we have started  from period 1, </t>
  </si>
  <si>
    <t>Standard Error is "almost" SQRT(MSE)</t>
  </si>
  <si>
    <t>Standard Error Serves the same purpose as 1,25MAD and SQRT(MSE)</t>
  </si>
  <si>
    <t>Regression Minimizes MSE</t>
  </si>
  <si>
    <t>Standard Error is the standard deviation of our forecast. The smaller the better</t>
  </si>
  <si>
    <t>To know if the line had + or - slope we look at X Variable 1 or Multiple R</t>
  </si>
  <si>
    <t xml:space="preserve">Coefficient of Determination. The closer to 1 the better. </t>
  </si>
  <si>
    <t xml:space="preserve">Correlation Coefficient (-1 to +1). The closer to 1 or -1 the better. </t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</si>
  <si>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≈0</t>
    </r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</si>
  <si>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</t>
    </r>
    <r>
      <rPr>
        <b/>
        <sz val="11"/>
        <color theme="1"/>
        <rFont val="Book Antiqua"/>
        <family val="1"/>
      </rPr>
      <t>1, R&lt;1</t>
    </r>
    <r>
      <rPr>
        <sz val="11"/>
        <color theme="1"/>
        <rFont val="Calibri"/>
        <family val="2"/>
        <scheme val="minor"/>
      </rPr>
      <t/>
    </r>
  </si>
  <si>
    <r>
      <t>R</t>
    </r>
    <r>
      <rPr>
        <b/>
        <vertAlign val="superscript"/>
        <sz val="11"/>
        <color theme="1"/>
        <rFont val="Book Antiqua"/>
        <family val="1"/>
      </rPr>
      <t>2</t>
    </r>
    <r>
      <rPr>
        <b/>
        <sz val="11"/>
        <color theme="1"/>
        <rFont val="Calibri"/>
        <family val="2"/>
      </rPr>
      <t>≈</t>
    </r>
    <r>
      <rPr>
        <b/>
        <sz val="11"/>
        <color theme="1"/>
        <rFont val="Book Antiqua"/>
        <family val="1"/>
      </rPr>
      <t>1, R&gt;0</t>
    </r>
  </si>
  <si>
    <t>Total Cost</t>
  </si>
  <si>
    <t xml:space="preserve">Production </t>
  </si>
  <si>
    <t>TC</t>
  </si>
  <si>
    <t>Q</t>
  </si>
  <si>
    <t>MaxQ</t>
  </si>
  <si>
    <t>MaxP</t>
  </si>
  <si>
    <t>STEYX</t>
  </si>
  <si>
    <t>RSQ</t>
  </si>
  <si>
    <t>Slope</t>
  </si>
  <si>
    <t xml:space="preserve">Total Production Cost (dollars) </t>
  </si>
  <si>
    <t>Price (dollars)</t>
  </si>
  <si>
    <t>Volume of Production</t>
  </si>
  <si>
    <t>R-Square</t>
  </si>
  <si>
    <t>SUM/(n-2)</t>
  </si>
  <si>
    <t>SUM</t>
  </si>
  <si>
    <t>(tA-AtAve)^2</t>
  </si>
  <si>
    <t>AtAve</t>
  </si>
  <si>
    <t>(At-Ft)^2</t>
  </si>
  <si>
    <t>TP</t>
  </si>
  <si>
    <t>V</t>
  </si>
  <si>
    <t>TR</t>
  </si>
  <si>
    <t>P</t>
  </si>
  <si>
    <t>Price (dollars)- Demand Curve</t>
  </si>
  <si>
    <t>Given the following two sets of data on demand and costs, find (Total Revenue maximization point. Total Profit maximization point. Both Break-Even Points.</t>
  </si>
  <si>
    <t>Lt</t>
  </si>
  <si>
    <t>Tt</t>
  </si>
  <si>
    <t>St</t>
  </si>
  <si>
    <t>p=</t>
  </si>
  <si>
    <t>L0</t>
  </si>
  <si>
    <r>
      <t>L1 = (1-α)(L0+T0)+</t>
    </r>
    <r>
      <rPr>
        <sz val="11"/>
        <color theme="1"/>
        <rFont val="Calibri"/>
        <family val="2"/>
      </rPr>
      <t>α(D1/S1)</t>
    </r>
  </si>
  <si>
    <r>
      <t>L2 = (1-α)(L1+T1)+</t>
    </r>
    <r>
      <rPr>
        <sz val="11"/>
        <color theme="1"/>
        <rFont val="Calibri"/>
        <family val="2"/>
      </rPr>
      <t>α(D2/S2)</t>
    </r>
  </si>
  <si>
    <r>
      <t>L3 = (1-α)(L2+T2)+</t>
    </r>
    <r>
      <rPr>
        <sz val="11"/>
        <color theme="1"/>
        <rFont val="Calibri"/>
        <family val="2"/>
      </rPr>
      <t>α(D3/S3)</t>
    </r>
  </si>
  <si>
    <r>
      <t>L4 = (1-α)(L3+T3)+</t>
    </r>
    <r>
      <rPr>
        <sz val="11"/>
        <color theme="1"/>
        <rFont val="Calibri"/>
        <family val="2"/>
      </rPr>
      <t>α(D4/S4)</t>
    </r>
  </si>
  <si>
    <t>T0</t>
  </si>
  <si>
    <r>
      <t xml:space="preserve">T1 =(1- β)T0+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(L1-L0)</t>
    </r>
  </si>
  <si>
    <r>
      <t xml:space="preserve">T2=(1- β)T1+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(L2-L1)</t>
    </r>
  </si>
  <si>
    <r>
      <t xml:space="preserve">T3=(1- β)T2+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(L3-L2)</t>
    </r>
  </si>
  <si>
    <r>
      <t xml:space="preserve">T4=(1- β)T3+ </t>
    </r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scheme val="minor"/>
      </rPr>
      <t>(L4-L3)</t>
    </r>
  </si>
  <si>
    <t>F2=(L1+T1)S2=</t>
  </si>
  <si>
    <t>F3=(L2+T2)S3</t>
  </si>
  <si>
    <t>F4=(L3+T3)S4</t>
  </si>
  <si>
    <t>F5=(L4+T4)S5</t>
  </si>
  <si>
    <r>
      <t>S5=(1-γ)S1+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(D1/(L0+T0))</t>
    </r>
  </si>
  <si>
    <r>
      <t>S6=(1-γ)S2+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(D2/(L1+T1)</t>
    </r>
  </si>
  <si>
    <r>
      <t>S7=(1-γ)S3+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(D3/(L2+T2)</t>
    </r>
  </si>
  <si>
    <r>
      <t>S8=(1-γ)S4+</t>
    </r>
    <r>
      <rPr>
        <sz val="11"/>
        <color theme="1"/>
        <rFont val="Symbol"/>
        <family val="1"/>
        <charset val="2"/>
      </rPr>
      <t>g*</t>
    </r>
    <r>
      <rPr>
        <sz val="11"/>
        <color theme="1"/>
        <rFont val="Calibri"/>
        <family val="2"/>
      </rPr>
      <t>(D4/(L3</t>
    </r>
    <r>
      <rPr>
        <sz val="11"/>
        <color theme="1"/>
        <rFont val="Calibri"/>
        <family val="2"/>
        <scheme val="minor"/>
      </rPr>
      <t>+T3)</t>
    </r>
  </si>
  <si>
    <t>F1</t>
  </si>
  <si>
    <t>`</t>
  </si>
  <si>
    <t>α=</t>
  </si>
  <si>
    <t>β=</t>
  </si>
  <si>
    <t>γ=</t>
  </si>
  <si>
    <t>Min How Many Width</t>
  </si>
  <si>
    <t>At (Data)</t>
  </si>
  <si>
    <t>Simple ES</t>
  </si>
  <si>
    <t>TrenAdjES</t>
  </si>
  <si>
    <t>R = +SQRT(0.95)= 0.90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</si>
</sst>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.000000"/>
    <numFmt numFmtId="168" formatCode="0.000000000"/>
    <numFmt numFmtId="169" formatCode="0.00000000"/>
  </numFmts>
  <fonts count="53" x14ac:knownFonts="1"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  <font>
      <sz val="11"/>
      <color theme="0"/>
      <name val="Book Antiqua"/>
      <family val="1"/>
    </font>
    <font>
      <sz val="11"/>
      <color theme="0"/>
      <name val="Calibri"/>
      <family val="2"/>
      <scheme val="minor"/>
    </font>
    <font>
      <b/>
      <sz val="10"/>
      <name val="Symbol"/>
      <family val="1"/>
      <charset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Book Antiqua"/>
      <family val="1"/>
    </font>
    <font>
      <sz val="8"/>
      <name val="Calibri"/>
      <family val="2"/>
      <scheme val="minor"/>
    </font>
    <font>
      <b/>
      <sz val="11"/>
      <color rgb="FF00B050"/>
      <name val="Book Antiqua"/>
      <family val="1"/>
    </font>
    <font>
      <b/>
      <sz val="11"/>
      <color rgb="FFC00000"/>
      <name val="Book Antiqua"/>
      <family val="1"/>
    </font>
    <font>
      <b/>
      <sz val="20"/>
      <color theme="0"/>
      <name val="Book Antiqua"/>
      <family val="1"/>
    </font>
    <font>
      <b/>
      <u/>
      <sz val="20"/>
      <color theme="10"/>
      <name val="Book Antiqua"/>
      <family val="1"/>
    </font>
    <font>
      <b/>
      <sz val="20"/>
      <color theme="1"/>
      <name val="Book Antiqua"/>
      <family val="1"/>
    </font>
    <font>
      <sz val="20"/>
      <color theme="1"/>
      <name val="Book Antiqua"/>
      <family val="1"/>
    </font>
    <font>
      <sz val="14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1"/>
      <color theme="0"/>
      <name val="Book Antiqua"/>
      <family val="1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sz val="12"/>
      <color theme="1"/>
      <name val="Book Antiqua"/>
      <family val="1"/>
    </font>
    <font>
      <b/>
      <sz val="12"/>
      <name val="Book Antiqua"/>
      <family val="1"/>
    </font>
    <font>
      <b/>
      <sz val="12"/>
      <color theme="0"/>
      <name val="Book Antiqua"/>
      <family val="1"/>
    </font>
    <font>
      <sz val="12"/>
      <name val="Book Antiqua"/>
      <family val="1"/>
    </font>
    <font>
      <sz val="12"/>
      <color rgb="FFC00000"/>
      <name val="Book Antiqua"/>
      <family val="1"/>
    </font>
    <font>
      <b/>
      <sz val="12"/>
      <color rgb="FF00B050"/>
      <name val="Book Antiqua"/>
      <family val="1"/>
    </font>
    <font>
      <i/>
      <sz val="12"/>
      <color theme="1"/>
      <name val="Book Antiqua"/>
      <family val="1"/>
    </font>
    <font>
      <i/>
      <sz val="12"/>
      <name val="Book Antiqua"/>
      <family val="1"/>
    </font>
    <font>
      <b/>
      <vertAlign val="superscript"/>
      <sz val="11"/>
      <color theme="1"/>
      <name val="Book Antiqua"/>
      <family val="1"/>
    </font>
    <font>
      <b/>
      <sz val="11"/>
      <color theme="1"/>
      <name val="Calibri"/>
      <family val="2"/>
    </font>
    <font>
      <sz val="11"/>
      <color rgb="FF00B050"/>
      <name val="Book Antiqua"/>
      <family val="1"/>
    </font>
    <font>
      <sz val="11"/>
      <color rgb="FFC00000"/>
      <name val="Book Antiqua"/>
      <family val="1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Symbol"/>
      <family val="1"/>
      <charset val="2"/>
    </font>
  </fonts>
  <fills count="2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0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/>
    <xf numFmtId="1" fontId="3" fillId="0" borderId="0" xfId="2" applyNumberFormat="1" applyBorder="1" applyAlignment="1">
      <alignment horizontal="center"/>
    </xf>
    <xf numFmtId="0" fontId="4" fillId="0" borderId="0" xfId="1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6" fillId="0" borderId="16" xfId="0" applyFont="1" applyFill="1" applyBorder="1" applyAlignment="1">
      <alignment horizontal="centerContinuous"/>
    </xf>
    <xf numFmtId="0" fontId="7" fillId="0" borderId="0" xfId="0" applyFont="1" applyAlignment="1">
      <alignment horizontal="right"/>
    </xf>
    <xf numFmtId="0" fontId="7" fillId="0" borderId="0" xfId="0" applyFont="1" applyFill="1" applyBorder="1" applyAlignment="1"/>
    <xf numFmtId="2" fontId="7" fillId="0" borderId="0" xfId="0" applyNumberFormat="1" applyFont="1" applyFill="1" applyBorder="1" applyAlignment="1"/>
    <xf numFmtId="0" fontId="1" fillId="0" borderId="0" xfId="0" applyFo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7" fillId="0" borderId="14" xfId="0" applyFont="1" applyFill="1" applyBorder="1" applyAlignment="1"/>
    <xf numFmtId="0" fontId="6" fillId="0" borderId="16" xfId="0" applyFont="1" applyFill="1" applyBorder="1" applyAlignment="1">
      <alignment horizontal="center"/>
    </xf>
    <xf numFmtId="0" fontId="0" fillId="0" borderId="14" xfId="0" applyFill="1" applyBorder="1" applyAlignment="1"/>
    <xf numFmtId="2" fontId="0" fillId="0" borderId="14" xfId="0" applyNumberFormat="1" applyFill="1" applyBorder="1" applyAlignment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left"/>
    </xf>
    <xf numFmtId="164" fontId="0" fillId="5" borderId="5" xfId="0" applyNumberForma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3" fillId="0" borderId="0" xfId="2" applyNumberFormat="1" applyAlignment="1">
      <alignment horizontal="center"/>
    </xf>
    <xf numFmtId="164" fontId="3" fillId="9" borderId="0" xfId="2" applyNumberFormat="1" applyFill="1" applyAlignment="1">
      <alignment horizontal="left"/>
    </xf>
    <xf numFmtId="1" fontId="3" fillId="0" borderId="0" xfId="2" applyNumberFormat="1" applyAlignment="1">
      <alignment horizontal="left"/>
    </xf>
    <xf numFmtId="164" fontId="3" fillId="0" borderId="0" xfId="2" applyNumberFormat="1" applyAlignment="1">
      <alignment horizontal="left"/>
    </xf>
    <xf numFmtId="1" fontId="3" fillId="0" borderId="0" xfId="2" applyNumberFormat="1" applyBorder="1" applyAlignment="1">
      <alignment horizontal="left"/>
    </xf>
    <xf numFmtId="164" fontId="8" fillId="8" borderId="0" xfId="2" applyNumberFormat="1" applyFont="1" applyFill="1"/>
    <xf numFmtId="166" fontId="8" fillId="8" borderId="0" xfId="2" applyNumberFormat="1" applyFont="1" applyFill="1"/>
    <xf numFmtId="0" fontId="3" fillId="0" borderId="0" xfId="2" applyFont="1" applyAlignment="1">
      <alignment horizontal="center"/>
    </xf>
    <xf numFmtId="0" fontId="3" fillId="9" borderId="0" xfId="2" applyFont="1" applyFill="1" applyAlignment="1">
      <alignment horizontal="center"/>
    </xf>
    <xf numFmtId="0" fontId="3" fillId="10" borderId="0" xfId="2" applyFont="1" applyFill="1" applyAlignment="1">
      <alignment horizontal="center"/>
    </xf>
    <xf numFmtId="0" fontId="3" fillId="0" borderId="0" xfId="2" applyFont="1" applyAlignment="1">
      <alignment horizontal="right"/>
    </xf>
    <xf numFmtId="1" fontId="3" fillId="0" borderId="0" xfId="2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164" fontId="5" fillId="6" borderId="9" xfId="0" applyNumberFormat="1" applyFon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68" fontId="1" fillId="0" borderId="0" xfId="0" applyNumberFormat="1" applyFont="1"/>
    <xf numFmtId="2" fontId="7" fillId="0" borderId="14" xfId="0" applyNumberFormat="1" applyFont="1" applyFill="1" applyBorder="1" applyAlignment="1">
      <alignment horizontal="center"/>
    </xf>
    <xf numFmtId="0" fontId="4" fillId="0" borderId="0" xfId="1" applyFont="1"/>
    <xf numFmtId="0" fontId="9" fillId="4" borderId="0" xfId="1" applyFont="1" applyFill="1"/>
    <xf numFmtId="0" fontId="4" fillId="4" borderId="0" xfId="1" applyFont="1" applyFill="1" applyAlignment="1">
      <alignment horizontal="right"/>
    </xf>
    <xf numFmtId="0" fontId="4" fillId="4" borderId="0" xfId="1" applyFont="1" applyFill="1" applyAlignment="1">
      <alignment horizontal="left"/>
    </xf>
    <xf numFmtId="0" fontId="4" fillId="0" borderId="11" xfId="1" applyFont="1" applyFill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10" fillId="0" borderId="0" xfId="2" applyFont="1"/>
    <xf numFmtId="0" fontId="10" fillId="0" borderId="0" xfId="2" quotePrefix="1" applyFont="1"/>
    <xf numFmtId="0" fontId="12" fillId="0" borderId="0" xfId="1" applyFont="1"/>
    <xf numFmtId="0" fontId="4" fillId="5" borderId="0" xfId="1" applyFont="1" applyFill="1"/>
    <xf numFmtId="0" fontId="4" fillId="0" borderId="10" xfId="1" applyFont="1" applyBorder="1" applyAlignment="1">
      <alignment horizontal="left"/>
    </xf>
    <xf numFmtId="0" fontId="4" fillId="3" borderId="12" xfId="1" applyFont="1" applyFill="1" applyBorder="1" applyAlignment="1">
      <alignment horizontal="center"/>
    </xf>
    <xf numFmtId="0" fontId="4" fillId="6" borderId="12" xfId="1" applyFont="1" applyFill="1" applyBorder="1" applyAlignment="1">
      <alignment horizontal="center"/>
    </xf>
    <xf numFmtId="0" fontId="4" fillId="7" borderId="11" xfId="1" applyFont="1" applyFill="1" applyBorder="1" applyAlignment="1">
      <alignment horizontal="center"/>
    </xf>
    <xf numFmtId="0" fontId="10" fillId="0" borderId="0" xfId="2" applyFont="1" applyFill="1"/>
    <xf numFmtId="0" fontId="10" fillId="0" borderId="2" xfId="2" applyFont="1" applyBorder="1" applyAlignment="1">
      <alignment horizontal="center"/>
    </xf>
    <xf numFmtId="1" fontId="10" fillId="0" borderId="2" xfId="2" applyNumberFormat="1" applyFont="1" applyFill="1" applyBorder="1" applyAlignment="1">
      <alignment horizontal="center"/>
    </xf>
    <xf numFmtId="1" fontId="10" fillId="0" borderId="3" xfId="2" applyNumberFormat="1" applyFont="1" applyBorder="1" applyAlignment="1">
      <alignment horizontal="center"/>
    </xf>
    <xf numFmtId="1" fontId="10" fillId="0" borderId="13" xfId="2" applyNumberFormat="1" applyFont="1" applyBorder="1" applyAlignment="1">
      <alignment horizontal="center"/>
    </xf>
    <xf numFmtId="2" fontId="10" fillId="0" borderId="13" xfId="2" applyNumberFormat="1" applyFont="1" applyBorder="1" applyAlignment="1">
      <alignment horizontal="center"/>
    </xf>
    <xf numFmtId="2" fontId="10" fillId="0" borderId="3" xfId="2" applyNumberFormat="1" applyFont="1" applyBorder="1" applyAlignment="1">
      <alignment horizontal="center"/>
    </xf>
    <xf numFmtId="0" fontId="4" fillId="3" borderId="0" xfId="1" applyFont="1" applyFill="1" applyAlignment="1">
      <alignment horizontal="center"/>
    </xf>
    <xf numFmtId="0" fontId="4" fillId="6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0" fillId="0" borderId="4" xfId="2" applyFont="1" applyBorder="1" applyAlignment="1">
      <alignment horizontal="center"/>
    </xf>
    <xf numFmtId="1" fontId="10" fillId="0" borderId="4" xfId="2" applyNumberFormat="1" applyFont="1" applyBorder="1" applyAlignment="1">
      <alignment horizontal="center"/>
    </xf>
    <xf numFmtId="1" fontId="10" fillId="0" borderId="5" xfId="2" applyNumberFormat="1" applyFont="1" applyBorder="1" applyAlignment="1">
      <alignment horizontal="center"/>
    </xf>
    <xf numFmtId="1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center"/>
    </xf>
    <xf numFmtId="2" fontId="10" fillId="0" borderId="5" xfId="2" applyNumberFormat="1" applyFont="1" applyBorder="1" applyAlignment="1">
      <alignment horizontal="center"/>
    </xf>
    <xf numFmtId="0" fontId="4" fillId="0" borderId="0" xfId="4" applyFont="1"/>
    <xf numFmtId="0" fontId="10" fillId="0" borderId="6" xfId="2" applyFont="1" applyBorder="1" applyAlignment="1">
      <alignment horizontal="center"/>
    </xf>
    <xf numFmtId="1" fontId="10" fillId="0" borderId="6" xfId="2" applyNumberFormat="1" applyFont="1" applyBorder="1" applyAlignment="1">
      <alignment horizontal="center"/>
    </xf>
    <xf numFmtId="1" fontId="10" fillId="0" borderId="7" xfId="2" applyNumberFormat="1" applyFont="1" applyBorder="1" applyAlignment="1">
      <alignment horizontal="center"/>
    </xf>
    <xf numFmtId="1" fontId="10" fillId="0" borderId="14" xfId="2" applyNumberFormat="1" applyFont="1" applyBorder="1" applyAlignment="1">
      <alignment horizontal="center"/>
    </xf>
    <xf numFmtId="2" fontId="10" fillId="0" borderId="14" xfId="2" applyNumberFormat="1" applyFont="1" applyBorder="1" applyAlignment="1">
      <alignment horizontal="center"/>
    </xf>
    <xf numFmtId="2" fontId="10" fillId="0" borderId="7" xfId="2" applyNumberFormat="1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3" fillId="0" borderId="8" xfId="2" applyFont="1" applyFill="1" applyBorder="1"/>
    <xf numFmtId="0" fontId="13" fillId="0" borderId="9" xfId="2" applyFont="1" applyFill="1" applyBorder="1"/>
    <xf numFmtId="0" fontId="13" fillId="0" borderId="15" xfId="2" applyFont="1" applyFill="1" applyBorder="1"/>
    <xf numFmtId="0" fontId="10" fillId="0" borderId="10" xfId="2" applyFont="1" applyBorder="1"/>
    <xf numFmtId="0" fontId="10" fillId="0" borderId="11" xfId="2" applyFont="1" applyBorder="1"/>
    <xf numFmtId="0" fontId="10" fillId="0" borderId="1" xfId="2" applyFont="1" applyBorder="1"/>
    <xf numFmtId="0" fontId="10" fillId="12" borderId="0" xfId="2" applyFont="1" applyFill="1"/>
    <xf numFmtId="0" fontId="14" fillId="15" borderId="0" xfId="2" applyFont="1" applyFill="1" applyAlignment="1">
      <alignment horizontal="center" vertical="center"/>
    </xf>
    <xf numFmtId="164" fontId="14" fillId="15" borderId="0" xfId="2" applyNumberFormat="1" applyFont="1" applyFill="1" applyAlignment="1">
      <alignment horizontal="center" vertical="center"/>
    </xf>
    <xf numFmtId="165" fontId="14" fillId="15" borderId="0" xfId="2" applyNumberFormat="1" applyFont="1" applyFill="1" applyAlignment="1">
      <alignment horizontal="center" vertical="center"/>
    </xf>
    <xf numFmtId="0" fontId="10" fillId="0" borderId="0" xfId="2" applyFont="1" applyAlignment="1">
      <alignment horizontal="left"/>
    </xf>
    <xf numFmtId="165" fontId="10" fillId="0" borderId="0" xfId="2" applyNumberFormat="1" applyFont="1" applyAlignment="1">
      <alignment horizontal="center"/>
    </xf>
    <xf numFmtId="1" fontId="14" fillId="14" borderId="0" xfId="2" applyNumberFormat="1" applyFont="1" applyFill="1" applyBorder="1" applyAlignment="1">
      <alignment horizontal="center"/>
    </xf>
    <xf numFmtId="164" fontId="14" fillId="11" borderId="0" xfId="2" applyNumberFormat="1" applyFont="1" applyFill="1" applyAlignment="1">
      <alignment horizontal="center"/>
    </xf>
    <xf numFmtId="2" fontId="10" fillId="0" borderId="0" xfId="2" applyNumberFormat="1" applyFont="1" applyAlignment="1">
      <alignment horizontal="center"/>
    </xf>
    <xf numFmtId="1" fontId="14" fillId="13" borderId="0" xfId="2" applyNumberFormat="1" applyFont="1" applyFill="1" applyAlignment="1">
      <alignment horizontal="center"/>
    </xf>
    <xf numFmtId="167" fontId="10" fillId="0" borderId="0" xfId="2" applyNumberFormat="1" applyFont="1" applyAlignment="1">
      <alignment horizontal="center"/>
    </xf>
    <xf numFmtId="2" fontId="11" fillId="2" borderId="0" xfId="2" applyNumberFormat="1" applyFont="1" applyFill="1" applyAlignment="1">
      <alignment horizontal="center"/>
    </xf>
    <xf numFmtId="0" fontId="10" fillId="0" borderId="0" xfId="2" applyFont="1" applyFill="1" applyBorder="1"/>
    <xf numFmtId="0" fontId="10" fillId="0" borderId="0" xfId="2" applyFont="1" applyFill="1" applyAlignment="1">
      <alignment horizontal="center"/>
    </xf>
    <xf numFmtId="0" fontId="10" fillId="0" borderId="9" xfId="2" applyFont="1" applyBorder="1"/>
    <xf numFmtId="0" fontId="10" fillId="2" borderId="0" xfId="2" applyFont="1" applyFill="1"/>
    <xf numFmtId="0" fontId="15" fillId="2" borderId="0" xfId="2" applyFont="1" applyFill="1"/>
    <xf numFmtId="0" fontId="15" fillId="0" borderId="0" xfId="2" applyFont="1" applyFill="1"/>
    <xf numFmtId="0" fontId="4" fillId="0" borderId="0" xfId="1" applyFont="1" applyFill="1"/>
    <xf numFmtId="0" fontId="11" fillId="0" borderId="8" xfId="2" applyFont="1" applyBorder="1" applyAlignment="1">
      <alignment horizontal="center"/>
    </xf>
    <xf numFmtId="1" fontId="10" fillId="0" borderId="8" xfId="2" applyNumberFormat="1" applyFont="1" applyBorder="1" applyAlignment="1">
      <alignment horizontal="center"/>
    </xf>
    <xf numFmtId="1" fontId="10" fillId="0" borderId="1" xfId="2" applyNumberFormat="1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4" fillId="0" borderId="0" xfId="1" applyFont="1" applyFill="1" applyAlignment="1">
      <alignment horizontal="left"/>
    </xf>
    <xf numFmtId="0" fontId="4" fillId="0" borderId="0" xfId="1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left"/>
    </xf>
    <xf numFmtId="166" fontId="10" fillId="0" borderId="0" xfId="2" applyNumberFormat="1" applyFont="1" applyAlignment="1">
      <alignment horizontal="center"/>
    </xf>
    <xf numFmtId="2" fontId="10" fillId="0" borderId="0" xfId="2" applyNumberFormat="1" applyFont="1" applyFill="1" applyAlignment="1">
      <alignment horizontal="center"/>
    </xf>
    <xf numFmtId="164" fontId="10" fillId="0" borderId="0" xfId="2" applyNumberFormat="1" applyFont="1" applyFill="1"/>
    <xf numFmtId="0" fontId="0" fillId="0" borderId="0" xfId="0" applyFill="1" applyAlignment="1">
      <alignment horizontal="right"/>
    </xf>
    <xf numFmtId="0" fontId="10" fillId="0" borderId="0" xfId="2" applyFont="1" applyFill="1" applyAlignment="1">
      <alignment horizontal="left"/>
    </xf>
    <xf numFmtId="166" fontId="0" fillId="0" borderId="0" xfId="0" applyNumberFormat="1" applyAlignment="1">
      <alignment horizontal="left"/>
    </xf>
    <xf numFmtId="1" fontId="11" fillId="2" borderId="0" xfId="2" applyNumberFormat="1" applyFont="1" applyFill="1" applyAlignment="1">
      <alignment horizontal="center"/>
    </xf>
    <xf numFmtId="1" fontId="14" fillId="15" borderId="0" xfId="2" applyNumberFormat="1" applyFont="1" applyFill="1" applyAlignment="1">
      <alignment horizontal="center" vertical="center"/>
    </xf>
    <xf numFmtId="0" fontId="4" fillId="0" borderId="10" xfId="1" applyFont="1" applyFill="1" applyBorder="1" applyAlignment="1">
      <alignment horizontal="left"/>
    </xf>
    <xf numFmtId="0" fontId="4" fillId="0" borderId="12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2" fontId="4" fillId="0" borderId="0" xfId="1" applyNumberFormat="1" applyFont="1" applyFill="1" applyAlignment="1">
      <alignment horizontal="center"/>
    </xf>
    <xf numFmtId="2" fontId="4" fillId="4" borderId="0" xfId="1" applyNumberFormat="1" applyFont="1" applyFill="1" applyAlignment="1">
      <alignment horizontal="center"/>
    </xf>
    <xf numFmtId="165" fontId="0" fillId="4" borderId="0" xfId="0" applyNumberFormat="1" applyFill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6" fillId="2" borderId="0" xfId="1" applyFont="1" applyFill="1" applyAlignment="1">
      <alignment horizontal="center"/>
    </xf>
    <xf numFmtId="0" fontId="16" fillId="16" borderId="11" xfId="1" applyFont="1" applyFill="1" applyBorder="1" applyAlignment="1">
      <alignment horizontal="center"/>
    </xf>
    <xf numFmtId="0" fontId="16" fillId="16" borderId="0" xfId="1" applyFont="1" applyFill="1" applyAlignment="1">
      <alignment horizontal="center"/>
    </xf>
    <xf numFmtId="0" fontId="4" fillId="6" borderId="11" xfId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/>
    </xf>
    <xf numFmtId="2" fontId="16" fillId="2" borderId="0" xfId="1" applyNumberFormat="1" applyFont="1" applyFill="1" applyBorder="1" applyAlignment="1">
      <alignment horizontal="center"/>
    </xf>
    <xf numFmtId="167" fontId="10" fillId="0" borderId="0" xfId="2" applyNumberFormat="1" applyFont="1"/>
    <xf numFmtId="0" fontId="16" fillId="0" borderId="0" xfId="1" applyFont="1" applyFill="1" applyBorder="1" applyAlignment="1">
      <alignment horizontal="center"/>
    </xf>
    <xf numFmtId="0" fontId="16" fillId="16" borderId="0" xfId="1" applyFont="1" applyFill="1" applyBorder="1" applyAlignment="1">
      <alignment horizontal="center"/>
    </xf>
    <xf numFmtId="2" fontId="16" fillId="16" borderId="0" xfId="1" applyNumberFormat="1" applyFont="1" applyFill="1" applyBorder="1" applyAlignment="1">
      <alignment horizontal="center"/>
    </xf>
    <xf numFmtId="2" fontId="16" fillId="17" borderId="0" xfId="1" applyNumberFormat="1" applyFont="1" applyFill="1" applyBorder="1" applyAlignment="1">
      <alignment horizontal="center"/>
    </xf>
    <xf numFmtId="165" fontId="16" fillId="14" borderId="0" xfId="1" applyNumberFormat="1" applyFont="1" applyFill="1" applyBorder="1" applyAlignment="1">
      <alignment horizontal="center"/>
    </xf>
    <xf numFmtId="1" fontId="16" fillId="14" borderId="0" xfId="1" applyNumberFormat="1" applyFont="1" applyFill="1" applyBorder="1" applyAlignment="1">
      <alignment horizontal="center"/>
    </xf>
    <xf numFmtId="2" fontId="16" fillId="14" borderId="0" xfId="1" applyNumberFormat="1" applyFont="1" applyFill="1" applyBorder="1" applyAlignment="1">
      <alignment horizontal="center"/>
    </xf>
    <xf numFmtId="169" fontId="16" fillId="14" borderId="0" xfId="1" applyNumberFormat="1" applyFont="1" applyFill="1" applyBorder="1" applyAlignment="1">
      <alignment horizontal="center"/>
    </xf>
    <xf numFmtId="2" fontId="10" fillId="0" borderId="0" xfId="2" applyNumberFormat="1" applyFont="1"/>
    <xf numFmtId="2" fontId="0" fillId="0" borderId="0" xfId="0" applyNumberFormat="1" applyAlignment="1">
      <alignment horizontal="left" vertical="top"/>
    </xf>
    <xf numFmtId="1" fontId="10" fillId="0" borderId="0" xfId="2" applyNumberFormat="1" applyFont="1" applyAlignment="1">
      <alignment horizontal="left" vertical="top"/>
    </xf>
    <xf numFmtId="2" fontId="10" fillId="0" borderId="0" xfId="2" applyNumberFormat="1" applyFont="1" applyAlignment="1">
      <alignment horizontal="center" vertical="top"/>
    </xf>
    <xf numFmtId="166" fontId="17" fillId="2" borderId="0" xfId="0" applyNumberFormat="1" applyFont="1" applyFill="1" applyAlignment="1">
      <alignment horizontal="center"/>
    </xf>
    <xf numFmtId="166" fontId="17" fillId="16" borderId="0" xfId="0" applyNumberFormat="1" applyFont="1" applyFill="1" applyAlignment="1">
      <alignment horizontal="center"/>
    </xf>
    <xf numFmtId="0" fontId="11" fillId="0" borderId="0" xfId="2" applyFont="1"/>
    <xf numFmtId="0" fontId="18" fillId="0" borderId="0" xfId="2" applyFont="1"/>
    <xf numFmtId="0" fontId="0" fillId="0" borderId="0" xfId="0" applyAlignment="1">
      <alignment horizontal="left" vertical="top"/>
    </xf>
    <xf numFmtId="165" fontId="4" fillId="0" borderId="0" xfId="1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16" fillId="18" borderId="0" xfId="1" applyFont="1" applyFill="1" applyBorder="1" applyAlignment="1">
      <alignment horizontal="center"/>
    </xf>
    <xf numFmtId="2" fontId="21" fillId="0" borderId="0" xfId="1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2" borderId="0" xfId="0" applyFont="1" applyFill="1"/>
    <xf numFmtId="0" fontId="26" fillId="0" borderId="0" xfId="5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4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2" fontId="24" fillId="0" borderId="0" xfId="0" applyNumberFormat="1" applyFont="1" applyAlignment="1">
      <alignment horizontal="center"/>
    </xf>
    <xf numFmtId="0" fontId="30" fillId="0" borderId="0" xfId="0" applyFont="1" applyAlignment="1">
      <alignment wrapText="1"/>
    </xf>
    <xf numFmtId="0" fontId="31" fillId="2" borderId="0" xfId="0" applyFont="1" applyFill="1"/>
    <xf numFmtId="2" fontId="31" fillId="2" borderId="0" xfId="0" applyNumberFormat="1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31" fillId="2" borderId="0" xfId="0" applyFont="1" applyFill="1" applyAlignment="1">
      <alignment horizontal="center"/>
    </xf>
    <xf numFmtId="2" fontId="31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2" fontId="7" fillId="0" borderId="0" xfId="0" applyNumberFormat="1" applyFont="1" applyAlignment="1">
      <alignment horizontal="center"/>
    </xf>
    <xf numFmtId="2" fontId="32" fillId="0" borderId="0" xfId="0" applyNumberFormat="1" applyFont="1" applyAlignment="1">
      <alignment horizontal="center"/>
    </xf>
    <xf numFmtId="2" fontId="33" fillId="0" borderId="0" xfId="0" applyNumberFormat="1" applyFont="1" applyAlignment="1">
      <alignment horizontal="center"/>
    </xf>
    <xf numFmtId="2" fontId="34" fillId="0" borderId="0" xfId="0" applyNumberFormat="1" applyFont="1" applyAlignment="1">
      <alignment horizontal="center"/>
    </xf>
    <xf numFmtId="2" fontId="19" fillId="2" borderId="0" xfId="0" applyNumberFormat="1" applyFont="1" applyFill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7" fillId="0" borderId="0" xfId="0" applyFont="1"/>
    <xf numFmtId="0" fontId="19" fillId="2" borderId="0" xfId="0" applyFont="1" applyFill="1"/>
    <xf numFmtId="2" fontId="19" fillId="2" borderId="0" xfId="0" applyNumberFormat="1" applyFont="1" applyFill="1" applyAlignment="1">
      <alignment horizontal="center"/>
    </xf>
    <xf numFmtId="2" fontId="19" fillId="0" borderId="0" xfId="0" applyNumberFormat="1" applyFont="1" applyAlignment="1">
      <alignment horizontal="center"/>
    </xf>
    <xf numFmtId="0" fontId="31" fillId="14" borderId="1" xfId="1" applyFont="1" applyFill="1" applyBorder="1" applyAlignment="1">
      <alignment horizontal="center"/>
    </xf>
    <xf numFmtId="0" fontId="31" fillId="14" borderId="9" xfId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0" fillId="0" borderId="0" xfId="2" applyNumberFormat="1" applyFont="1" applyAlignment="1">
      <alignment horizontal="center"/>
    </xf>
    <xf numFmtId="0" fontId="31" fillId="14" borderId="15" xfId="1" applyFont="1" applyFill="1" applyBorder="1" applyAlignment="1">
      <alignment horizontal="center"/>
    </xf>
    <xf numFmtId="0" fontId="11" fillId="0" borderId="13" xfId="2" applyFont="1" applyBorder="1" applyAlignment="1">
      <alignment horizontal="center"/>
    </xf>
    <xf numFmtId="1" fontId="10" fillId="0" borderId="2" xfId="2" applyNumberFormat="1" applyFont="1" applyBorder="1" applyAlignment="1">
      <alignment horizontal="center"/>
    </xf>
    <xf numFmtId="0" fontId="13" fillId="0" borderId="8" xfId="2" applyFont="1" applyBorder="1"/>
    <xf numFmtId="1" fontId="10" fillId="0" borderId="0" xfId="2" applyNumberFormat="1" applyFont="1" applyAlignment="1">
      <alignment horizontal="center"/>
    </xf>
    <xf numFmtId="0" fontId="13" fillId="0" borderId="9" xfId="2" applyFont="1" applyBorder="1"/>
    <xf numFmtId="0" fontId="13" fillId="0" borderId="15" xfId="2" applyFont="1" applyBorder="1"/>
    <xf numFmtId="0" fontId="36" fillId="0" borderId="0" xfId="0" applyFont="1"/>
    <xf numFmtId="0" fontId="36" fillId="0" borderId="0" xfId="0" applyFont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Continuous"/>
    </xf>
    <xf numFmtId="164" fontId="37" fillId="0" borderId="0" xfId="0" applyNumberFormat="1" applyFont="1" applyAlignment="1">
      <alignment horizontal="center"/>
    </xf>
    <xf numFmtId="0" fontId="36" fillId="0" borderId="0" xfId="0" applyFont="1" applyAlignment="1">
      <alignment horizontal="center" wrapText="1"/>
    </xf>
    <xf numFmtId="0" fontId="38" fillId="16" borderId="0" xfId="1" applyFont="1" applyFill="1" applyAlignment="1">
      <alignment horizontal="center"/>
    </xf>
    <xf numFmtId="164" fontId="39" fillId="0" borderId="0" xfId="0" applyNumberFormat="1" applyFont="1" applyAlignment="1">
      <alignment horizontal="center"/>
    </xf>
    <xf numFmtId="164" fontId="36" fillId="0" borderId="0" xfId="0" applyNumberFormat="1" applyFont="1" applyAlignment="1">
      <alignment horizontal="center"/>
    </xf>
    <xf numFmtId="2" fontId="39" fillId="0" borderId="0" xfId="0" applyNumberFormat="1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right"/>
    </xf>
    <xf numFmtId="0" fontId="39" fillId="0" borderId="0" xfId="0" applyFont="1"/>
    <xf numFmtId="0" fontId="36" fillId="0" borderId="14" xfId="0" applyFont="1" applyBorder="1"/>
    <xf numFmtId="0" fontId="40" fillId="0" borderId="14" xfId="0" applyFont="1" applyBorder="1"/>
    <xf numFmtId="2" fontId="41" fillId="0" borderId="14" xfId="0" applyNumberFormat="1" applyFont="1" applyBorder="1"/>
    <xf numFmtId="0" fontId="41" fillId="0" borderId="14" xfId="0" applyFont="1" applyBorder="1"/>
    <xf numFmtId="2" fontId="41" fillId="0" borderId="0" xfId="0" applyNumberFormat="1" applyFont="1"/>
    <xf numFmtId="0" fontId="41" fillId="0" borderId="0" xfId="0" applyFont="1"/>
    <xf numFmtId="0" fontId="42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/>
    </xf>
    <xf numFmtId="0" fontId="40" fillId="0" borderId="0" xfId="0" applyFont="1" applyAlignment="1">
      <alignment horizontal="left"/>
    </xf>
    <xf numFmtId="165" fontId="36" fillId="0" borderId="0" xfId="0" applyNumberFormat="1" applyFont="1"/>
    <xf numFmtId="0" fontId="39" fillId="0" borderId="0" xfId="0" applyFont="1" applyAlignment="1">
      <alignment horizontal="center"/>
    </xf>
    <xf numFmtId="0" fontId="43" fillId="0" borderId="16" xfId="0" applyFont="1" applyBorder="1" applyAlignment="1">
      <alignment horizontal="centerContinuous"/>
    </xf>
    <xf numFmtId="0" fontId="41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" fontId="4" fillId="0" borderId="15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6" fillId="0" borderId="0" xfId="0" applyFont="1"/>
    <xf numFmtId="0" fontId="47" fillId="19" borderId="7" xfId="0" applyFont="1" applyFill="1" applyBorder="1"/>
    <xf numFmtId="0" fontId="46" fillId="19" borderId="14" xfId="0" applyFont="1" applyFill="1" applyBorder="1"/>
    <xf numFmtId="0" fontId="4" fillId="19" borderId="6" xfId="0" applyFont="1" applyFill="1" applyBorder="1"/>
    <xf numFmtId="0" fontId="47" fillId="19" borderId="5" xfId="0" applyFont="1" applyFill="1" applyBorder="1"/>
    <xf numFmtId="0" fontId="46" fillId="19" borderId="0" xfId="0" applyFont="1" applyFill="1"/>
    <xf numFmtId="0" fontId="4" fillId="19" borderId="4" xfId="0" applyFont="1" applyFill="1" applyBorder="1"/>
    <xf numFmtId="0" fontId="47" fillId="0" borderId="0" xfId="0" applyFont="1"/>
    <xf numFmtId="0" fontId="47" fillId="19" borderId="3" xfId="0" applyFont="1" applyFill="1" applyBorder="1"/>
    <xf numFmtId="0" fontId="46" fillId="19" borderId="13" xfId="0" applyFont="1" applyFill="1" applyBorder="1"/>
    <xf numFmtId="0" fontId="4" fillId="19" borderId="2" xfId="0" applyFont="1" applyFill="1" applyBorder="1"/>
    <xf numFmtId="0" fontId="4" fillId="0" borderId="1" xfId="0" applyFont="1" applyBorder="1"/>
    <xf numFmtId="166" fontId="4" fillId="0" borderId="0" xfId="0" applyNumberFormat="1" applyFont="1"/>
    <xf numFmtId="2" fontId="4" fillId="0" borderId="0" xfId="0" applyNumberFormat="1" applyFont="1"/>
    <xf numFmtId="2" fontId="36" fillId="0" borderId="0" xfId="0" applyNumberFormat="1" applyFont="1"/>
    <xf numFmtId="0" fontId="36" fillId="0" borderId="1" xfId="0" applyFont="1" applyBorder="1"/>
    <xf numFmtId="0" fontId="38" fillId="2" borderId="0" xfId="0" applyFont="1" applyFill="1"/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48" fillId="0" borderId="9" xfId="0" applyFont="1" applyBorder="1" applyAlignment="1">
      <alignment horizontal="center" vertical="top"/>
    </xf>
    <xf numFmtId="2" fontId="48" fillId="0" borderId="9" xfId="0" applyNumberFormat="1" applyFont="1" applyBorder="1" applyAlignment="1">
      <alignment horizontal="center" vertical="top"/>
    </xf>
    <xf numFmtId="0" fontId="48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2" fontId="0" fillId="0" borderId="9" xfId="0" applyNumberFormat="1" applyBorder="1" applyAlignment="1">
      <alignment horizontal="center" vertical="top"/>
    </xf>
    <xf numFmtId="0" fontId="49" fillId="0" borderId="4" xfId="0" applyFont="1" applyBorder="1" applyAlignment="1">
      <alignment horizontal="center" vertical="top" wrapText="1" readingOrder="1"/>
    </xf>
    <xf numFmtId="0" fontId="49" fillId="0" borderId="9" xfId="0" applyFont="1" applyBorder="1" applyAlignment="1">
      <alignment horizontal="center" vertical="top" wrapText="1" readingOrder="1"/>
    </xf>
    <xf numFmtId="0" fontId="48" fillId="0" borderId="4" xfId="0" applyFont="1" applyBorder="1" applyAlignment="1">
      <alignment horizontal="center" vertical="top"/>
    </xf>
    <xf numFmtId="2" fontId="48" fillId="0" borderId="5" xfId="0" applyNumberFormat="1" applyFont="1" applyBorder="1" applyAlignment="1">
      <alignment horizontal="center" vertical="top"/>
    </xf>
    <xf numFmtId="2" fontId="0" fillId="0" borderId="5" xfId="0" applyNumberFormat="1" applyBorder="1" applyAlignment="1">
      <alignment horizontal="center" vertical="top"/>
    </xf>
    <xf numFmtId="2" fontId="50" fillId="0" borderId="4" xfId="0" applyNumberFormat="1" applyFont="1" applyBorder="1" applyAlignment="1">
      <alignment horizontal="center" vertical="top"/>
    </xf>
    <xf numFmtId="2" fontId="50" fillId="0" borderId="9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center" vertical="top"/>
    </xf>
    <xf numFmtId="2" fontId="50" fillId="0" borderId="5" xfId="0" applyNumberFormat="1" applyFont="1" applyBorder="1" applyAlignment="1">
      <alignment horizontal="center" vertical="top"/>
    </xf>
    <xf numFmtId="0" fontId="48" fillId="0" borderId="5" xfId="0" applyFont="1" applyBorder="1" applyAlignment="1">
      <alignment horizontal="center" vertical="top"/>
    </xf>
    <xf numFmtId="2" fontId="48" fillId="0" borderId="4" xfId="0" applyNumberFormat="1" applyFont="1" applyBorder="1" applyAlignment="1">
      <alignment horizontal="center" vertical="top"/>
    </xf>
    <xf numFmtId="2" fontId="0" fillId="0" borderId="4" xfId="0" applyNumberFormat="1" applyBorder="1" applyAlignment="1">
      <alignment horizontal="center" vertical="top"/>
    </xf>
    <xf numFmtId="2" fontId="50" fillId="0" borderId="0" xfId="0" applyNumberFormat="1" applyFont="1" applyAlignment="1">
      <alignment horizontal="center" vertical="top"/>
    </xf>
    <xf numFmtId="2" fontId="48" fillId="0" borderId="0" xfId="0" applyNumberFormat="1" applyFont="1" applyAlignment="1">
      <alignment horizontal="center" vertical="top"/>
    </xf>
    <xf numFmtId="0" fontId="49" fillId="0" borderId="6" xfId="0" applyFont="1" applyBorder="1" applyAlignment="1">
      <alignment horizontal="center" vertical="top" wrapText="1" readingOrder="1"/>
    </xf>
    <xf numFmtId="0" fontId="49" fillId="0" borderId="15" xfId="0" applyFont="1" applyBorder="1" applyAlignment="1">
      <alignment horizontal="center" vertical="top" wrapText="1" readingOrder="1"/>
    </xf>
    <xf numFmtId="0" fontId="0" fillId="0" borderId="6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20" borderId="2" xfId="0" applyFill="1" applyBorder="1" applyAlignment="1">
      <alignment horizontal="right"/>
    </xf>
    <xf numFmtId="0" fontId="0" fillId="20" borderId="13" xfId="0" applyFill="1" applyBorder="1" applyAlignment="1">
      <alignment horizontal="left"/>
    </xf>
    <xf numFmtId="2" fontId="0" fillId="20" borderId="13" xfId="0" applyNumberFormat="1" applyFill="1" applyBorder="1" applyAlignment="1">
      <alignment horizontal="left"/>
    </xf>
    <xf numFmtId="0" fontId="0" fillId="20" borderId="13" xfId="0" applyFill="1" applyBorder="1"/>
    <xf numFmtId="0" fontId="0" fillId="20" borderId="2" xfId="0" applyFill="1" applyBorder="1"/>
    <xf numFmtId="0" fontId="0" fillId="20" borderId="13" xfId="0" applyFill="1" applyBorder="1" applyAlignment="1">
      <alignment horizontal="right"/>
    </xf>
    <xf numFmtId="0" fontId="0" fillId="20" borderId="3" xfId="0" applyFill="1" applyBorder="1"/>
    <xf numFmtId="0" fontId="0" fillId="20" borderId="3" xfId="0" applyFill="1" applyBorder="1" applyAlignment="1">
      <alignment horizontal="left"/>
    </xf>
    <xf numFmtId="0" fontId="0" fillId="20" borderId="4" xfId="0" applyFill="1" applyBorder="1" applyAlignment="1">
      <alignment horizontal="right"/>
    </xf>
    <xf numFmtId="0" fontId="0" fillId="20" borderId="0" xfId="0" applyFill="1" applyAlignment="1">
      <alignment horizontal="left"/>
    </xf>
    <xf numFmtId="0" fontId="0" fillId="20" borderId="0" xfId="0" applyFill="1"/>
    <xf numFmtId="0" fontId="0" fillId="20" borderId="4" xfId="0" applyFill="1" applyBorder="1"/>
    <xf numFmtId="0" fontId="0" fillId="20" borderId="0" xfId="0" applyFill="1" applyAlignment="1">
      <alignment horizontal="right"/>
    </xf>
    <xf numFmtId="0" fontId="0" fillId="20" borderId="5" xfId="0" applyFill="1" applyBorder="1"/>
    <xf numFmtId="0" fontId="0" fillId="20" borderId="5" xfId="0" applyFill="1" applyBorder="1" applyAlignment="1">
      <alignment horizontal="left"/>
    </xf>
    <xf numFmtId="0" fontId="0" fillId="20" borderId="6" xfId="0" applyFill="1" applyBorder="1"/>
    <xf numFmtId="0" fontId="0" fillId="20" borderId="14" xfId="0" applyFill="1" applyBorder="1" applyAlignment="1">
      <alignment horizontal="right"/>
    </xf>
    <xf numFmtId="0" fontId="0" fillId="20" borderId="14" xfId="0" applyFill="1" applyBorder="1"/>
    <xf numFmtId="0" fontId="0" fillId="20" borderId="6" xfId="0" applyFill="1" applyBorder="1" applyAlignment="1">
      <alignment horizontal="right"/>
    </xf>
    <xf numFmtId="0" fontId="0" fillId="20" borderId="14" xfId="0" applyFill="1" applyBorder="1" applyAlignment="1">
      <alignment horizontal="left"/>
    </xf>
    <xf numFmtId="0" fontId="0" fillId="20" borderId="7" xfId="0" applyFill="1" applyBorder="1"/>
    <xf numFmtId="0" fontId="0" fillId="20" borderId="7" xfId="0" applyFill="1" applyBorder="1" applyAlignment="1">
      <alignment horizontal="left"/>
    </xf>
    <xf numFmtId="0" fontId="51" fillId="0" borderId="0" xfId="0" applyFont="1" applyAlignment="1">
      <alignment horizontal="right"/>
    </xf>
    <xf numFmtId="164" fontId="13" fillId="0" borderId="8" xfId="2" applyNumberFormat="1" applyFont="1" applyFill="1" applyBorder="1"/>
    <xf numFmtId="164" fontId="10" fillId="0" borderId="9" xfId="2" applyNumberFormat="1" applyFont="1" applyBorder="1"/>
    <xf numFmtId="164" fontId="13" fillId="0" borderId="9" xfId="2" applyNumberFormat="1" applyFont="1" applyFill="1" applyBorder="1"/>
    <xf numFmtId="164" fontId="13" fillId="0" borderId="15" xfId="2" applyNumberFormat="1" applyFont="1" applyFill="1" applyBorder="1"/>
    <xf numFmtId="164" fontId="13" fillId="0" borderId="8" xfId="2" applyNumberFormat="1" applyFont="1" applyBorder="1"/>
    <xf numFmtId="164" fontId="13" fillId="0" borderId="9" xfId="2" applyNumberFormat="1" applyFont="1" applyBorder="1"/>
    <xf numFmtId="164" fontId="13" fillId="0" borderId="15" xfId="2" applyNumberFormat="1" applyFont="1" applyBorder="1"/>
    <xf numFmtId="0" fontId="0" fillId="0" borderId="8" xfId="0" applyBorder="1"/>
    <xf numFmtId="0" fontId="0" fillId="0" borderId="9" xfId="0" applyBorder="1"/>
    <xf numFmtId="0" fontId="0" fillId="0" borderId="15" xfId="0" applyFill="1" applyBorder="1"/>
    <xf numFmtId="165" fontId="0" fillId="0" borderId="0" xfId="0" applyNumberFormat="1"/>
    <xf numFmtId="165" fontId="0" fillId="0" borderId="0" xfId="0" applyNumberFormat="1" applyFill="1"/>
    <xf numFmtId="2" fontId="0" fillId="0" borderId="0" xfId="0" applyNumberFormat="1" applyFill="1"/>
    <xf numFmtId="0" fontId="0" fillId="21" borderId="0" xfId="0" applyFill="1" applyAlignment="1">
      <alignment horizontal="left"/>
    </xf>
    <xf numFmtId="1" fontId="0" fillId="21" borderId="0" xfId="0" applyNumberFormat="1" applyFill="1" applyAlignment="1">
      <alignment horizontal="center"/>
    </xf>
    <xf numFmtId="0" fontId="0" fillId="22" borderId="0" xfId="0" applyFill="1" applyAlignment="1">
      <alignment horizontal="left"/>
    </xf>
    <xf numFmtId="2" fontId="0" fillId="22" borderId="0" xfId="0" applyNumberFormat="1" applyFill="1" applyAlignment="1">
      <alignment horizontal="center"/>
    </xf>
    <xf numFmtId="0" fontId="0" fillId="23" borderId="0" xfId="0" applyFill="1" applyAlignment="1">
      <alignment horizontal="left"/>
    </xf>
    <xf numFmtId="1" fontId="10" fillId="23" borderId="0" xfId="2" applyNumberFormat="1" applyFont="1" applyFill="1" applyAlignment="1">
      <alignment horizontal="center"/>
    </xf>
    <xf numFmtId="0" fontId="0" fillId="24" borderId="0" xfId="0" applyFill="1" applyAlignment="1">
      <alignment horizontal="left"/>
    </xf>
    <xf numFmtId="2" fontId="10" fillId="24" borderId="0" xfId="2" applyNumberFormat="1" applyFont="1" applyFill="1" applyAlignment="1">
      <alignment horizontal="center"/>
    </xf>
    <xf numFmtId="0" fontId="0" fillId="25" borderId="0" xfId="0" applyFill="1" applyAlignment="1">
      <alignment horizontal="left"/>
    </xf>
    <xf numFmtId="2" fontId="0" fillId="25" borderId="0" xfId="0" applyNumberFormat="1" applyFill="1" applyAlignment="1">
      <alignment horizontal="center"/>
    </xf>
    <xf numFmtId="0" fontId="4" fillId="10" borderId="0" xfId="1" applyFont="1" applyFill="1" applyBorder="1" applyAlignment="1">
      <alignment horizontal="center"/>
    </xf>
    <xf numFmtId="165" fontId="4" fillId="22" borderId="0" xfId="1" applyNumberFormat="1" applyFont="1" applyFill="1" applyBorder="1" applyAlignment="1">
      <alignment horizontal="center"/>
    </xf>
    <xf numFmtId="2" fontId="0" fillId="6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left" vertical="top"/>
    </xf>
    <xf numFmtId="0" fontId="0" fillId="10" borderId="0" xfId="0" applyFill="1" applyAlignment="1">
      <alignment horizontal="left" vertical="top"/>
    </xf>
    <xf numFmtId="165" fontId="0" fillId="6" borderId="0" xfId="0" applyNumberFormat="1" applyFill="1" applyAlignment="1">
      <alignment horizontal="left" vertical="top"/>
    </xf>
    <xf numFmtId="0" fontId="0" fillId="22" borderId="0" xfId="0" applyFill="1" applyAlignment="1">
      <alignment horizontal="left" vertical="top"/>
    </xf>
    <xf numFmtId="165" fontId="0" fillId="0" borderId="0" xfId="0" applyNumberFormat="1" applyAlignment="1">
      <alignment horizontal="left" vertical="top"/>
    </xf>
    <xf numFmtId="0" fontId="0" fillId="26" borderId="0" xfId="0" applyFill="1" applyAlignment="1">
      <alignment horizontal="left" vertical="top"/>
    </xf>
    <xf numFmtId="2" fontId="4" fillId="26" borderId="0" xfId="1" applyNumberFormat="1" applyFont="1" applyFill="1" applyAlignment="1">
      <alignment horizontal="center"/>
    </xf>
    <xf numFmtId="165" fontId="0" fillId="7" borderId="0" xfId="0" applyNumberFormat="1" applyFill="1" applyAlignment="1">
      <alignment horizontal="left" vertical="top"/>
    </xf>
    <xf numFmtId="165" fontId="4" fillId="27" borderId="0" xfId="1" applyNumberFormat="1" applyFont="1" applyFill="1" applyAlignment="1">
      <alignment horizontal="center"/>
    </xf>
    <xf numFmtId="0" fontId="0" fillId="28" borderId="0" xfId="0" applyFill="1" applyAlignment="1">
      <alignment horizontal="left" vertical="top"/>
    </xf>
    <xf numFmtId="165" fontId="0" fillId="3" borderId="0" xfId="0" applyNumberFormat="1" applyFill="1" applyAlignment="1">
      <alignment horizontal="left" vertical="top"/>
    </xf>
    <xf numFmtId="2" fontId="0" fillId="3" borderId="0" xfId="0" applyNumberFormat="1" applyFill="1" applyAlignment="1">
      <alignment horizontal="center"/>
    </xf>
    <xf numFmtId="2" fontId="4" fillId="7" borderId="0" xfId="1" applyNumberFormat="1" applyFont="1" applyFill="1" applyAlignment="1">
      <alignment horizontal="center"/>
    </xf>
    <xf numFmtId="2" fontId="0" fillId="23" borderId="0" xfId="0" applyNumberFormat="1" applyFill="1" applyAlignment="1">
      <alignment horizontal="center"/>
    </xf>
    <xf numFmtId="165" fontId="0" fillId="23" borderId="0" xfId="0" applyNumberFormat="1" applyFill="1" applyAlignment="1">
      <alignment horizontal="left" vertical="top"/>
    </xf>
    <xf numFmtId="0" fontId="0" fillId="20" borderId="0" xfId="0" applyFill="1" applyBorder="1" applyAlignment="1">
      <alignment horizontal="right"/>
    </xf>
    <xf numFmtId="0" fontId="0" fillId="20" borderId="0" xfId="0" applyFill="1" applyBorder="1" applyAlignment="1">
      <alignment horizontal="left"/>
    </xf>
    <xf numFmtId="2" fontId="0" fillId="20" borderId="0" xfId="0" applyNumberFormat="1" applyFill="1" applyBorder="1" applyAlignment="1">
      <alignment horizontal="left"/>
    </xf>
    <xf numFmtId="0" fontId="0" fillId="20" borderId="0" xfId="0" applyFill="1" applyBorder="1"/>
  </cellXfs>
  <cellStyles count="6">
    <cellStyle name="Hyperlink" xfId="5" builtinId="8"/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5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38-4D9D-8F24-1E4EBD94F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D-4A14-8FD9-DD0DC64AA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3-46CD-B4B9-32E799FB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'0.ArdiData28Fixed'!$B$2</c:f>
          <c:strCache>
            <c:ptCount val="1"/>
            <c:pt idx="0">
              <c:v>Stationary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'0.ArdiData28Fixed'!$B$2</c:f>
              <c:strCache>
                <c:ptCount val="1"/>
                <c:pt idx="0">
                  <c:v>Stationary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'0.ArdiData28Fixed'!$B$3:$B$30</c:f>
              <c:numCache>
                <c:formatCode>General</c:formatCode>
                <c:ptCount val="28"/>
                <c:pt idx="0">
                  <c:v>50</c:v>
                </c:pt>
                <c:pt idx="1">
                  <c:v>25</c:v>
                </c:pt>
                <c:pt idx="2">
                  <c:v>33</c:v>
                </c:pt>
                <c:pt idx="3">
                  <c:v>72</c:v>
                </c:pt>
                <c:pt idx="4">
                  <c:v>67</c:v>
                </c:pt>
                <c:pt idx="5">
                  <c:v>35</c:v>
                </c:pt>
                <c:pt idx="6">
                  <c:v>42</c:v>
                </c:pt>
                <c:pt idx="7">
                  <c:v>44</c:v>
                </c:pt>
                <c:pt idx="8">
                  <c:v>51</c:v>
                </c:pt>
                <c:pt idx="9">
                  <c:v>39</c:v>
                </c:pt>
                <c:pt idx="10">
                  <c:v>46</c:v>
                </c:pt>
                <c:pt idx="11">
                  <c:v>41</c:v>
                </c:pt>
                <c:pt idx="12">
                  <c:v>69</c:v>
                </c:pt>
                <c:pt idx="13">
                  <c:v>28</c:v>
                </c:pt>
                <c:pt idx="14">
                  <c:v>82</c:v>
                </c:pt>
                <c:pt idx="15">
                  <c:v>65</c:v>
                </c:pt>
                <c:pt idx="16">
                  <c:v>47</c:v>
                </c:pt>
                <c:pt idx="17">
                  <c:v>53</c:v>
                </c:pt>
                <c:pt idx="18">
                  <c:v>90</c:v>
                </c:pt>
                <c:pt idx="19">
                  <c:v>56</c:v>
                </c:pt>
                <c:pt idx="20">
                  <c:v>51</c:v>
                </c:pt>
                <c:pt idx="21">
                  <c:v>40</c:v>
                </c:pt>
                <c:pt idx="22">
                  <c:v>61</c:v>
                </c:pt>
                <c:pt idx="23">
                  <c:v>72</c:v>
                </c:pt>
                <c:pt idx="24">
                  <c:v>39</c:v>
                </c:pt>
                <c:pt idx="25">
                  <c:v>31</c:v>
                </c:pt>
                <c:pt idx="26">
                  <c:v>62</c:v>
                </c:pt>
                <c:pt idx="27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61-4215-9285-1D3727437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'0.ArdiData28Fixed'!$C$2</c:f>
          <c:strCache>
            <c:ptCount val="1"/>
            <c:pt idx="0">
              <c:v>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'0.ArdiData28Fixed'!$C$2</c:f>
              <c:strCache>
                <c:ptCount val="1"/>
                <c:pt idx="0">
                  <c:v>Trend</c:v>
                </c:pt>
              </c:strCache>
            </c:strRef>
          </c:tx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'0.ArdiData28Fixed'!$C$3:$C$30</c:f>
              <c:numCache>
                <c:formatCode>General</c:formatCode>
                <c:ptCount val="28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A-4F83-B2BA-0110ABCB2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'0.ArdiData28Fixed'!$D$2</c:f>
          <c:strCache>
            <c:ptCount val="1"/>
            <c:pt idx="0">
              <c:v>Trend&amp;Seas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'0.ArdiData28Fixed'!$D$2</c:f>
              <c:strCache>
                <c:ptCount val="1"/>
                <c:pt idx="0">
                  <c:v>Trend&amp;Seas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'0.ArdiData28Fixed'!$D$3:$D$30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BF-4765-8F98-D8F4D5A25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'0.ArdiData28Fixed'!$E$2</c:f>
              <c:strCache>
                <c:ptCount val="1"/>
                <c:pt idx="0">
                  <c:v>Seas-No-Trend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'0.ArdiData28Fixed'!$A$3:$A$30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'0.ArdiData28Fixed'!$E$3:$E$30</c:f>
              <c:numCache>
                <c:formatCode>General</c:formatCode>
                <c:ptCount val="28"/>
                <c:pt idx="0">
                  <c:v>39</c:v>
                </c:pt>
                <c:pt idx="1">
                  <c:v>67</c:v>
                </c:pt>
                <c:pt idx="2">
                  <c:v>50</c:v>
                </c:pt>
                <c:pt idx="3">
                  <c:v>35</c:v>
                </c:pt>
                <c:pt idx="4">
                  <c:v>28</c:v>
                </c:pt>
                <c:pt idx="5">
                  <c:v>61</c:v>
                </c:pt>
                <c:pt idx="6">
                  <c:v>51</c:v>
                </c:pt>
                <c:pt idx="7">
                  <c:v>46</c:v>
                </c:pt>
                <c:pt idx="8">
                  <c:v>48</c:v>
                </c:pt>
                <c:pt idx="9">
                  <c:v>56</c:v>
                </c:pt>
                <c:pt idx="10">
                  <c:v>72</c:v>
                </c:pt>
                <c:pt idx="11">
                  <c:v>40</c:v>
                </c:pt>
                <c:pt idx="12">
                  <c:v>42</c:v>
                </c:pt>
                <c:pt idx="13">
                  <c:v>72</c:v>
                </c:pt>
                <c:pt idx="14">
                  <c:v>53</c:v>
                </c:pt>
                <c:pt idx="15">
                  <c:v>41</c:v>
                </c:pt>
                <c:pt idx="16">
                  <c:v>25</c:v>
                </c:pt>
                <c:pt idx="17">
                  <c:v>69</c:v>
                </c:pt>
                <c:pt idx="18">
                  <c:v>90</c:v>
                </c:pt>
                <c:pt idx="19">
                  <c:v>33</c:v>
                </c:pt>
                <c:pt idx="20">
                  <c:v>31</c:v>
                </c:pt>
                <c:pt idx="21">
                  <c:v>82</c:v>
                </c:pt>
                <c:pt idx="22">
                  <c:v>62</c:v>
                </c:pt>
                <c:pt idx="23">
                  <c:v>47</c:v>
                </c:pt>
                <c:pt idx="24">
                  <c:v>39</c:v>
                </c:pt>
                <c:pt idx="25">
                  <c:v>51</c:v>
                </c:pt>
                <c:pt idx="26">
                  <c:v>65</c:v>
                </c:pt>
                <c:pt idx="27">
                  <c:v>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8E-4C6C-93DA-830ACEE8E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8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'0.ArdiData28Fixed'!$E$2</c:f>
          <c:strCache>
            <c:ptCount val="1"/>
            <c:pt idx="0">
              <c:v>Seas-No-Trend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'0.ArdiData28Fixed'!$K$1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'0.ArdiData28Fixed'!$F$2:$F$14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'0.ArdiData28Fixed'!$K$2:$K$14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C5-43BC-99C1-2126A15C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'[1]1.StatFitPoissNorm'!$B$1</c:f>
          <c:strCache>
            <c:ptCount val="1"/>
            <c:pt idx="0">
              <c:v>Historical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'1.StatFitPoissNorm'!$J$1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'1.StatFitPoissNorm'!$J$2:$J$14</c15:sqref>
                  </c15:fullRef>
                </c:ext>
              </c:extLst>
              <c:f>'1.StatFitPoissNorm'!$J$2:$J$11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C7-46CC-9670-3B337B685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663601088"/>
        <c:axId val="663601480"/>
      </c:barChart>
      <c:lineChart>
        <c:grouping val="standard"/>
        <c:varyColors val="0"/>
        <c:ser>
          <c:idx val="1"/>
          <c:order val="1"/>
          <c:tx>
            <c:strRef>
              <c:f>'1.StatFitPoissNorm'!$K$1</c:f>
              <c:strCache>
                <c:ptCount val="1"/>
                <c:pt idx="0">
                  <c:v>CumFreq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'1.StatFitPoissNorm'!$K$2:$K$11</c15:sqref>
                  </c15:fullRef>
                </c:ext>
              </c:extLst>
              <c:f>'1.StatFitPoissNorm'!$K$2:$K$11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0.14285714285714285</c:v>
                </c:pt>
                <c:pt idx="2">
                  <c:v>0.32142857142857145</c:v>
                </c:pt>
                <c:pt idx="3">
                  <c:v>0.5</c:v>
                </c:pt>
                <c:pt idx="4">
                  <c:v>0.6428571428571429</c:v>
                </c:pt>
                <c:pt idx="5">
                  <c:v>0.75</c:v>
                </c:pt>
                <c:pt idx="6">
                  <c:v>0.8571428571428571</c:v>
                </c:pt>
                <c:pt idx="7">
                  <c:v>0.9285714285714286</c:v>
                </c:pt>
                <c:pt idx="8">
                  <c:v>0.9642857142857143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7-46CC-9670-3B337B685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60191"/>
        <c:axId val="803215151"/>
      </c:line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  <c:majorUnit val="5.000000000000001E-2"/>
      </c:valAx>
      <c:valAx>
        <c:axId val="803215151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crossAx val="1837860191"/>
        <c:crosses val="max"/>
        <c:crossBetween val="between"/>
        <c:majorUnit val="0.2"/>
      </c:valAx>
      <c:catAx>
        <c:axId val="1837860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15151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'1.StatFitPoissNorm'!$L$1</c:f>
          <c:strCache>
            <c:ptCount val="1"/>
            <c:pt idx="0">
              <c:v>Poisson Fit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'1.StatFitPoissNorm'!$J$1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'1.StatFitPoissNorm'!$J$2:$J$14</c15:sqref>
                  </c15:fullRef>
                </c:ext>
              </c:extLst>
              <c:f>'1.StatFitPoissNorm'!$J$2:$J$11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F-42EC-92F3-DC8DD3B96986}"/>
            </c:ext>
          </c:extLst>
        </c:ser>
        <c:ser>
          <c:idx val="2"/>
          <c:order val="2"/>
          <c:tx>
            <c:strRef>
              <c:f>'1.StatFitPoissNorm'!$L$1</c:f>
              <c:strCache>
                <c:ptCount val="1"/>
                <c:pt idx="0">
                  <c:v>Poisson Fit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'1.StatFitPoissNorm'!$E$2:$E$11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'1.StatFitPoissNorm'!$L$2:$L$14</c15:sqref>
                  </c15:fullRef>
                </c:ext>
              </c:extLst>
              <c:f>'1.StatFitPoissNorm'!$L$2:$L$11</c:f>
              <c:numCache>
                <c:formatCode>0.000</c:formatCode>
                <c:ptCount val="10"/>
                <c:pt idx="0">
                  <c:v>2.6452199417822324E-4</c:v>
                </c:pt>
                <c:pt idx="1">
                  <c:v>9.7880306542810734E-3</c:v>
                </c:pt>
                <c:pt idx="2">
                  <c:v>9.4672969820577185E-2</c:v>
                </c:pt>
                <c:pt idx="3">
                  <c:v>0.29957239696939675</c:v>
                </c:pt>
                <c:pt idx="4">
                  <c:v>0.36116651115701282</c:v>
                </c:pt>
                <c:pt idx="5">
                  <c:v>0.18514118188091522</c:v>
                </c:pt>
                <c:pt idx="6">
                  <c:v>4.3905507794962273E-2</c:v>
                </c:pt>
                <c:pt idx="7">
                  <c:v>5.1584163970143093E-3</c:v>
                </c:pt>
                <c:pt idx="8">
                  <c:v>3.1810866270798321E-4</c:v>
                </c:pt>
                <c:pt idx="9">
                  <c:v>1.0821135845384688E-5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7F-42EC-92F3-DC8DD3B96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lineChart>
        <c:grouping val="standard"/>
        <c:varyColors val="0"/>
        <c:ser>
          <c:idx val="1"/>
          <c:order val="1"/>
          <c:tx>
            <c:strRef>
              <c:f>'1.StatFitPoissNorm'!$K$1</c:f>
              <c:strCache>
                <c:ptCount val="1"/>
                <c:pt idx="0">
                  <c:v>CumFreq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'1.StatFitPoissNorm'!$E$2:$E$14</c15:sqref>
                  </c15:fullRef>
                </c:ext>
              </c:extLst>
              <c:f>'1.StatFitPoissNorm'!$E$2:$E$11</c:f>
              <c:strCache>
                <c:ptCount val="10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'1.StatFitPoissNorm'!$K$2:$K$14</c15:sqref>
                  </c15:fullRef>
                </c:ext>
              </c:extLst>
              <c:f>'1.StatFitPoissNorm'!$K$2:$K$11</c:f>
              <c:numCache>
                <c:formatCode>0.00</c:formatCode>
                <c:ptCount val="10"/>
                <c:pt idx="0">
                  <c:v>3.5714285714285712E-2</c:v>
                </c:pt>
                <c:pt idx="1">
                  <c:v>0.14285714285714285</c:v>
                </c:pt>
                <c:pt idx="2">
                  <c:v>0.32142857142857145</c:v>
                </c:pt>
                <c:pt idx="3">
                  <c:v>0.5</c:v>
                </c:pt>
                <c:pt idx="4">
                  <c:v>0.6428571428571429</c:v>
                </c:pt>
                <c:pt idx="5">
                  <c:v>0.75</c:v>
                </c:pt>
                <c:pt idx="6">
                  <c:v>0.8571428571428571</c:v>
                </c:pt>
                <c:pt idx="7">
                  <c:v>0.9285714285714286</c:v>
                </c:pt>
                <c:pt idx="8">
                  <c:v>0.9642857142857143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7F-42EC-92F3-DC8DD3B96986}"/>
            </c:ext>
          </c:extLst>
        </c:ser>
        <c:ser>
          <c:idx val="3"/>
          <c:order val="3"/>
          <c:tx>
            <c:strRef>
              <c:f>'1.StatFitPoissNorm'!$M$1</c:f>
              <c:strCache>
                <c:ptCount val="1"/>
                <c:pt idx="0">
                  <c:v>PossFitCum</c:v>
                </c:pt>
              </c:strCache>
            </c:strRef>
          </c:tx>
          <c:spPr>
            <a:ln w="34925"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Lit>
              <c:ptCount val="10"/>
              <c:pt idx="0">
                <c:v>21 - 28</c:v>
              </c:pt>
              <c:pt idx="1">
                <c:v>28 - 35</c:v>
              </c:pt>
              <c:pt idx="2">
                <c:v>35 - 42</c:v>
              </c:pt>
              <c:pt idx="3">
                <c:v>42 - 49</c:v>
              </c:pt>
              <c:pt idx="4">
                <c:v>49 - 56</c:v>
              </c:pt>
              <c:pt idx="5">
                <c:v>56 - 63</c:v>
              </c:pt>
              <c:pt idx="6">
                <c:v>63 - 70</c:v>
              </c:pt>
              <c:pt idx="7">
                <c:v>70 - 77</c:v>
              </c:pt>
              <c:pt idx="8">
                <c:v>77 - 84</c:v>
              </c:pt>
              <c:pt idx="9">
                <c:v>84 - 91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'1.StatFitPoissNorm'!$M$2:$M$14</c15:sqref>
                  </c15:fullRef>
                </c:ext>
              </c:extLst>
              <c:f>'1.StatFitPoissNorm'!$M$2:$M$11</c:f>
              <c:numCache>
                <c:formatCode>0.000</c:formatCode>
                <c:ptCount val="10"/>
                <c:pt idx="0">
                  <c:v>2.6452199417822324E-4</c:v>
                </c:pt>
                <c:pt idx="1">
                  <c:v>1.0052552648459296E-2</c:v>
                </c:pt>
                <c:pt idx="2">
                  <c:v>0.10472552246903648</c:v>
                </c:pt>
                <c:pt idx="3">
                  <c:v>0.40429791943843324</c:v>
                </c:pt>
                <c:pt idx="4">
                  <c:v>0.76546443059544611</c:v>
                </c:pt>
                <c:pt idx="5">
                  <c:v>0.95060561247636133</c:v>
                </c:pt>
                <c:pt idx="6">
                  <c:v>0.9945111202713236</c:v>
                </c:pt>
                <c:pt idx="7">
                  <c:v>0.99966953666833791</c:v>
                </c:pt>
                <c:pt idx="8">
                  <c:v>0.99998764533104589</c:v>
                </c:pt>
                <c:pt idx="9">
                  <c:v>0.99999846646689128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7F-42EC-92F3-DC8DD3B96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60191"/>
        <c:axId val="803215151"/>
      </c:line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  <c:majorUnit val="5.000000000000001E-2"/>
      </c:valAx>
      <c:valAx>
        <c:axId val="803215151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crossAx val="1837860191"/>
        <c:crosses val="max"/>
        <c:crossBetween val="between"/>
        <c:majorUnit val="0.2"/>
      </c:valAx>
      <c:catAx>
        <c:axId val="1837860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15151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'1.StatFitPoissNorm'!$O$1</c:f>
          <c:strCache>
            <c:ptCount val="1"/>
            <c:pt idx="0">
              <c:v>Normal Fit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'1.StatFitPoissNorm'!$J$1</c:f>
              <c:strCache>
                <c:ptCount val="1"/>
                <c:pt idx="0">
                  <c:v>Freq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'1.StatFitPoissNorm'!$E$2:$E$14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'1.StatFitPoissNorm'!$J$2:$J$14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0.10714285714285714</c:v>
                </c:pt>
                <c:pt idx="2">
                  <c:v>0.17857142857142858</c:v>
                </c:pt>
                <c:pt idx="3">
                  <c:v>0.17857142857142858</c:v>
                </c:pt>
                <c:pt idx="4">
                  <c:v>0.14285714285714285</c:v>
                </c:pt>
                <c:pt idx="5">
                  <c:v>0.10714285714285714</c:v>
                </c:pt>
                <c:pt idx="6">
                  <c:v>0.10714285714285714</c:v>
                </c:pt>
                <c:pt idx="7">
                  <c:v>7.1428571428571425E-2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3-44AF-A25F-164A543A1720}"/>
            </c:ext>
          </c:extLst>
        </c:ser>
        <c:ser>
          <c:idx val="2"/>
          <c:order val="2"/>
          <c:tx>
            <c:strRef>
              <c:f>'1.StatFitPoissNorm'!$O$1</c:f>
              <c:strCache>
                <c:ptCount val="1"/>
                <c:pt idx="0">
                  <c:v>Normal Fit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bg1"/>
              </a:solidFill>
            </a:ln>
          </c:spPr>
          <c:invertIfNegative val="0"/>
          <c:val>
            <c:numRef>
              <c:f>'1.StatFitPoissNorm'!$O$2:$O$14</c:f>
              <c:numCache>
                <c:formatCode>0.000</c:formatCode>
                <c:ptCount val="13"/>
                <c:pt idx="0">
                  <c:v>4.64328589960755E-2</c:v>
                </c:pt>
                <c:pt idx="1">
                  <c:v>8.4589036638120674E-2</c:v>
                </c:pt>
                <c:pt idx="2">
                  <c:v>0.12877940155259177</c:v>
                </c:pt>
                <c:pt idx="3">
                  <c:v>0.16384433522322964</c:v>
                </c:pt>
                <c:pt idx="4">
                  <c:v>0.17421052496999276</c:v>
                </c:pt>
                <c:pt idx="5">
                  <c:v>0.15480201747635716</c:v>
                </c:pt>
                <c:pt idx="6">
                  <c:v>0.11495703099796981</c:v>
                </c:pt>
                <c:pt idx="7">
                  <c:v>7.1341906986368386E-2</c:v>
                </c:pt>
                <c:pt idx="8">
                  <c:v>3.6999335908217822E-2</c:v>
                </c:pt>
                <c:pt idx="9">
                  <c:v>1.6035014473933556E-2</c:v>
                </c:pt>
                <c:pt idx="10">
                  <c:v>5.8070258492784639E-3</c:v>
                </c:pt>
                <c:pt idx="11">
                  <c:v>1.7572224540231952E-3</c:v>
                </c:pt>
                <c:pt idx="12">
                  <c:v>4.4428847384126872E-4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93-44AF-A25F-164A543A1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lineChart>
        <c:grouping val="standard"/>
        <c:varyColors val="0"/>
        <c:ser>
          <c:idx val="1"/>
          <c:order val="1"/>
          <c:tx>
            <c:strRef>
              <c:f>'1.StatFitPoissNorm'!$K$1</c:f>
              <c:strCache>
                <c:ptCount val="1"/>
                <c:pt idx="0">
                  <c:v>CumFreq</c:v>
                </c:pt>
              </c:strCache>
            </c:strRef>
          </c:tx>
          <c:spPr>
            <a:ln w="254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strRef>
              <c:f>'1.StatFitPoissNorm'!$E$2:$E$14</c:f>
              <c:strCache>
                <c:ptCount val="13"/>
                <c:pt idx="0">
                  <c:v>21 - 28</c:v>
                </c:pt>
                <c:pt idx="1">
                  <c:v>28 - 35</c:v>
                </c:pt>
                <c:pt idx="2">
                  <c:v>35 - 42</c:v>
                </c:pt>
                <c:pt idx="3">
                  <c:v>42 - 49</c:v>
                </c:pt>
                <c:pt idx="4">
                  <c:v>49 - 56</c:v>
                </c:pt>
                <c:pt idx="5">
                  <c:v>56 - 63</c:v>
                </c:pt>
                <c:pt idx="6">
                  <c:v>63 - 70</c:v>
                </c:pt>
                <c:pt idx="7">
                  <c:v>70 - 77</c:v>
                </c:pt>
                <c:pt idx="8">
                  <c:v>77 - 84</c:v>
                </c:pt>
                <c:pt idx="9">
                  <c:v>84 - 91</c:v>
                </c:pt>
                <c:pt idx="10">
                  <c:v>91 - 98</c:v>
                </c:pt>
                <c:pt idx="11">
                  <c:v>98 - 105</c:v>
                </c:pt>
                <c:pt idx="12">
                  <c:v>105 - 112</c:v>
                </c:pt>
              </c:strCache>
            </c:strRef>
          </c:cat>
          <c:val>
            <c:numRef>
              <c:f>'1.StatFitPoissNorm'!$K$2:$K$14</c:f>
              <c:numCache>
                <c:formatCode>0.00</c:formatCode>
                <c:ptCount val="13"/>
                <c:pt idx="0">
                  <c:v>3.5714285714285712E-2</c:v>
                </c:pt>
                <c:pt idx="1">
                  <c:v>0.14285714285714285</c:v>
                </c:pt>
                <c:pt idx="2">
                  <c:v>0.32142857142857145</c:v>
                </c:pt>
                <c:pt idx="3">
                  <c:v>0.5</c:v>
                </c:pt>
                <c:pt idx="4">
                  <c:v>0.6428571428571429</c:v>
                </c:pt>
                <c:pt idx="5">
                  <c:v>0.75</c:v>
                </c:pt>
                <c:pt idx="6">
                  <c:v>0.8571428571428571</c:v>
                </c:pt>
                <c:pt idx="7">
                  <c:v>0.9285714285714286</c:v>
                </c:pt>
                <c:pt idx="8">
                  <c:v>0.9642857142857143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93-44AF-A25F-164A543A1720}"/>
            </c:ext>
          </c:extLst>
        </c:ser>
        <c:ser>
          <c:idx val="3"/>
          <c:order val="3"/>
          <c:tx>
            <c:strRef>
              <c:f>'1.StatFitPoissNorm'!$M$1</c:f>
              <c:strCache>
                <c:ptCount val="1"/>
                <c:pt idx="0">
                  <c:v>PossFitCum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val>
            <c:numRef>
              <c:f>'1.StatFitPoissNorm'!$P$2:$P$14</c:f>
              <c:numCache>
                <c:formatCode>0.000</c:formatCode>
                <c:ptCount val="13"/>
                <c:pt idx="0">
                  <c:v>4.64328589960755E-2</c:v>
                </c:pt>
                <c:pt idx="1">
                  <c:v>0.13102189563419617</c:v>
                </c:pt>
                <c:pt idx="2">
                  <c:v>0.25980129718678791</c:v>
                </c:pt>
                <c:pt idx="3">
                  <c:v>0.42364563241001751</c:v>
                </c:pt>
                <c:pt idx="4">
                  <c:v>0.5978561573800103</c:v>
                </c:pt>
                <c:pt idx="5">
                  <c:v>0.75265817485636743</c:v>
                </c:pt>
                <c:pt idx="6">
                  <c:v>0.86761520585433727</c:v>
                </c:pt>
                <c:pt idx="7">
                  <c:v>0.93895711284070571</c:v>
                </c:pt>
                <c:pt idx="8">
                  <c:v>0.97595644874892351</c:v>
                </c:pt>
                <c:pt idx="9">
                  <c:v>0.99199146322285703</c:v>
                </c:pt>
                <c:pt idx="10">
                  <c:v>0.99779848907213553</c:v>
                </c:pt>
                <c:pt idx="11">
                  <c:v>0.99955571152615874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93-44AF-A25F-164A543A1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860191"/>
        <c:axId val="803215151"/>
      </c:line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  <c:majorUnit val="5.000000000000001E-2"/>
      </c:valAx>
      <c:valAx>
        <c:axId val="803215151"/>
        <c:scaling>
          <c:orientation val="minMax"/>
          <c:max val="1"/>
        </c:scaling>
        <c:delete val="0"/>
        <c:axPos val="r"/>
        <c:numFmt formatCode="0.00" sourceLinked="1"/>
        <c:majorTickMark val="out"/>
        <c:minorTickMark val="none"/>
        <c:tickLblPos val="nextTo"/>
        <c:crossAx val="1837860191"/>
        <c:crosses val="max"/>
        <c:crossBetween val="between"/>
        <c:majorUnit val="0.2"/>
      </c:valAx>
      <c:catAx>
        <c:axId val="1837860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3215151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'MA.1P.AP'!$I$10</c:f>
          <c:strCache>
            <c:ptCount val="1"/>
            <c:pt idx="0">
              <c:v>Alternative MAs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At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'MA.1P.AP'!$B$3:$B$52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'MA.1P.AP'!$C$3:$C$52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50-4803-8976-CBBEEA628D78}"/>
            </c:ext>
          </c:extLst>
        </c:ser>
        <c:ser>
          <c:idx val="1"/>
          <c:order val="1"/>
          <c:tx>
            <c:strRef>
              <c:f>'MA.1P.AP'!$D$2</c:f>
              <c:strCache>
                <c:ptCount val="1"/>
                <c:pt idx="0">
                  <c:v>Ft (1P)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'MA.1P.AP'!$B$4:$B$53</c:f>
              <c:numCache>
                <c:formatCode>General</c:formatCode>
                <c:ptCount val="5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</c:numCache>
            </c:numRef>
          </c:xVal>
          <c:yVal>
            <c:numRef>
              <c:f>'MA.1P.AP'!$D$4:$D$53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50-4803-8976-CBBEEA628D78}"/>
            </c:ext>
          </c:extLst>
        </c:ser>
        <c:ser>
          <c:idx val="2"/>
          <c:order val="2"/>
          <c:tx>
            <c:strRef>
              <c:f>'MA.1P.AP'!$E$2</c:f>
              <c:strCache>
                <c:ptCount val="1"/>
                <c:pt idx="0">
                  <c:v>Ft (AllP)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'MA.1P.AP'!$B$3:$B$53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</c:numCache>
            </c:numRef>
          </c:xVal>
          <c:yVal>
            <c:numRef>
              <c:f>'MA.1P.AP'!$E$4:$E$53</c:f>
              <c:numCache>
                <c:formatCode>0.00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1.6666666666666667</c:v>
                </c:pt>
                <c:pt idx="3">
                  <c:v>1.25</c:v>
                </c:pt>
                <c:pt idx="4">
                  <c:v>1.4</c:v>
                </c:pt>
                <c:pt idx="5">
                  <c:v>1.3333333333333333</c:v>
                </c:pt>
                <c:pt idx="6">
                  <c:v>1.1428571428571428</c:v>
                </c:pt>
                <c:pt idx="7">
                  <c:v>1.25</c:v>
                </c:pt>
                <c:pt idx="8">
                  <c:v>1.3333333333333333</c:v>
                </c:pt>
                <c:pt idx="9">
                  <c:v>1.5</c:v>
                </c:pt>
                <c:pt idx="10">
                  <c:v>1.4545454545454546</c:v>
                </c:pt>
                <c:pt idx="11">
                  <c:v>1.5833333333333333</c:v>
                </c:pt>
                <c:pt idx="12">
                  <c:v>1.6923076923076923</c:v>
                </c:pt>
                <c:pt idx="13">
                  <c:v>1.7142857142857142</c:v>
                </c:pt>
                <c:pt idx="14">
                  <c:v>1.6666666666666667</c:v>
                </c:pt>
                <c:pt idx="15">
                  <c:v>1.9375</c:v>
                </c:pt>
                <c:pt idx="16">
                  <c:v>1.9411764705882353</c:v>
                </c:pt>
                <c:pt idx="17">
                  <c:v>1.8888888888888888</c:v>
                </c:pt>
                <c:pt idx="18">
                  <c:v>1.8947368421052631</c:v>
                </c:pt>
                <c:pt idx="19">
                  <c:v>1.9</c:v>
                </c:pt>
                <c:pt idx="20">
                  <c:v>1.9523809523809523</c:v>
                </c:pt>
                <c:pt idx="21">
                  <c:v>2.0454545454545454</c:v>
                </c:pt>
                <c:pt idx="22">
                  <c:v>2.1304347826086958</c:v>
                </c:pt>
                <c:pt idx="23">
                  <c:v>2.25</c:v>
                </c:pt>
                <c:pt idx="24">
                  <c:v>2.3199999999999998</c:v>
                </c:pt>
                <c:pt idx="25">
                  <c:v>2.3076923076923075</c:v>
                </c:pt>
                <c:pt idx="26">
                  <c:v>2.2592592592592591</c:v>
                </c:pt>
                <c:pt idx="27">
                  <c:v>2.3214285714285716</c:v>
                </c:pt>
                <c:pt idx="28">
                  <c:v>2.3448275862068964</c:v>
                </c:pt>
                <c:pt idx="29">
                  <c:v>2.4</c:v>
                </c:pt>
                <c:pt idx="30">
                  <c:v>2.4193548387096775</c:v>
                </c:pt>
                <c:pt idx="31">
                  <c:v>2.375</c:v>
                </c:pt>
                <c:pt idx="32">
                  <c:v>2.4545454545454546</c:v>
                </c:pt>
                <c:pt idx="33">
                  <c:v>2.4411764705882355</c:v>
                </c:pt>
                <c:pt idx="34">
                  <c:v>2.3714285714285714</c:v>
                </c:pt>
                <c:pt idx="35">
                  <c:v>2.5</c:v>
                </c:pt>
                <c:pt idx="36">
                  <c:v>2.5135135135135136</c:v>
                </c:pt>
                <c:pt idx="37">
                  <c:v>2.5789473684210527</c:v>
                </c:pt>
                <c:pt idx="38">
                  <c:v>2.641025641025641</c:v>
                </c:pt>
                <c:pt idx="39">
                  <c:v>2.7250000000000001</c:v>
                </c:pt>
                <c:pt idx="40">
                  <c:v>2.7073170731707319</c:v>
                </c:pt>
                <c:pt idx="41">
                  <c:v>2.7142857142857144</c:v>
                </c:pt>
                <c:pt idx="42">
                  <c:v>2.7441860465116279</c:v>
                </c:pt>
                <c:pt idx="43">
                  <c:v>2.7272727272727271</c:v>
                </c:pt>
                <c:pt idx="44">
                  <c:v>2.7333333333333334</c:v>
                </c:pt>
                <c:pt idx="45">
                  <c:v>2.7391304347826089</c:v>
                </c:pt>
                <c:pt idx="46">
                  <c:v>2.8085106382978724</c:v>
                </c:pt>
                <c:pt idx="47">
                  <c:v>2.9791666666666665</c:v>
                </c:pt>
                <c:pt idx="48">
                  <c:v>3.0204081632653059</c:v>
                </c:pt>
                <c:pt idx="49" formatCode="General">
                  <c:v>3.06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50-4803-8976-CBBEEA628D78}"/>
            </c:ext>
          </c:extLst>
        </c:ser>
        <c:ser>
          <c:idx val="3"/>
          <c:order val="3"/>
          <c:tx>
            <c:strRef>
              <c:f>'MA.1P.AP'!$F$2</c:f>
              <c:strCache>
                <c:ptCount val="1"/>
                <c:pt idx="0">
                  <c:v>Ft (2P)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'MA.1P.AP'!$B$5:$B$53</c:f>
              <c:numCache>
                <c:formatCode>General</c:formatCode>
                <c:ptCount val="49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</c:numCache>
            </c:numRef>
          </c:xVal>
          <c:yVal>
            <c:numRef>
              <c:f>'MA.1P.AP'!$F$5:$F$53</c:f>
              <c:numCache>
                <c:formatCode>0.00</c:formatCode>
                <c:ptCount val="49"/>
                <c:pt idx="0">
                  <c:v>2</c:v>
                </c:pt>
                <c:pt idx="1">
                  <c:v>1.5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0.5</c:v>
                </c:pt>
                <c:pt idx="6">
                  <c:v>1</c:v>
                </c:pt>
                <c:pt idx="7">
                  <c:v>2</c:v>
                </c:pt>
                <c:pt idx="8">
                  <c:v>2.5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2.5</c:v>
                </c:pt>
                <c:pt idx="13">
                  <c:v>1.5</c:v>
                </c:pt>
                <c:pt idx="14">
                  <c:v>3.5</c:v>
                </c:pt>
                <c:pt idx="15">
                  <c:v>4</c:v>
                </c:pt>
                <c:pt idx="16">
                  <c:v>1.5</c:v>
                </c:pt>
                <c:pt idx="17">
                  <c:v>1.5</c:v>
                </c:pt>
                <c:pt idx="18">
                  <c:v>2</c:v>
                </c:pt>
                <c:pt idx="19">
                  <c:v>2.5</c:v>
                </c:pt>
                <c:pt idx="20">
                  <c:v>3.5</c:v>
                </c:pt>
                <c:pt idx="21">
                  <c:v>4</c:v>
                </c:pt>
                <c:pt idx="22">
                  <c:v>4.5</c:v>
                </c:pt>
                <c:pt idx="23">
                  <c:v>4.5</c:v>
                </c:pt>
                <c:pt idx="24">
                  <c:v>3</c:v>
                </c:pt>
                <c:pt idx="25">
                  <c:v>1.5</c:v>
                </c:pt>
                <c:pt idx="26">
                  <c:v>2.5</c:v>
                </c:pt>
                <c:pt idx="27">
                  <c:v>3.5</c:v>
                </c:pt>
                <c:pt idx="28">
                  <c:v>3.5</c:v>
                </c:pt>
                <c:pt idx="29">
                  <c:v>3.5</c:v>
                </c:pt>
                <c:pt idx="30">
                  <c:v>2</c:v>
                </c:pt>
                <c:pt idx="31">
                  <c:v>3</c:v>
                </c:pt>
                <c:pt idx="32">
                  <c:v>3.5</c:v>
                </c:pt>
                <c:pt idx="33">
                  <c:v>1</c:v>
                </c:pt>
                <c:pt idx="34">
                  <c:v>3.5</c:v>
                </c:pt>
                <c:pt idx="35">
                  <c:v>5</c:v>
                </c:pt>
                <c:pt idx="36">
                  <c:v>4</c:v>
                </c:pt>
                <c:pt idx="37">
                  <c:v>5</c:v>
                </c:pt>
                <c:pt idx="38">
                  <c:v>5.5</c:v>
                </c:pt>
                <c:pt idx="39">
                  <c:v>4</c:v>
                </c:pt>
                <c:pt idx="40">
                  <c:v>2.5</c:v>
                </c:pt>
                <c:pt idx="41">
                  <c:v>3.5</c:v>
                </c:pt>
                <c:pt idx="42">
                  <c:v>3</c:v>
                </c:pt>
                <c:pt idx="43">
                  <c:v>2.5</c:v>
                </c:pt>
                <c:pt idx="44">
                  <c:v>3</c:v>
                </c:pt>
                <c:pt idx="45">
                  <c:v>4.5</c:v>
                </c:pt>
                <c:pt idx="46">
                  <c:v>8.5</c:v>
                </c:pt>
                <c:pt idx="47">
                  <c:v>8</c:v>
                </c:pt>
                <c:pt idx="48" formatCode="General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50-4803-8976-CBBEEA628D78}"/>
            </c:ext>
          </c:extLst>
        </c:ser>
        <c:ser>
          <c:idx val="4"/>
          <c:order val="4"/>
          <c:tx>
            <c:strRef>
              <c:f>'MA.1P.AP'!$G$2</c:f>
              <c:strCache>
                <c:ptCount val="1"/>
                <c:pt idx="0">
                  <c:v>Ft (8P)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'MA.1P.AP'!$B$11:$B$53</c:f>
              <c:numCache>
                <c:formatCode>General</c:formatCode>
                <c:ptCount val="4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</c:numCache>
            </c:numRef>
          </c:xVal>
          <c:yVal>
            <c:numRef>
              <c:f>'MA.1P.AP'!$G$11:$G$53</c:f>
              <c:numCache>
                <c:formatCode>0.00</c:formatCode>
                <c:ptCount val="43"/>
                <c:pt idx="0">
                  <c:v>1.25</c:v>
                </c:pt>
                <c:pt idx="1">
                  <c:v>1.25</c:v>
                </c:pt>
                <c:pt idx="2">
                  <c:v>1.375</c:v>
                </c:pt>
                <c:pt idx="3">
                  <c:v>1.375</c:v>
                </c:pt>
                <c:pt idx="4">
                  <c:v>1.75</c:v>
                </c:pt>
                <c:pt idx="5">
                  <c:v>1.875</c:v>
                </c:pt>
                <c:pt idx="6">
                  <c:v>2</c:v>
                </c:pt>
                <c:pt idx="7">
                  <c:v>2.125</c:v>
                </c:pt>
                <c:pt idx="8">
                  <c:v>2.625</c:v>
                </c:pt>
                <c:pt idx="9">
                  <c:v>2.625</c:v>
                </c:pt>
                <c:pt idx="10">
                  <c:v>2.375</c:v>
                </c:pt>
                <c:pt idx="11">
                  <c:v>2.5</c:v>
                </c:pt>
                <c:pt idx="12">
                  <c:v>2.375</c:v>
                </c:pt>
                <c:pt idx="13">
                  <c:v>2.375</c:v>
                </c:pt>
                <c:pt idx="14">
                  <c:v>2.625</c:v>
                </c:pt>
                <c:pt idx="15">
                  <c:v>3</c:v>
                </c:pt>
                <c:pt idx="16">
                  <c:v>2.875</c:v>
                </c:pt>
                <c:pt idx="17">
                  <c:v>3.125</c:v>
                </c:pt>
                <c:pt idx="18">
                  <c:v>3.25</c:v>
                </c:pt>
                <c:pt idx="19">
                  <c:v>3.125</c:v>
                </c:pt>
                <c:pt idx="20">
                  <c:v>3.375</c:v>
                </c:pt>
                <c:pt idx="21">
                  <c:v>3.375</c:v>
                </c:pt>
                <c:pt idx="22">
                  <c:v>3.375</c:v>
                </c:pt>
                <c:pt idx="23">
                  <c:v>3.25</c:v>
                </c:pt>
                <c:pt idx="24">
                  <c:v>2.75</c:v>
                </c:pt>
                <c:pt idx="25">
                  <c:v>2.875</c:v>
                </c:pt>
                <c:pt idx="26">
                  <c:v>2.875</c:v>
                </c:pt>
                <c:pt idx="27">
                  <c:v>2.75</c:v>
                </c:pt>
                <c:pt idx="28">
                  <c:v>3.125</c:v>
                </c:pt>
                <c:pt idx="29">
                  <c:v>3.125</c:v>
                </c:pt>
                <c:pt idx="30">
                  <c:v>3.25</c:v>
                </c:pt>
                <c:pt idx="31">
                  <c:v>3.5</c:v>
                </c:pt>
                <c:pt idx="32">
                  <c:v>4.125</c:v>
                </c:pt>
                <c:pt idx="33">
                  <c:v>3.75</c:v>
                </c:pt>
                <c:pt idx="34">
                  <c:v>3.875</c:v>
                </c:pt>
                <c:pt idx="35">
                  <c:v>4.375</c:v>
                </c:pt>
                <c:pt idx="36">
                  <c:v>3.75</c:v>
                </c:pt>
                <c:pt idx="37">
                  <c:v>3.75</c:v>
                </c:pt>
                <c:pt idx="38">
                  <c:v>3.5</c:v>
                </c:pt>
                <c:pt idx="39">
                  <c:v>3.625</c:v>
                </c:pt>
                <c:pt idx="40">
                  <c:v>4.25</c:v>
                </c:pt>
                <c:pt idx="41">
                  <c:v>4.625</c:v>
                </c:pt>
                <c:pt idx="42">
                  <c:v>4.875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50-4803-8976-CBBEEA628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833328"/>
        <c:axId val="641834312"/>
      </c:scatterChart>
      <c:valAx>
        <c:axId val="641833328"/>
        <c:scaling>
          <c:orientation val="minMax"/>
          <c:max val="5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1834312"/>
        <c:crosses val="autoZero"/>
        <c:crossBetween val="midCat"/>
      </c:valAx>
      <c:valAx>
        <c:axId val="64183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418333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Tracking Signal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'MA.MAD.TS'!$A$2:$A$51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'MA.MAD.TS'!$G$2:$G$51</c:f>
              <c:numCache>
                <c:formatCode>General</c:formatCode>
                <c:ptCount val="50"/>
                <c:pt idx="6" formatCode="0.00">
                  <c:v>-1</c:v>
                </c:pt>
                <c:pt idx="7" formatCode="0.00">
                  <c:v>-0.2857142857142857</c:v>
                </c:pt>
                <c:pt idx="8" formatCode="0.00">
                  <c:v>0.6000000000000002</c:v>
                </c:pt>
                <c:pt idx="9" formatCode="0.00">
                  <c:v>1.9354838709677422</c:v>
                </c:pt>
                <c:pt idx="10" formatCode="0.00">
                  <c:v>1.5714285714285716</c:v>
                </c:pt>
                <c:pt idx="11" formatCode="0.00">
                  <c:v>2.7272727272727275</c:v>
                </c:pt>
                <c:pt idx="12" formatCode="0.00">
                  <c:v>3.7058823529411766</c:v>
                </c:pt>
                <c:pt idx="13" formatCode="0.00">
                  <c:v>3.7735849056603765</c:v>
                </c:pt>
                <c:pt idx="14" formatCode="0.00">
                  <c:v>2.5081967213114744</c:v>
                </c:pt>
                <c:pt idx="15" formatCode="0.00">
                  <c:v>4.761904761904761</c:v>
                </c:pt>
                <c:pt idx="16" formatCode="0.00">
                  <c:v>4.4999999999999991</c:v>
                </c:pt>
                <c:pt idx="17" formatCode="0.00">
                  <c:v>3.0303030303030298</c:v>
                </c:pt>
                <c:pt idx="18" formatCode="0.00">
                  <c:v>2.8039215686274503</c:v>
                </c:pt>
                <c:pt idx="19" formatCode="0.00">
                  <c:v>2.6923076923076921</c:v>
                </c:pt>
                <c:pt idx="20" formatCode="0.00">
                  <c:v>3.3333333333333326</c:v>
                </c:pt>
                <c:pt idx="21" formatCode="0.00">
                  <c:v>4.4137931034482749</c:v>
                </c:pt>
                <c:pt idx="22" formatCode="0.00">
                  <c:v>5.6666666666666652</c:v>
                </c:pt>
                <c:pt idx="23" formatCode="0.00">
                  <c:v>7.1999999999999993</c:v>
                </c:pt>
                <c:pt idx="24" formatCode="0.00">
                  <c:v>7.9166666666666661</c:v>
                </c:pt>
                <c:pt idx="25" formatCode="0.00">
                  <c:v>6.4935064935064917</c:v>
                </c:pt>
                <c:pt idx="26" formatCode="0.00">
                  <c:v>4.1999999999999993</c:v>
                </c:pt>
                <c:pt idx="27" formatCode="0.00">
                  <c:v>4.8045977011494241</c:v>
                </c:pt>
                <c:pt idx="28" formatCode="0.00">
                  <c:v>4.7045454545454524</c:v>
                </c:pt>
                <c:pt idx="29" formatCode="0.00">
                  <c:v>5.4364640883977895</c:v>
                </c:pt>
                <c:pt idx="30" formatCode="0.00">
                  <c:v>5.6629834254143629</c:v>
                </c:pt>
                <c:pt idx="31" formatCode="0.00">
                  <c:v>4.0624999999999982</c:v>
                </c:pt>
                <c:pt idx="32" formatCode="0.00">
                  <c:v>5.7669902912621342</c:v>
                </c:pt>
                <c:pt idx="33" formatCode="0.00">
                  <c:v>4.7102803738317736</c:v>
                </c:pt>
                <c:pt idx="34" formatCode="0.00">
                  <c:v>2.2499999999999982</c:v>
                </c:pt>
                <c:pt idx="35" formatCode="0.00">
                  <c:v>5.2123552123552104</c:v>
                </c:pt>
                <c:pt idx="36" formatCode="0.00">
                  <c:v>5.3861003861003844</c:v>
                </c:pt>
                <c:pt idx="37" formatCode="0.00">
                  <c:v>6.7306273062730604</c:v>
                </c:pt>
                <c:pt idx="38" formatCode="0.00">
                  <c:v>7.6881720430107503</c:v>
                </c:pt>
                <c:pt idx="39" formatCode="0.00">
                  <c:v>9.1672354948805435</c:v>
                </c:pt>
                <c:pt idx="40" formatCode="0.00">
                  <c:v>7.4104234527687272</c:v>
                </c:pt>
                <c:pt idx="41" formatCode="0.00">
                  <c:v>6.2460567823343824</c:v>
                </c:pt>
                <c:pt idx="42" formatCode="0.00">
                  <c:v>6.4195583596214485</c:v>
                </c:pt>
                <c:pt idx="43" formatCode="0.00">
                  <c:v>4.8363636363636333</c:v>
                </c:pt>
                <c:pt idx="44" formatCode="0.00">
                  <c:v>4.437125748502992</c:v>
                </c:pt>
                <c:pt idx="45" formatCode="0.00">
                  <c:v>4.2857142857142829</c:v>
                </c:pt>
                <c:pt idx="46" formatCode="0.00">
                  <c:v>6.3521126760563353</c:v>
                </c:pt>
                <c:pt idx="47" formatCode="0.00">
                  <c:v>10.499999999999998</c:v>
                </c:pt>
                <c:pt idx="48" formatCode="0.00">
                  <c:v>10.830423940149624</c:v>
                </c:pt>
                <c:pt idx="49" formatCode="0.00">
                  <c:v>11.082294264339149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F8-4783-815A-316FA29B4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86088"/>
        <c:axId val="809486416"/>
      </c:scatterChart>
      <c:scatterChart>
        <c:scatterStyle val="smoothMarker"/>
        <c:varyColors val="0"/>
        <c:ser>
          <c:idx val="1"/>
          <c:order val="1"/>
          <c:tx>
            <c:strRef>
              <c:f>'MA.MAD.TS'!$J$4</c:f>
              <c:strCache>
                <c:ptCount val="1"/>
                <c:pt idx="0">
                  <c:v>LCL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'MA.MAD.TS'!$I$5:$I$6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'MA.MAD.TS'!$J$5:$J$6</c:f>
              <c:numCache>
                <c:formatCode>General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F8-4783-815A-316FA29B40D1}"/>
            </c:ext>
          </c:extLst>
        </c:ser>
        <c:ser>
          <c:idx val="2"/>
          <c:order val="2"/>
          <c:tx>
            <c:strRef>
              <c:f>'MA.MAD.TS'!$K$4</c:f>
              <c:strCache>
                <c:ptCount val="1"/>
                <c:pt idx="0">
                  <c:v>UCL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'MA.MAD.TS'!$I$5:$I$6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'MA.MAD.TS'!$K$5:$K$6</c:f>
              <c:numCache>
                <c:formatCode>General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9F8-4783-815A-316FA29B40D1}"/>
            </c:ext>
          </c:extLst>
        </c:ser>
        <c:ser>
          <c:idx val="3"/>
          <c:order val="3"/>
          <c:tx>
            <c:strRef>
              <c:f>'MA.MAD.TS'!$L$4</c:f>
              <c:strCache>
                <c:ptCount val="1"/>
                <c:pt idx="0">
                  <c:v>Center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'MA.MAD.TS'!$I$5:$I$6</c:f>
              <c:numCache>
                <c:formatCode>General</c:formatCode>
                <c:ptCount val="2"/>
                <c:pt idx="0">
                  <c:v>1</c:v>
                </c:pt>
                <c:pt idx="1">
                  <c:v>50</c:v>
                </c:pt>
              </c:numCache>
            </c:numRef>
          </c:xVal>
          <c:yVal>
            <c:numRef>
              <c:f>'MA.MAD.TS'!$L$5:$L$6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9F8-4783-815A-316FA29B4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486088"/>
        <c:axId val="809486416"/>
      </c:scatterChart>
      <c:valAx>
        <c:axId val="809486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09486416"/>
        <c:crosses val="autoZero"/>
        <c:crossBetween val="midCat"/>
      </c:valAx>
      <c:valAx>
        <c:axId val="80948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80948608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'BIA.MAD.MSE.MAPE.TS'!$E$1</c:f>
          <c:strCache>
            <c:ptCount val="1"/>
            <c:pt idx="0">
              <c:v>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yVal>
            <c:numRef>
              <c:f>'BIA.MAD.MSE.MAPE.TS'!$E$5:$E$29</c:f>
              <c:numCache>
                <c:formatCode>0.0</c:formatCode>
                <c:ptCount val="25"/>
                <c:pt idx="0">
                  <c:v>-4</c:v>
                </c:pt>
                <c:pt idx="1">
                  <c:v>-7.6666666666666643</c:v>
                </c:pt>
                <c:pt idx="2">
                  <c:v>12</c:v>
                </c:pt>
                <c:pt idx="3">
                  <c:v>-9.3333333333333357</c:v>
                </c:pt>
                <c:pt idx="4">
                  <c:v>19.333333333333336</c:v>
                </c:pt>
                <c:pt idx="5">
                  <c:v>9</c:v>
                </c:pt>
                <c:pt idx="6">
                  <c:v>10.666666666666664</c:v>
                </c:pt>
                <c:pt idx="7">
                  <c:v>9</c:v>
                </c:pt>
                <c:pt idx="8">
                  <c:v>-31.333333333333336</c:v>
                </c:pt>
                <c:pt idx="9">
                  <c:v>-11</c:v>
                </c:pt>
                <c:pt idx="10">
                  <c:v>-9.3333333333333357</c:v>
                </c:pt>
                <c:pt idx="11">
                  <c:v>13.333333333333336</c:v>
                </c:pt>
                <c:pt idx="12">
                  <c:v>-4.6666666666666643</c:v>
                </c:pt>
                <c:pt idx="13">
                  <c:v>-10</c:v>
                </c:pt>
                <c:pt idx="14">
                  <c:v>-7.6666666666666643</c:v>
                </c:pt>
                <c:pt idx="15">
                  <c:v>-6.3333333333333357</c:v>
                </c:pt>
                <c:pt idx="16">
                  <c:v>2.6666666666666643</c:v>
                </c:pt>
                <c:pt idx="17">
                  <c:v>27.666666666666664</c:v>
                </c:pt>
                <c:pt idx="18">
                  <c:v>-13.666666666666664</c:v>
                </c:pt>
                <c:pt idx="19">
                  <c:v>-1.6666666666666643</c:v>
                </c:pt>
                <c:pt idx="20">
                  <c:v>1.3333333333333357</c:v>
                </c:pt>
                <c:pt idx="21">
                  <c:v>47.333333333333336</c:v>
                </c:pt>
                <c:pt idx="22">
                  <c:v>-22</c:v>
                </c:pt>
                <c:pt idx="23">
                  <c:v>-12.666666666666664</c:v>
                </c:pt>
                <c:pt idx="24">
                  <c:v>-9.3333333333333357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CD-473E-B3B8-87DF62D15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scatterChart>
        <c:scatterStyle val="smoothMarker"/>
        <c:varyColors val="0"/>
        <c:ser>
          <c:idx val="1"/>
          <c:order val="1"/>
          <c:tx>
            <c:v>Zero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'BIA.MAD.MSE.MAPE.TS'!$X$1:$X$2</c:f>
              <c:numCache>
                <c:formatCode>General</c:formatCode>
                <c:ptCount val="2"/>
                <c:pt idx="0">
                  <c:v>1</c:v>
                </c:pt>
                <c:pt idx="1">
                  <c:v>28</c:v>
                </c:pt>
              </c:numCache>
            </c:numRef>
          </c:xVal>
          <c:yVal>
            <c:numRef>
              <c:f>'BIA.MAD.MSE.MAPE.TS'!$Y$1:$Y$2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CD-473E-B3B8-87DF62D15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valAx>
        <c:axId val="16983688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527619807"/>
        <c:crosses val="autoZero"/>
        <c:crossBetween val="midCat"/>
      </c:valAx>
      <c:valAx>
        <c:axId val="152761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98368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'BIA.MAD.MSE.MAPE.TS'!$I$1</c:f>
          <c:strCache>
            <c:ptCount val="1"/>
            <c:pt idx="0">
              <c:v>Bias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yVal>
            <c:numRef>
              <c:f>'BIA.MAD.MSE.MAPE.TS'!$I$5:$I$29</c:f>
              <c:numCache>
                <c:formatCode>0.0</c:formatCode>
                <c:ptCount val="25"/>
                <c:pt idx="0">
                  <c:v>-4</c:v>
                </c:pt>
                <c:pt idx="1">
                  <c:v>-11.666666666666664</c:v>
                </c:pt>
                <c:pt idx="2">
                  <c:v>0.3333333333333357</c:v>
                </c:pt>
                <c:pt idx="3">
                  <c:v>-9</c:v>
                </c:pt>
                <c:pt idx="4">
                  <c:v>10.333333333333336</c:v>
                </c:pt>
                <c:pt idx="5">
                  <c:v>19.333333333333336</c:v>
                </c:pt>
                <c:pt idx="6">
                  <c:v>30</c:v>
                </c:pt>
                <c:pt idx="7">
                  <c:v>39</c:v>
                </c:pt>
                <c:pt idx="8">
                  <c:v>7.6666666666666643</c:v>
                </c:pt>
                <c:pt idx="9">
                  <c:v>-3.3333333333333357</c:v>
                </c:pt>
                <c:pt idx="10">
                  <c:v>-12.666666666666671</c:v>
                </c:pt>
                <c:pt idx="11">
                  <c:v>0.6666666666666643</c:v>
                </c:pt>
                <c:pt idx="12">
                  <c:v>-4</c:v>
                </c:pt>
                <c:pt idx="13">
                  <c:v>-14</c:v>
                </c:pt>
                <c:pt idx="14">
                  <c:v>-21.666666666666664</c:v>
                </c:pt>
                <c:pt idx="15">
                  <c:v>-28</c:v>
                </c:pt>
                <c:pt idx="16">
                  <c:v>-25.333333333333336</c:v>
                </c:pt>
                <c:pt idx="17">
                  <c:v>2.3333333333333286</c:v>
                </c:pt>
                <c:pt idx="18">
                  <c:v>-11.333333333333336</c:v>
                </c:pt>
                <c:pt idx="19">
                  <c:v>-13</c:v>
                </c:pt>
                <c:pt idx="20">
                  <c:v>-11.666666666666664</c:v>
                </c:pt>
                <c:pt idx="21">
                  <c:v>35.666666666666671</c:v>
                </c:pt>
                <c:pt idx="22">
                  <c:v>13.666666666666671</c:v>
                </c:pt>
                <c:pt idx="23">
                  <c:v>1.0000000000000071</c:v>
                </c:pt>
                <c:pt idx="24">
                  <c:v>-8.3333333333333286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A1-4711-96BC-3355F572E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scatterChart>
        <c:scatterStyle val="smoothMarker"/>
        <c:varyColors val="0"/>
        <c:ser>
          <c:idx val="1"/>
          <c:order val="1"/>
          <c:tx>
            <c:v>Zero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'BIA.MAD.MSE.MAPE.TS'!$X$1:$X$2</c:f>
              <c:numCache>
                <c:formatCode>General</c:formatCode>
                <c:ptCount val="2"/>
                <c:pt idx="0">
                  <c:v>1</c:v>
                </c:pt>
                <c:pt idx="1">
                  <c:v>28</c:v>
                </c:pt>
              </c:numCache>
            </c:numRef>
          </c:xVal>
          <c:yVal>
            <c:numRef>
              <c:f>'BIA.MAD.MSE.MAPE.TS'!$Y$1:$Y$2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A1-4711-96BC-3355F572E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valAx>
        <c:axId val="16983688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527619807"/>
        <c:crosses val="autoZero"/>
        <c:crossBetween val="midCat"/>
      </c:valAx>
      <c:valAx>
        <c:axId val="152761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98368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'BIA.MAD.MSE.MAPE.TS'!$M$1</c:f>
          <c:strCache>
            <c:ptCount val="1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yVal>
            <c:numRef>
              <c:f>'BIA.MAD.MSE.MAPE.TS'!$M$5:$M$29</c:f>
              <c:numCache>
                <c:formatCode>0.0</c:formatCode>
                <c:ptCount val="25"/>
                <c:pt idx="0">
                  <c:v>-1</c:v>
                </c:pt>
                <c:pt idx="1">
                  <c:v>-2</c:v>
                </c:pt>
                <c:pt idx="2">
                  <c:v>4.2253521126760868E-2</c:v>
                </c:pt>
                <c:pt idx="3">
                  <c:v>-1.0909090909090908</c:v>
                </c:pt>
                <c:pt idx="4">
                  <c:v>0.98726114649681551</c:v>
                </c:pt>
                <c:pt idx="5">
                  <c:v>1.8913043478260869</c:v>
                </c:pt>
                <c:pt idx="6">
                  <c:v>2.9166666666666665</c:v>
                </c:pt>
                <c:pt idx="7">
                  <c:v>3.8518518518518516</c:v>
                </c:pt>
                <c:pt idx="8">
                  <c:v>0.61424332344213628</c:v>
                </c:pt>
                <c:pt idx="9">
                  <c:v>-0.27027027027027045</c:v>
                </c:pt>
                <c:pt idx="10">
                  <c:v>-1.0502512562814073</c:v>
                </c:pt>
                <c:pt idx="11">
                  <c:v>5.4794520547944994E-2</c:v>
                </c:pt>
                <c:pt idx="12">
                  <c:v>-0.34513274336283184</c:v>
                </c:pt>
                <c:pt idx="13">
                  <c:v>-1.2199170124481327</c:v>
                </c:pt>
                <c:pt idx="14">
                  <c:v>-1.9306930693069304</c:v>
                </c:pt>
                <c:pt idx="15">
                  <c:v>-2.5648854961832059</c:v>
                </c:pt>
                <c:pt idx="16">
                  <c:v>-2.4285714285714288</c:v>
                </c:pt>
                <c:pt idx="17">
                  <c:v>0.20487804878048738</c:v>
                </c:pt>
                <c:pt idx="18">
                  <c:v>-0.98475609756097582</c:v>
                </c:pt>
                <c:pt idx="19">
                  <c:v>-1.1800302571860819</c:v>
                </c:pt>
                <c:pt idx="20">
                  <c:v>-1.1052631578947367</c:v>
                </c:pt>
                <c:pt idx="21">
                  <c:v>2.9169764560099138</c:v>
                </c:pt>
                <c:pt idx="22">
                  <c:v>1.0801832760595651</c:v>
                </c:pt>
                <c:pt idx="23">
                  <c:v>7.9034028540066414E-2</c:v>
                </c:pt>
                <c:pt idx="24">
                  <c:v>-0.66560170394036178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F7-4342-8FB6-756E40DBB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scatterChart>
        <c:scatterStyle val="smoothMarker"/>
        <c:varyColors val="0"/>
        <c:ser>
          <c:idx val="1"/>
          <c:order val="1"/>
          <c:tx>
            <c:v>Zero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'BIA.MAD.MSE.MAPE.TS'!$X$1:$X$2</c:f>
              <c:numCache>
                <c:formatCode>General</c:formatCode>
                <c:ptCount val="2"/>
                <c:pt idx="0">
                  <c:v>1</c:v>
                </c:pt>
                <c:pt idx="1">
                  <c:v>28</c:v>
                </c:pt>
              </c:numCache>
            </c:numRef>
          </c:xVal>
          <c:yVal>
            <c:numRef>
              <c:f>'BIA.MAD.MSE.MAPE.TS'!$Y$1:$Y$2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5F7-4342-8FB6-756E40DBB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368863"/>
        <c:axId val="1527619807"/>
      </c:scatterChart>
      <c:valAx>
        <c:axId val="169836886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527619807"/>
        <c:crosses val="autoZero"/>
        <c:crossBetween val="midCat"/>
      </c:valAx>
      <c:valAx>
        <c:axId val="152761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98368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'BIA.MAD.MSE.MAPE.TS'!$A$2:$A$29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'BIA.MAD.MSE.MAPE.TS'!$B$2:$B$29</c:f>
              <c:numCache>
                <c:formatCode>General</c:formatCode>
                <c:ptCount val="28"/>
                <c:pt idx="0">
                  <c:v>32</c:v>
                </c:pt>
                <c:pt idx="1">
                  <c:v>42</c:v>
                </c:pt>
                <c:pt idx="2">
                  <c:v>37</c:v>
                </c:pt>
                <c:pt idx="3">
                  <c:v>34</c:v>
                </c:pt>
                <c:pt idx="4">
                  <c:v>31</c:v>
                </c:pt>
                <c:pt idx="5">
                  <c:v>47</c:v>
                </c:pt>
                <c:pt idx="6">
                  <c:v>29</c:v>
                </c:pt>
                <c:pt idx="7">
                  <c:v>56</c:v>
                </c:pt>
                <c:pt idx="8">
                  <c:v>54</c:v>
                </c:pt>
                <c:pt idx="9">
                  <c:v>58</c:v>
                </c:pt>
                <c:pt idx="10">
                  <c:v>66</c:v>
                </c:pt>
                <c:pt idx="11">
                  <c:v>29</c:v>
                </c:pt>
                <c:pt idx="12">
                  <c:v>41</c:v>
                </c:pt>
                <c:pt idx="13">
                  <c:v>37</c:v>
                </c:pt>
                <c:pt idx="14">
                  <c:v>50</c:v>
                </c:pt>
                <c:pt idx="15">
                  <c:v>39</c:v>
                </c:pt>
                <c:pt idx="16">
                  <c:v>33</c:v>
                </c:pt>
                <c:pt idx="17">
                  <c:v>34</c:v>
                </c:pt>
                <c:pt idx="18">
                  <c:v>30</c:v>
                </c:pt>
                <c:pt idx="19">
                  <c:v>36</c:v>
                </c:pt>
                <c:pt idx="20">
                  <c:v>62</c:v>
                </c:pt>
                <c:pt idx="21">
                  <c:v>30</c:v>
                </c:pt>
                <c:pt idx="22">
                  <c:v>42</c:v>
                </c:pt>
                <c:pt idx="23">
                  <c:v>47</c:v>
                </c:pt>
                <c:pt idx="24">
                  <c:v>88</c:v>
                </c:pt>
                <c:pt idx="25">
                  <c:v>38</c:v>
                </c:pt>
                <c:pt idx="26">
                  <c:v>46</c:v>
                </c:pt>
                <c:pt idx="27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6C-4A80-8805-EBFC57DF2804}"/>
            </c:ext>
          </c:extLst>
        </c:ser>
        <c:ser>
          <c:idx val="1"/>
          <c:order val="1"/>
          <c:tx>
            <c:strRef>
              <c:f>'BIA.MAD.MSE.MAPE.TS'!$D$1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'BIA.MAD.MSE.MAPE.TS'!$A$2:$A$29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'BIA.MAD.MSE.MAPE.TS'!$D$2:$D$29</c:f>
              <c:numCache>
                <c:formatCode>General</c:formatCode>
                <c:ptCount val="28"/>
                <c:pt idx="3" formatCode="0.0">
                  <c:v>38</c:v>
                </c:pt>
                <c:pt idx="4" formatCode="0.0">
                  <c:v>38.666666666666664</c:v>
                </c:pt>
                <c:pt idx="5" formatCode="0.0">
                  <c:v>35</c:v>
                </c:pt>
                <c:pt idx="6" formatCode="0.0">
                  <c:v>38.333333333333336</c:v>
                </c:pt>
                <c:pt idx="7" formatCode="0.0">
                  <c:v>36.666666666666664</c:v>
                </c:pt>
                <c:pt idx="8" formatCode="0.0">
                  <c:v>45</c:v>
                </c:pt>
                <c:pt idx="9" formatCode="0.0">
                  <c:v>47.333333333333336</c:v>
                </c:pt>
                <c:pt idx="10" formatCode="0.0">
                  <c:v>57</c:v>
                </c:pt>
                <c:pt idx="11" formatCode="0.0">
                  <c:v>60.333333333333336</c:v>
                </c:pt>
                <c:pt idx="12" formatCode="0.0">
                  <c:v>52</c:v>
                </c:pt>
                <c:pt idx="13" formatCode="0.0">
                  <c:v>46.333333333333336</c:v>
                </c:pt>
                <c:pt idx="14" formatCode="0.0">
                  <c:v>36.666666666666664</c:v>
                </c:pt>
                <c:pt idx="15" formatCode="0.0">
                  <c:v>43.666666666666664</c:v>
                </c:pt>
                <c:pt idx="16" formatCode="0.0">
                  <c:v>43</c:v>
                </c:pt>
                <c:pt idx="17" formatCode="0.0">
                  <c:v>41.666666666666664</c:v>
                </c:pt>
                <c:pt idx="18" formatCode="0.0">
                  <c:v>36.333333333333336</c:v>
                </c:pt>
                <c:pt idx="19" formatCode="0.0">
                  <c:v>33.333333333333336</c:v>
                </c:pt>
                <c:pt idx="20" formatCode="0.0">
                  <c:v>34.333333333333336</c:v>
                </c:pt>
                <c:pt idx="21" formatCode="0.0">
                  <c:v>43.666666666666664</c:v>
                </c:pt>
                <c:pt idx="22" formatCode="0.0">
                  <c:v>43.666666666666664</c:v>
                </c:pt>
                <c:pt idx="23" formatCode="0.0">
                  <c:v>45.666666666666664</c:v>
                </c:pt>
                <c:pt idx="24" formatCode="0.0">
                  <c:v>40.666666666666664</c:v>
                </c:pt>
                <c:pt idx="25" formatCode="0.0">
                  <c:v>60</c:v>
                </c:pt>
                <c:pt idx="26" formatCode="0.0">
                  <c:v>58.666666666666664</c:v>
                </c:pt>
                <c:pt idx="27" formatCode="0.0">
                  <c:v>58.333333333333336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6C-4A80-8805-EBFC57DF2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611312"/>
        <c:axId val="1386185264"/>
      </c:scatterChart>
      <c:valAx>
        <c:axId val="1928611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185264"/>
        <c:crosses val="autoZero"/>
        <c:crossBetween val="midCat"/>
      </c:valAx>
      <c:valAx>
        <c:axId val="138618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611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Stationary!$B$2</c:f>
          <c:strCache>
            <c:ptCount val="1"/>
            <c:pt idx="0">
              <c:v>Non-Stationary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Stationary!$C$2</c:f>
              <c:strCache>
                <c:ptCount val="1"/>
                <c:pt idx="0">
                  <c:v>SUM(At)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5080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Stationary!$A$3:$A$52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Stationary!$C$3:$C$52</c:f>
              <c:numCache>
                <c:formatCode>General</c:formatCode>
                <c:ptCount val="50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16</c:v>
                </c:pt>
                <c:pt idx="11">
                  <c:v>19</c:v>
                </c:pt>
                <c:pt idx="12">
                  <c:v>22</c:v>
                </c:pt>
                <c:pt idx="13">
                  <c:v>24</c:v>
                </c:pt>
                <c:pt idx="14">
                  <c:v>25</c:v>
                </c:pt>
                <c:pt idx="15">
                  <c:v>31</c:v>
                </c:pt>
                <c:pt idx="16">
                  <c:v>33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41</c:v>
                </c:pt>
                <c:pt idx="21">
                  <c:v>45</c:v>
                </c:pt>
                <c:pt idx="22">
                  <c:v>49</c:v>
                </c:pt>
                <c:pt idx="23">
                  <c:v>54</c:v>
                </c:pt>
                <c:pt idx="24">
                  <c:v>58</c:v>
                </c:pt>
                <c:pt idx="25">
                  <c:v>60</c:v>
                </c:pt>
                <c:pt idx="26">
                  <c:v>61</c:v>
                </c:pt>
                <c:pt idx="27">
                  <c:v>65</c:v>
                </c:pt>
                <c:pt idx="28">
                  <c:v>68</c:v>
                </c:pt>
                <c:pt idx="29">
                  <c:v>72</c:v>
                </c:pt>
                <c:pt idx="30">
                  <c:v>75</c:v>
                </c:pt>
                <c:pt idx="31">
                  <c:v>76</c:v>
                </c:pt>
                <c:pt idx="32">
                  <c:v>81</c:v>
                </c:pt>
                <c:pt idx="33">
                  <c:v>83</c:v>
                </c:pt>
                <c:pt idx="34">
                  <c:v>83</c:v>
                </c:pt>
                <c:pt idx="35">
                  <c:v>90</c:v>
                </c:pt>
                <c:pt idx="36">
                  <c:v>93</c:v>
                </c:pt>
                <c:pt idx="37">
                  <c:v>98</c:v>
                </c:pt>
                <c:pt idx="38">
                  <c:v>103</c:v>
                </c:pt>
                <c:pt idx="39">
                  <c:v>109</c:v>
                </c:pt>
                <c:pt idx="40">
                  <c:v>111</c:v>
                </c:pt>
                <c:pt idx="41">
                  <c:v>114</c:v>
                </c:pt>
                <c:pt idx="42">
                  <c:v>118</c:v>
                </c:pt>
                <c:pt idx="43">
                  <c:v>120</c:v>
                </c:pt>
                <c:pt idx="44">
                  <c:v>123</c:v>
                </c:pt>
                <c:pt idx="45">
                  <c:v>126</c:v>
                </c:pt>
                <c:pt idx="46">
                  <c:v>132</c:v>
                </c:pt>
                <c:pt idx="47">
                  <c:v>143</c:v>
                </c:pt>
                <c:pt idx="48">
                  <c:v>148</c:v>
                </c:pt>
                <c:pt idx="49">
                  <c:v>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B4-4C5A-8EAD-2F21478F5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Stationary!$E$2</c:f>
          <c:strCache>
            <c:ptCount val="1"/>
            <c:pt idx="0">
              <c:v>Stationary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Stationary!$C$2</c:f>
              <c:strCache>
                <c:ptCount val="1"/>
                <c:pt idx="0">
                  <c:v>SUM(At)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Stationary!$A$3:$A$52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Stationary!$B$3:$B$52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C2-49D7-882C-6EF62A6BC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scatterChart>
        <c:scatterStyle val="smoothMarker"/>
        <c:varyColors val="0"/>
        <c:ser>
          <c:idx val="1"/>
          <c:order val="1"/>
          <c:tx>
            <c:v>Average</c:v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Stationary!$Q$1:$Q$2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Stationary!$R$1:$R$2</c:f>
              <c:numCache>
                <c:formatCode>General</c:formatCode>
                <c:ptCount val="2"/>
                <c:pt idx="0">
                  <c:v>3.06</c:v>
                </c:pt>
                <c:pt idx="1">
                  <c:v>3.06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BC2-49D7-882C-6EF62A6BC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Stationary!$B$2</c:f>
          <c:strCache>
            <c:ptCount val="1"/>
            <c:pt idx="0">
              <c:v>Non-Stationary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Stationary!$C$2</c:f>
              <c:strCache>
                <c:ptCount val="1"/>
                <c:pt idx="0">
                  <c:v>SUM(At)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Stationary!$A$3:$A$52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Stationary!$B$3:$B$52</c:f>
              <c:numCache>
                <c:formatCode>General</c:formatCode>
                <c:ptCount val="5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>
                  <c:v>2</c:v>
                </c:pt>
                <c:pt idx="26">
                  <c:v>1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3</c:v>
                </c:pt>
                <c:pt idx="31">
                  <c:v>1</c:v>
                </c:pt>
                <c:pt idx="32">
                  <c:v>5</c:v>
                </c:pt>
                <c:pt idx="33">
                  <c:v>2</c:v>
                </c:pt>
                <c:pt idx="34">
                  <c:v>0</c:v>
                </c:pt>
                <c:pt idx="35">
                  <c:v>7</c:v>
                </c:pt>
                <c:pt idx="36">
                  <c:v>3</c:v>
                </c:pt>
                <c:pt idx="37">
                  <c:v>5</c:v>
                </c:pt>
                <c:pt idx="38">
                  <c:v>5</c:v>
                </c:pt>
                <c:pt idx="39">
                  <c:v>6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3</c:v>
                </c:pt>
                <c:pt idx="46">
                  <c:v>6</c:v>
                </c:pt>
                <c:pt idx="47">
                  <c:v>11</c:v>
                </c:pt>
                <c:pt idx="48">
                  <c:v>5</c:v>
                </c:pt>
                <c:pt idx="49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DA-41CD-9CC5-147BAC6D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scatterChart>
        <c:scatterStyle val="smoothMarker"/>
        <c:varyColors val="0"/>
        <c:ser>
          <c:idx val="1"/>
          <c:order val="1"/>
          <c:tx>
            <c:v>Average</c:v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Stationary!$Q$1:$Q$2</c:f>
              <c:numCache>
                <c:formatCode>General</c:formatCode>
                <c:ptCount val="2"/>
                <c:pt idx="0">
                  <c:v>0</c:v>
                </c:pt>
                <c:pt idx="1">
                  <c:v>50</c:v>
                </c:pt>
              </c:numCache>
            </c:numRef>
          </c:xVal>
          <c:yVal>
            <c:numRef>
              <c:f>Stationary!$R$1:$R$2</c:f>
              <c:numCache>
                <c:formatCode>General</c:formatCode>
                <c:ptCount val="2"/>
                <c:pt idx="0">
                  <c:v>3.06</c:v>
                </c:pt>
                <c:pt idx="1">
                  <c:v>3.06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DA-41CD-9CC5-147BAC6D1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Stationary!$E$2</c:f>
          <c:strCache>
            <c:ptCount val="1"/>
            <c:pt idx="0">
              <c:v>Stationary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Stationary!$C$2</c:f>
              <c:strCache>
                <c:ptCount val="1"/>
                <c:pt idx="0">
                  <c:v>SUM(At)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5080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Stationary!$A$3:$A$52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Stationary!$F$3:$F$52</c:f>
              <c:numCache>
                <c:formatCode>General</c:formatCode>
                <c:ptCount val="50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11</c:v>
                </c:pt>
                <c:pt idx="4">
                  <c:v>14</c:v>
                </c:pt>
                <c:pt idx="5">
                  <c:v>17</c:v>
                </c:pt>
                <c:pt idx="6">
                  <c:v>19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37</c:v>
                </c:pt>
                <c:pt idx="11">
                  <c:v>39</c:v>
                </c:pt>
                <c:pt idx="12">
                  <c:v>42</c:v>
                </c:pt>
                <c:pt idx="13">
                  <c:v>45</c:v>
                </c:pt>
                <c:pt idx="14">
                  <c:v>49</c:v>
                </c:pt>
                <c:pt idx="15">
                  <c:v>52</c:v>
                </c:pt>
                <c:pt idx="16">
                  <c:v>54</c:v>
                </c:pt>
                <c:pt idx="17">
                  <c:v>57</c:v>
                </c:pt>
                <c:pt idx="18">
                  <c:v>59</c:v>
                </c:pt>
                <c:pt idx="19">
                  <c:v>62</c:v>
                </c:pt>
                <c:pt idx="20">
                  <c:v>67</c:v>
                </c:pt>
                <c:pt idx="21">
                  <c:v>69</c:v>
                </c:pt>
                <c:pt idx="22">
                  <c:v>72</c:v>
                </c:pt>
                <c:pt idx="23">
                  <c:v>76</c:v>
                </c:pt>
                <c:pt idx="24">
                  <c:v>82</c:v>
                </c:pt>
                <c:pt idx="25">
                  <c:v>85</c:v>
                </c:pt>
                <c:pt idx="26">
                  <c:v>88</c:v>
                </c:pt>
                <c:pt idx="27">
                  <c:v>92</c:v>
                </c:pt>
                <c:pt idx="28">
                  <c:v>95</c:v>
                </c:pt>
                <c:pt idx="29">
                  <c:v>97</c:v>
                </c:pt>
                <c:pt idx="30">
                  <c:v>99</c:v>
                </c:pt>
                <c:pt idx="31">
                  <c:v>102</c:v>
                </c:pt>
                <c:pt idx="32">
                  <c:v>104</c:v>
                </c:pt>
                <c:pt idx="33">
                  <c:v>108</c:v>
                </c:pt>
                <c:pt idx="34">
                  <c:v>113</c:v>
                </c:pt>
                <c:pt idx="35">
                  <c:v>117</c:v>
                </c:pt>
                <c:pt idx="36">
                  <c:v>120</c:v>
                </c:pt>
                <c:pt idx="37">
                  <c:v>123</c:v>
                </c:pt>
                <c:pt idx="38">
                  <c:v>125</c:v>
                </c:pt>
                <c:pt idx="39">
                  <c:v>129</c:v>
                </c:pt>
                <c:pt idx="40">
                  <c:v>131</c:v>
                </c:pt>
                <c:pt idx="41">
                  <c:v>134</c:v>
                </c:pt>
                <c:pt idx="42">
                  <c:v>136</c:v>
                </c:pt>
                <c:pt idx="43">
                  <c:v>139</c:v>
                </c:pt>
                <c:pt idx="44">
                  <c:v>142</c:v>
                </c:pt>
                <c:pt idx="45">
                  <c:v>147</c:v>
                </c:pt>
                <c:pt idx="46">
                  <c:v>151</c:v>
                </c:pt>
                <c:pt idx="47">
                  <c:v>155</c:v>
                </c:pt>
                <c:pt idx="48">
                  <c:v>157</c:v>
                </c:pt>
                <c:pt idx="49">
                  <c:v>160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1F-41DF-8592-A814B9E35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10128"/>
        <c:axId val="1945922032"/>
      </c:scatterChart>
      <c:valAx>
        <c:axId val="7141012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45922032"/>
        <c:crosses val="autoZero"/>
        <c:crossBetween val="midCat"/>
      </c:valAx>
      <c:valAx>
        <c:axId val="1945922032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71410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Every.MA!$B$1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Every.MA!$A$2:$A$29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Every.MA!$B$2:$B$29</c:f>
              <c:numCache>
                <c:formatCode>General</c:formatCode>
                <c:ptCount val="28"/>
                <c:pt idx="0">
                  <c:v>32</c:v>
                </c:pt>
                <c:pt idx="1">
                  <c:v>42</c:v>
                </c:pt>
                <c:pt idx="2">
                  <c:v>37</c:v>
                </c:pt>
                <c:pt idx="3">
                  <c:v>34</c:v>
                </c:pt>
                <c:pt idx="4">
                  <c:v>31</c:v>
                </c:pt>
                <c:pt idx="5">
                  <c:v>47</c:v>
                </c:pt>
                <c:pt idx="6">
                  <c:v>29</c:v>
                </c:pt>
                <c:pt idx="7">
                  <c:v>56</c:v>
                </c:pt>
                <c:pt idx="8">
                  <c:v>54</c:v>
                </c:pt>
                <c:pt idx="9">
                  <c:v>58</c:v>
                </c:pt>
                <c:pt idx="10">
                  <c:v>66</c:v>
                </c:pt>
                <c:pt idx="11">
                  <c:v>29</c:v>
                </c:pt>
                <c:pt idx="12">
                  <c:v>41</c:v>
                </c:pt>
                <c:pt idx="13">
                  <c:v>37</c:v>
                </c:pt>
                <c:pt idx="14">
                  <c:v>50</c:v>
                </c:pt>
                <c:pt idx="15">
                  <c:v>39</c:v>
                </c:pt>
                <c:pt idx="16">
                  <c:v>33</c:v>
                </c:pt>
                <c:pt idx="17">
                  <c:v>34</c:v>
                </c:pt>
                <c:pt idx="18">
                  <c:v>30</c:v>
                </c:pt>
                <c:pt idx="19">
                  <c:v>36</c:v>
                </c:pt>
                <c:pt idx="20">
                  <c:v>62</c:v>
                </c:pt>
                <c:pt idx="21">
                  <c:v>30</c:v>
                </c:pt>
                <c:pt idx="22">
                  <c:v>42</c:v>
                </c:pt>
                <c:pt idx="23">
                  <c:v>47</c:v>
                </c:pt>
                <c:pt idx="24">
                  <c:v>88</c:v>
                </c:pt>
                <c:pt idx="25">
                  <c:v>38</c:v>
                </c:pt>
                <c:pt idx="26">
                  <c:v>46</c:v>
                </c:pt>
                <c:pt idx="27">
                  <c:v>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E2-4704-BC91-52F2511BFF2D}"/>
            </c:ext>
          </c:extLst>
        </c:ser>
        <c:ser>
          <c:idx val="1"/>
          <c:order val="1"/>
          <c:tx>
            <c:strRef>
              <c:f>Every.MA!$C$1</c:f>
              <c:strCache>
                <c:ptCount val="1"/>
                <c:pt idx="0">
                  <c:v>Ft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Every.MA!$A$2:$A$29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Every.MA!$C$2:$C$29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35.200000000000003</c:v>
                </c:pt>
                <c:pt idx="5">
                  <c:v>38.200000000000003</c:v>
                </c:pt>
                <c:pt idx="6">
                  <c:v>35.6</c:v>
                </c:pt>
                <c:pt idx="7">
                  <c:v>39.4</c:v>
                </c:pt>
                <c:pt idx="8">
                  <c:v>43.400000000000006</c:v>
                </c:pt>
                <c:pt idx="9">
                  <c:v>48.800000000000004</c:v>
                </c:pt>
                <c:pt idx="10">
                  <c:v>52.6</c:v>
                </c:pt>
                <c:pt idx="11">
                  <c:v>52.6</c:v>
                </c:pt>
                <c:pt idx="12">
                  <c:v>49.599999999999994</c:v>
                </c:pt>
                <c:pt idx="13">
                  <c:v>46.199999999999989</c:v>
                </c:pt>
                <c:pt idx="14">
                  <c:v>44.599999999999987</c:v>
                </c:pt>
                <c:pt idx="15">
                  <c:v>39.199999999999989</c:v>
                </c:pt>
                <c:pt idx="16">
                  <c:v>39.999999999999993</c:v>
                </c:pt>
                <c:pt idx="17">
                  <c:v>38.599999999999994</c:v>
                </c:pt>
                <c:pt idx="18">
                  <c:v>37.199999999999996</c:v>
                </c:pt>
                <c:pt idx="19">
                  <c:v>34.4</c:v>
                </c:pt>
                <c:pt idx="20">
                  <c:v>39</c:v>
                </c:pt>
                <c:pt idx="21">
                  <c:v>38.4</c:v>
                </c:pt>
                <c:pt idx="22">
                  <c:v>40</c:v>
                </c:pt>
                <c:pt idx="23">
                  <c:v>43.4</c:v>
                </c:pt>
                <c:pt idx="24">
                  <c:v>53.8</c:v>
                </c:pt>
                <c:pt idx="25">
                  <c:v>49</c:v>
                </c:pt>
                <c:pt idx="26">
                  <c:v>52.2</c:v>
                </c:pt>
                <c:pt idx="27">
                  <c:v>53.6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E2-4704-BC91-52F2511BF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6619072"/>
        <c:axId val="1386197744"/>
      </c:scatterChart>
      <c:valAx>
        <c:axId val="164661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6197744"/>
        <c:crosses val="autoZero"/>
        <c:crossBetween val="midCat"/>
      </c:valAx>
      <c:valAx>
        <c:axId val="138619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6619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'ES-Simp'!$M$1</c:f>
          <c:strCache>
            <c:ptCount val="1"/>
            <c:pt idx="0">
              <c:v>Expo.Smoo: Alpha = 0.5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'ES-Simp'!$B$2</c:f>
              <c:strCache>
                <c:ptCount val="1"/>
                <c:pt idx="0">
                  <c:v>At (Data)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'ES-Simp'!$A$3:$A$30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'ES-Simp'!$B$3:$B$30</c:f>
              <c:numCache>
                <c:formatCode>General</c:formatCode>
                <c:ptCount val="28"/>
                <c:pt idx="0">
                  <c:v>50</c:v>
                </c:pt>
                <c:pt idx="1">
                  <c:v>63</c:v>
                </c:pt>
                <c:pt idx="2">
                  <c:v>50</c:v>
                </c:pt>
                <c:pt idx="3">
                  <c:v>44</c:v>
                </c:pt>
                <c:pt idx="4">
                  <c:v>49</c:v>
                </c:pt>
                <c:pt idx="5">
                  <c:v>48</c:v>
                </c:pt>
                <c:pt idx="6">
                  <c:v>42</c:v>
                </c:pt>
                <c:pt idx="7">
                  <c:v>49</c:v>
                </c:pt>
                <c:pt idx="8">
                  <c:v>50</c:v>
                </c:pt>
                <c:pt idx="9">
                  <c:v>48</c:v>
                </c:pt>
                <c:pt idx="10">
                  <c:v>44</c:v>
                </c:pt>
                <c:pt idx="11">
                  <c:v>66</c:v>
                </c:pt>
                <c:pt idx="12">
                  <c:v>30</c:v>
                </c:pt>
                <c:pt idx="13">
                  <c:v>59</c:v>
                </c:pt>
                <c:pt idx="14">
                  <c:v>49</c:v>
                </c:pt>
                <c:pt idx="15">
                  <c:v>37</c:v>
                </c:pt>
                <c:pt idx="16">
                  <c:v>58</c:v>
                </c:pt>
                <c:pt idx="17">
                  <c:v>49</c:v>
                </c:pt>
                <c:pt idx="18">
                  <c:v>23</c:v>
                </c:pt>
                <c:pt idx="19">
                  <c:v>27</c:v>
                </c:pt>
                <c:pt idx="20">
                  <c:v>23</c:v>
                </c:pt>
                <c:pt idx="21">
                  <c:v>39</c:v>
                </c:pt>
                <c:pt idx="22">
                  <c:v>35</c:v>
                </c:pt>
                <c:pt idx="23">
                  <c:v>27</c:v>
                </c:pt>
                <c:pt idx="24">
                  <c:v>71</c:v>
                </c:pt>
                <c:pt idx="25">
                  <c:v>61</c:v>
                </c:pt>
                <c:pt idx="26">
                  <c:v>47</c:v>
                </c:pt>
                <c:pt idx="27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17-4C8F-BC05-BEEC7CC4097D}"/>
            </c:ext>
          </c:extLst>
        </c:ser>
        <c:ser>
          <c:idx val="0"/>
          <c:order val="1"/>
          <c:tx>
            <c:strRef>
              <c:f>'ES-Simp'!$C$2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'ES-Simp'!$A$3:$A$31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'ES-Simp'!$C$3:$C$31</c:f>
              <c:numCache>
                <c:formatCode>0.00</c:formatCode>
                <c:ptCount val="29"/>
                <c:pt idx="0" formatCode="General">
                  <c:v>50</c:v>
                </c:pt>
                <c:pt idx="1">
                  <c:v>50</c:v>
                </c:pt>
                <c:pt idx="2">
                  <c:v>56.5</c:v>
                </c:pt>
                <c:pt idx="3">
                  <c:v>53.25</c:v>
                </c:pt>
                <c:pt idx="4">
                  <c:v>48.625</c:v>
                </c:pt>
                <c:pt idx="5">
                  <c:v>48.8125</c:v>
                </c:pt>
                <c:pt idx="6">
                  <c:v>48.40625</c:v>
                </c:pt>
                <c:pt idx="7">
                  <c:v>45.203125</c:v>
                </c:pt>
                <c:pt idx="8">
                  <c:v>47.1015625</c:v>
                </c:pt>
                <c:pt idx="9">
                  <c:v>48.55078125</c:v>
                </c:pt>
                <c:pt idx="10">
                  <c:v>48.275390625</c:v>
                </c:pt>
                <c:pt idx="11">
                  <c:v>46.1376953125</c:v>
                </c:pt>
                <c:pt idx="12">
                  <c:v>56.06884765625</c:v>
                </c:pt>
                <c:pt idx="13">
                  <c:v>43.034423828125</c:v>
                </c:pt>
                <c:pt idx="14">
                  <c:v>51.0172119140625</c:v>
                </c:pt>
                <c:pt idx="15">
                  <c:v>50.00860595703125</c:v>
                </c:pt>
                <c:pt idx="16">
                  <c:v>43.504302978515625</c:v>
                </c:pt>
                <c:pt idx="17">
                  <c:v>50.752151489257813</c:v>
                </c:pt>
                <c:pt idx="18">
                  <c:v>49.876075744628906</c:v>
                </c:pt>
                <c:pt idx="19">
                  <c:v>36.438037872314453</c:v>
                </c:pt>
                <c:pt idx="20">
                  <c:v>31.719018936157227</c:v>
                </c:pt>
                <c:pt idx="21">
                  <c:v>27.359509468078613</c:v>
                </c:pt>
                <c:pt idx="22">
                  <c:v>33.179754734039307</c:v>
                </c:pt>
                <c:pt idx="23">
                  <c:v>34.089877367019653</c:v>
                </c:pt>
                <c:pt idx="24">
                  <c:v>30.544938683509827</c:v>
                </c:pt>
                <c:pt idx="25">
                  <c:v>50.772469341754913</c:v>
                </c:pt>
                <c:pt idx="26">
                  <c:v>55.886234670877457</c:v>
                </c:pt>
                <c:pt idx="27">
                  <c:v>51.443117335438728</c:v>
                </c:pt>
                <c:pt idx="28">
                  <c:v>43.721558667719364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17-4C8F-BC05-BEEC7CC40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'ES.Simp.Trend'!$O$1</c:f>
          <c:strCache>
            <c:ptCount val="1"/>
            <c:pt idx="0">
              <c:v>Simple ES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'ES.Simp.Trend'!$B$2</c:f>
              <c:strCache>
                <c:ptCount val="1"/>
                <c:pt idx="0">
                  <c:v>At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'ES.Simp.Trend'!$A$3:$A$30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'ES.Simp.Trend'!$B$3:$B$30</c:f>
              <c:numCache>
                <c:formatCode>General</c:formatCode>
                <c:ptCount val="28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30</c:v>
                </c:pt>
                <c:pt idx="5">
                  <c:v>35</c:v>
                </c:pt>
                <c:pt idx="6">
                  <c:v>35</c:v>
                </c:pt>
                <c:pt idx="7">
                  <c:v>36</c:v>
                </c:pt>
                <c:pt idx="8">
                  <c:v>36</c:v>
                </c:pt>
                <c:pt idx="9">
                  <c:v>37</c:v>
                </c:pt>
                <c:pt idx="10">
                  <c:v>39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50</c:v>
                </c:pt>
                <c:pt idx="19">
                  <c:v>55</c:v>
                </c:pt>
                <c:pt idx="20">
                  <c:v>55</c:v>
                </c:pt>
                <c:pt idx="21">
                  <c:v>58</c:v>
                </c:pt>
                <c:pt idx="22">
                  <c:v>62</c:v>
                </c:pt>
                <c:pt idx="23">
                  <c:v>63</c:v>
                </c:pt>
                <c:pt idx="24">
                  <c:v>67</c:v>
                </c:pt>
                <c:pt idx="25">
                  <c:v>72</c:v>
                </c:pt>
                <c:pt idx="26">
                  <c:v>79</c:v>
                </c:pt>
                <c:pt idx="27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00-4859-AB0C-DF940A9DEF4B}"/>
            </c:ext>
          </c:extLst>
        </c:ser>
        <c:ser>
          <c:idx val="0"/>
          <c:order val="1"/>
          <c:tx>
            <c:strRef>
              <c:f>'ES.Simp.Trend'!$C$2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'ES.Simp.Trend'!$A$3:$A$34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'ES.Simp.Trend'!$C$3:$C$34</c:f>
              <c:numCache>
                <c:formatCode>0.00</c:formatCode>
                <c:ptCount val="32"/>
                <c:pt idx="0" formatCode="General">
                  <c:v>19</c:v>
                </c:pt>
                <c:pt idx="1">
                  <c:v>19</c:v>
                </c:pt>
                <c:pt idx="2">
                  <c:v>20</c:v>
                </c:pt>
                <c:pt idx="3">
                  <c:v>22.5</c:v>
                </c:pt>
                <c:pt idx="4">
                  <c:v>25.75</c:v>
                </c:pt>
                <c:pt idx="5">
                  <c:v>27.875</c:v>
                </c:pt>
                <c:pt idx="6">
                  <c:v>31.4375</c:v>
                </c:pt>
                <c:pt idx="7">
                  <c:v>33.21875</c:v>
                </c:pt>
                <c:pt idx="8">
                  <c:v>34.609375</c:v>
                </c:pt>
                <c:pt idx="9">
                  <c:v>35.3046875</c:v>
                </c:pt>
                <c:pt idx="10">
                  <c:v>36.15234375</c:v>
                </c:pt>
                <c:pt idx="11">
                  <c:v>37.576171875</c:v>
                </c:pt>
                <c:pt idx="12">
                  <c:v>39.2880859375</c:v>
                </c:pt>
                <c:pt idx="13">
                  <c:v>40.64404296875</c:v>
                </c:pt>
                <c:pt idx="14">
                  <c:v>41.822021484375</c:v>
                </c:pt>
                <c:pt idx="15">
                  <c:v>43.4110107421875</c:v>
                </c:pt>
                <c:pt idx="16">
                  <c:v>45.70550537109375</c:v>
                </c:pt>
                <c:pt idx="17">
                  <c:v>47.352752685546875</c:v>
                </c:pt>
                <c:pt idx="18">
                  <c:v>48.676376342773438</c:v>
                </c:pt>
                <c:pt idx="19">
                  <c:v>49.338188171386719</c:v>
                </c:pt>
                <c:pt idx="20">
                  <c:v>52.169094085693359</c:v>
                </c:pt>
                <c:pt idx="21">
                  <c:v>53.58454704284668</c:v>
                </c:pt>
                <c:pt idx="22">
                  <c:v>55.79227352142334</c:v>
                </c:pt>
                <c:pt idx="23">
                  <c:v>58.89613676071167</c:v>
                </c:pt>
                <c:pt idx="24">
                  <c:v>60.948068380355835</c:v>
                </c:pt>
                <c:pt idx="25">
                  <c:v>63.974034190177917</c:v>
                </c:pt>
                <c:pt idx="26">
                  <c:v>67.987017095088959</c:v>
                </c:pt>
                <c:pt idx="27">
                  <c:v>73.493508547544479</c:v>
                </c:pt>
                <c:pt idx="28">
                  <c:v>79.74675427377224</c:v>
                </c:pt>
                <c:pt idx="29">
                  <c:v>79.74675427377224</c:v>
                </c:pt>
                <c:pt idx="30">
                  <c:v>79.74675427377224</c:v>
                </c:pt>
                <c:pt idx="31">
                  <c:v>79.74675427377224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00-4859-AB0C-DF940A9DE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'ES.Simp.Trend'!$L$2</c:f>
          <c:strCache>
            <c:ptCount val="1"/>
            <c:pt idx="0">
              <c:v>TS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'ES.Simp.Trend'!$L$2</c:f>
              <c:strCache>
                <c:ptCount val="1"/>
                <c:pt idx="0">
                  <c:v>TS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'ES.Simp.Trend'!$A$3:$A$30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'ES.Simp.Trend'!$L$3:$L$30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B4-45F4-B332-494D8ED15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TrendAdj!$R$1</c:f>
          <c:strCache>
            <c:ptCount val="1"/>
            <c:pt idx="0">
              <c:v>TrenAdjES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TrendAdj!$B$1</c:f>
              <c:strCache>
                <c:ptCount val="1"/>
                <c:pt idx="0">
                  <c:v>At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TrendAdj!$A$3:$A$30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TrendAdj!$B$3:$B$30</c:f>
              <c:numCache>
                <c:formatCode>General</c:formatCode>
                <c:ptCount val="28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30</c:v>
                </c:pt>
                <c:pt idx="5">
                  <c:v>35</c:v>
                </c:pt>
                <c:pt idx="6">
                  <c:v>35</c:v>
                </c:pt>
                <c:pt idx="7">
                  <c:v>36</c:v>
                </c:pt>
                <c:pt idx="8">
                  <c:v>36</c:v>
                </c:pt>
                <c:pt idx="9">
                  <c:v>37</c:v>
                </c:pt>
                <c:pt idx="10">
                  <c:v>39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50</c:v>
                </c:pt>
                <c:pt idx="19">
                  <c:v>55</c:v>
                </c:pt>
                <c:pt idx="20">
                  <c:v>55</c:v>
                </c:pt>
                <c:pt idx="21">
                  <c:v>58</c:v>
                </c:pt>
                <c:pt idx="22">
                  <c:v>62</c:v>
                </c:pt>
                <c:pt idx="23">
                  <c:v>63</c:v>
                </c:pt>
                <c:pt idx="24">
                  <c:v>67</c:v>
                </c:pt>
                <c:pt idx="25">
                  <c:v>72</c:v>
                </c:pt>
                <c:pt idx="26">
                  <c:v>79</c:v>
                </c:pt>
                <c:pt idx="27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24-4158-8040-0B64F0BCD867}"/>
            </c:ext>
          </c:extLst>
        </c:ser>
        <c:ser>
          <c:idx val="0"/>
          <c:order val="1"/>
          <c:tx>
            <c:strRef>
              <c:f>TrendAdj!$E$1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TrendAdj!$A$3:$A$34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</c:numCache>
            </c:numRef>
          </c:xVal>
          <c:yVal>
            <c:numRef>
              <c:f>TrendAdj!$E$3:$E$34</c:f>
              <c:numCache>
                <c:formatCode>0.00</c:formatCode>
                <c:ptCount val="32"/>
                <c:pt idx="0">
                  <c:v>21.481481481481481</c:v>
                </c:pt>
                <c:pt idx="1">
                  <c:v>22.35</c:v>
                </c:pt>
                <c:pt idx="2">
                  <c:v>23.581759259259261</c:v>
                </c:pt>
                <c:pt idx="3">
                  <c:v>26.410374999999998</c:v>
                </c:pt>
                <c:pt idx="4">
                  <c:v>30.213126620370371</c:v>
                </c:pt>
                <c:pt idx="5">
                  <c:v>32.582533437500004</c:v>
                </c:pt>
                <c:pt idx="6">
                  <c:v>36.62985683043982</c:v>
                </c:pt>
                <c:pt idx="7">
                  <c:v>38.409040002343751</c:v>
                </c:pt>
                <c:pt idx="8">
                  <c:v>39.43727558794415</c:v>
                </c:pt>
                <c:pt idx="9">
                  <c:v>39.435802042552737</c:v>
                </c:pt>
                <c:pt idx="10">
                  <c:v>39.569694963474113</c:v>
                </c:pt>
                <c:pt idx="11">
                  <c:v>40.551187179413688</c:v>
                </c:pt>
                <c:pt idx="12">
                  <c:v>42.109255210471417</c:v>
                </c:pt>
                <c:pt idx="13">
                  <c:v>43.371900944429569</c:v>
                </c:pt>
                <c:pt idx="14">
                  <c:v>44.447438669744209</c:v>
                </c:pt>
                <c:pt idx="15">
                  <c:v>46.068091731939894</c:v>
                </c:pt>
                <c:pt idx="16">
                  <c:v>48.668204503246749</c:v>
                </c:pt>
                <c:pt idx="17">
                  <c:v>50.518030213413176</c:v>
                </c:pt>
                <c:pt idx="18">
                  <c:v>51.865238536484405</c:v>
                </c:pt>
                <c:pt idx="19">
                  <c:v>52.259056917547369</c:v>
                </c:pt>
                <c:pt idx="20">
                  <c:v>55.367107570446741</c:v>
                </c:pt>
                <c:pt idx="21">
                  <c:v>56.866066761329414</c:v>
                </c:pt>
                <c:pt idx="22">
                  <c:v>59.285636342571344</c:v>
                </c:pt>
                <c:pt idx="23">
                  <c:v>62.902575681806596</c:v>
                </c:pt>
                <c:pt idx="24">
                  <c:v>65.225658999153239</c:v>
                </c:pt>
                <c:pt idx="25">
                  <c:v>68.65335180795357</c:v>
                </c:pt>
                <c:pt idx="26">
                  <c:v>73.369195441160713</c:v>
                </c:pt>
                <c:pt idx="27">
                  <c:v>80.071737941590172</c:v>
                </c:pt>
                <c:pt idx="28">
                  <c:v>87.812248500566383</c:v>
                </c:pt>
                <c:pt idx="29">
                  <c:v>92.588628030337674</c:v>
                </c:pt>
                <c:pt idx="30">
                  <c:v>97.365007560108964</c:v>
                </c:pt>
                <c:pt idx="31">
                  <c:v>102.14138708988025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24-4158-8040-0B64F0BCD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3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'Trend&amp;SeasIravaniMine'!$B$2</c:f>
          <c:strCache>
            <c:ptCount val="1"/>
            <c:pt idx="0">
              <c:v>TrenSeasAdjust-Ave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'Trend&amp;SeasIravaniMine'!$B$2</c:f>
              <c:strCache>
                <c:ptCount val="1"/>
                <c:pt idx="0">
                  <c:v>TrenSeasAdjust-Ave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'Trend&amp;SeasIravaniMine'!$A$4:$A$31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'Trend&amp;SeasIravaniMine'!$B$4:$B$31</c:f>
              <c:numCache>
                <c:formatCode>General</c:formatCode>
                <c:ptCount val="28"/>
                <c:pt idx="0">
                  <c:v>21</c:v>
                </c:pt>
                <c:pt idx="1">
                  <c:v>27</c:v>
                </c:pt>
                <c:pt idx="2">
                  <c:v>38</c:v>
                </c:pt>
                <c:pt idx="3">
                  <c:v>28</c:v>
                </c:pt>
                <c:pt idx="4">
                  <c:v>38</c:v>
                </c:pt>
                <c:pt idx="5">
                  <c:v>49</c:v>
                </c:pt>
                <c:pt idx="6">
                  <c:v>47</c:v>
                </c:pt>
                <c:pt idx="7">
                  <c:v>35</c:v>
                </c:pt>
                <c:pt idx="8">
                  <c:v>42</c:v>
                </c:pt>
                <c:pt idx="9">
                  <c:v>55</c:v>
                </c:pt>
                <c:pt idx="10">
                  <c:v>56</c:v>
                </c:pt>
                <c:pt idx="11">
                  <c:v>32</c:v>
                </c:pt>
                <c:pt idx="12">
                  <c:v>35</c:v>
                </c:pt>
                <c:pt idx="13">
                  <c:v>55</c:v>
                </c:pt>
                <c:pt idx="14">
                  <c:v>50</c:v>
                </c:pt>
                <c:pt idx="15">
                  <c:v>46</c:v>
                </c:pt>
                <c:pt idx="16">
                  <c:v>44</c:v>
                </c:pt>
                <c:pt idx="17">
                  <c:v>45</c:v>
                </c:pt>
                <c:pt idx="18">
                  <c:v>59</c:v>
                </c:pt>
                <c:pt idx="19">
                  <c:v>49</c:v>
                </c:pt>
                <c:pt idx="20">
                  <c:v>39</c:v>
                </c:pt>
                <c:pt idx="21">
                  <c:v>73</c:v>
                </c:pt>
                <c:pt idx="22">
                  <c:v>75</c:v>
                </c:pt>
                <c:pt idx="23">
                  <c:v>56</c:v>
                </c:pt>
                <c:pt idx="24">
                  <c:v>60</c:v>
                </c:pt>
                <c:pt idx="25">
                  <c:v>71</c:v>
                </c:pt>
                <c:pt idx="26">
                  <c:v>84</c:v>
                </c:pt>
                <c:pt idx="27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3D-4363-8027-8ED1CEE45354}"/>
            </c:ext>
          </c:extLst>
        </c:ser>
        <c:ser>
          <c:idx val="0"/>
          <c:order val="1"/>
          <c:tx>
            <c:strRef>
              <c:f>'Trend&amp;SeasIravaniMine'!$F$2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'Trend&amp;SeasIravaniMine'!$A$4:$A$35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'Trend&amp;SeasIravaniMine'!$F$4:$F$35</c:f>
              <c:numCache>
                <c:formatCode>0.00</c:formatCode>
                <c:ptCount val="32"/>
                <c:pt idx="0">
                  <c:v>22.145308924485125</c:v>
                </c:pt>
                <c:pt idx="1">
                  <c:v>28.943752860411891</c:v>
                </c:pt>
                <c:pt idx="2">
                  <c:v>40.367582608695642</c:v>
                </c:pt>
                <c:pt idx="3">
                  <c:v>29.093339386727688</c:v>
                </c:pt>
                <c:pt idx="4">
                  <c:v>20.746637910488889</c:v>
                </c:pt>
                <c:pt idx="5">
                  <c:v>41.185873717324462</c:v>
                </c:pt>
                <c:pt idx="6">
                  <c:v>74.100426844089469</c:v>
                </c:pt>
                <c:pt idx="7">
                  <c:v>50.003862417403113</c:v>
                </c:pt>
                <c:pt idx="8">
                  <c:v>45.000337106254221</c:v>
                </c:pt>
                <c:pt idx="9">
                  <c:v>41.006611518735305</c:v>
                </c:pt>
                <c:pt idx="10">
                  <c:v>50.984018933688489</c:v>
                </c:pt>
                <c:pt idx="11">
                  <c:v>43.550354629262529</c:v>
                </c:pt>
                <c:pt idx="12">
                  <c:v>45.788736755862736</c:v>
                </c:pt>
                <c:pt idx="13">
                  <c:v>44.872896422901682</c:v>
                </c:pt>
                <c:pt idx="14">
                  <c:v>44.529720974005947</c:v>
                </c:pt>
                <c:pt idx="15">
                  <c:v>29.795605656730746</c:v>
                </c:pt>
                <c:pt idx="16">
                  <c:v>49.612850055761463</c:v>
                </c:pt>
                <c:pt idx="17">
                  <c:v>77.107226373751786</c:v>
                </c:pt>
                <c:pt idx="18">
                  <c:v>55.022114800102464</c:v>
                </c:pt>
                <c:pt idx="19">
                  <c:v>42.053840307496372</c:v>
                </c:pt>
                <c:pt idx="20">
                  <c:v>41.042615665372374</c:v>
                </c:pt>
                <c:pt idx="21">
                  <c:v>50.77083020634602</c:v>
                </c:pt>
                <c:pt idx="22">
                  <c:v>77.642644794973521</c:v>
                </c:pt>
                <c:pt idx="23">
                  <c:v>66.621122126840518</c:v>
                </c:pt>
                <c:pt idx="24">
                  <c:v>52.630056650419398</c:v>
                </c:pt>
                <c:pt idx="25">
                  <c:v>93.991852580069931</c:v>
                </c:pt>
                <c:pt idx="26">
                  <c:v>80.415572720307594</c:v>
                </c:pt>
                <c:pt idx="27">
                  <c:v>61.988586276423433</c:v>
                </c:pt>
                <c:pt idx="28">
                  <c:v>46.350087490767137</c:v>
                </c:pt>
                <c:pt idx="29">
                  <c:v>53.88529400564466</c:v>
                </c:pt>
                <c:pt idx="30">
                  <c:v>52.844682645571375</c:v>
                </c:pt>
                <c:pt idx="31">
                  <c:v>28.308629850721452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3D-4363-8027-8ED1CEE45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'1.RegLineDataAnalyFormula'!$C$3</c:f>
          <c:strCache>
            <c:ptCount val="1"/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'1.RegLineDataAnalyFormula'!$B$1</c:f>
              <c:strCache>
                <c:ptCount val="1"/>
                <c:pt idx="0">
                  <c:v>At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C0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176054694781722"/>
                  <c:y val="-5.566655040161939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'1.RegLineDataAnalyFormula'!$A$2:$A$29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'1.RegLineDataAnalyFormula'!$B$2:$B$29</c:f>
              <c:numCache>
                <c:formatCode>General</c:formatCode>
                <c:ptCount val="28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  <c:pt idx="23">
                  <c:v>63</c:v>
                </c:pt>
                <c:pt idx="24">
                  <c:v>70</c:v>
                </c:pt>
                <c:pt idx="25">
                  <c:v>70</c:v>
                </c:pt>
                <c:pt idx="26">
                  <c:v>82</c:v>
                </c:pt>
                <c:pt idx="27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5B-4521-90D3-C49B8C6701E5}"/>
            </c:ext>
          </c:extLst>
        </c:ser>
        <c:ser>
          <c:idx val="1"/>
          <c:order val="1"/>
          <c:tx>
            <c:strRef>
              <c:f>'1.RegLineDataAnalyFormula'!$C$4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'1.RegLineDataAnalyFormula'!$A$2:$A$31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'1.RegLineDataAnalyFormula'!$C$5:$C$34</c:f>
              <c:numCache>
                <c:formatCode>0.0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5B-4521-90D3-C49B8C670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24759405074365"/>
          <c:y val="0.18560185185185185"/>
          <c:w val="0.85853018372703416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6749927343001618"/>
                  <c:y val="1.339824197249006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ysClr val="windowText" lastClr="000000"/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'2.R2&amp;R'!$B$4:$B$12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'2.R2&amp;R'!$C$4:$C$12</c:f>
              <c:numCache>
                <c:formatCode>0</c:formatCode>
                <c:ptCount val="9"/>
                <c:pt idx="0">
                  <c:v>1468</c:v>
                </c:pt>
                <c:pt idx="1">
                  <c:v>1800</c:v>
                </c:pt>
                <c:pt idx="2">
                  <c:v>2000</c:v>
                </c:pt>
                <c:pt idx="3">
                  <c:v>2300</c:v>
                </c:pt>
                <c:pt idx="4">
                  <c:v>2700</c:v>
                </c:pt>
                <c:pt idx="5">
                  <c:v>2961.1219253302847</c:v>
                </c:pt>
                <c:pt idx="6">
                  <c:v>3173.4592379126093</c:v>
                </c:pt>
                <c:pt idx="7">
                  <c:v>3390.0126596118184</c:v>
                </c:pt>
                <c:pt idx="8">
                  <c:v>3487.4061771454217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DC-4656-B3C7-3D56A13EE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2656"/>
        <c:axId val="617803048"/>
      </c:scatterChart>
      <c:valAx>
        <c:axId val="617802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3048"/>
        <c:crosses val="autoZero"/>
        <c:crossBetween val="midCat"/>
      </c:valAx>
      <c:valAx>
        <c:axId val="61780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2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7550927424489037"/>
                  <c:y val="4.2061141665237032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'2.R2&amp;R'!$B$18:$B$26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'2.R2&amp;R'!$C$18:$C$26</c:f>
              <c:numCache>
                <c:formatCode>General</c:formatCode>
                <c:ptCount val="9"/>
                <c:pt idx="0">
                  <c:v>1416</c:v>
                </c:pt>
                <c:pt idx="1">
                  <c:v>1688</c:v>
                </c:pt>
                <c:pt idx="2">
                  <c:v>2271</c:v>
                </c:pt>
                <c:pt idx="3">
                  <c:v>1814</c:v>
                </c:pt>
                <c:pt idx="4">
                  <c:v>2875</c:v>
                </c:pt>
                <c:pt idx="5">
                  <c:v>3091</c:v>
                </c:pt>
                <c:pt idx="6">
                  <c:v>3062</c:v>
                </c:pt>
                <c:pt idx="7">
                  <c:v>3344</c:v>
                </c:pt>
                <c:pt idx="8">
                  <c:v>4172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0B-4E3D-94DB-778DCBCF5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3832"/>
        <c:axId val="617804224"/>
      </c:scatterChart>
      <c:valAx>
        <c:axId val="61780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4224"/>
        <c:crosses val="autoZero"/>
        <c:crossBetween val="midCat"/>
      </c:valAx>
      <c:valAx>
        <c:axId val="61780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3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001239778631028E-2"/>
                  <c:y val="-0.529248080821913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'2.R2&amp;R'!$B$18:$B$26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'2.R2&amp;R'!$D$18:$D$26</c:f>
              <c:numCache>
                <c:formatCode>General</c:formatCode>
                <c:ptCount val="9"/>
                <c:pt idx="0">
                  <c:v>2651</c:v>
                </c:pt>
                <c:pt idx="1">
                  <c:v>2836</c:v>
                </c:pt>
                <c:pt idx="2">
                  <c:v>1776</c:v>
                </c:pt>
                <c:pt idx="3">
                  <c:v>1763</c:v>
                </c:pt>
                <c:pt idx="4">
                  <c:v>2100</c:v>
                </c:pt>
                <c:pt idx="5">
                  <c:v>1718</c:v>
                </c:pt>
                <c:pt idx="6">
                  <c:v>1014</c:v>
                </c:pt>
                <c:pt idx="7">
                  <c:v>989</c:v>
                </c:pt>
                <c:pt idx="8">
                  <c:v>1426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0D-4602-B7B4-57EA50D24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5008"/>
        <c:axId val="617805400"/>
      </c:scatterChart>
      <c:valAx>
        <c:axId val="617805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5400"/>
        <c:crosses val="autoZero"/>
        <c:crossBetween val="midCat"/>
      </c:valAx>
      <c:valAx>
        <c:axId val="617805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5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5.9291415242435558E-2"/>
                  <c:y val="-0.5884186784028894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Book Antiqua" panose="02040602050305030304" pitchFamily="18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'2.R2&amp;R'!$B$18:$B$26</c:f>
              <c:numCache>
                <c:formatCode>0</c:formatCode>
                <c:ptCount val="9"/>
                <c:pt idx="0">
                  <c:v>20</c:v>
                </c:pt>
                <c:pt idx="1">
                  <c:v>40</c:v>
                </c:pt>
                <c:pt idx="2">
                  <c:v>50</c:v>
                </c:pt>
                <c:pt idx="3">
                  <c:v>70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150</c:v>
                </c:pt>
              </c:numCache>
            </c:numRef>
          </c:xVal>
          <c:yVal>
            <c:numRef>
              <c:f>'2.R2&amp;R'!$E$18:$E$26</c:f>
              <c:numCache>
                <c:formatCode>General</c:formatCode>
                <c:ptCount val="9"/>
                <c:pt idx="0">
                  <c:v>9927</c:v>
                </c:pt>
                <c:pt idx="1">
                  <c:v>5409</c:v>
                </c:pt>
                <c:pt idx="2">
                  <c:v>9841</c:v>
                </c:pt>
                <c:pt idx="3">
                  <c:v>2625</c:v>
                </c:pt>
                <c:pt idx="4">
                  <c:v>2191</c:v>
                </c:pt>
                <c:pt idx="5">
                  <c:v>983</c:v>
                </c:pt>
                <c:pt idx="6">
                  <c:v>5254</c:v>
                </c:pt>
                <c:pt idx="7">
                  <c:v>3328</c:v>
                </c:pt>
                <c:pt idx="8">
                  <c:v>2233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EA-415C-AE0C-FA4DDA11E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806184"/>
        <c:axId val="617806576"/>
      </c:scatterChart>
      <c:valAx>
        <c:axId val="617806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6576"/>
        <c:crosses val="autoZero"/>
        <c:crossBetween val="midCat"/>
      </c:valAx>
      <c:valAx>
        <c:axId val="61780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17806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'3.RegForAssociation'!$C$25</c:f>
          <c:strCache>
            <c:ptCount val="1"/>
            <c:pt idx="0">
              <c:v>Demand Curve (R vs. Q): P=1992.14-17.03Q; R2=0.94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'3.RegForAssociation'!$B$1</c:f>
              <c:strCache>
                <c:ptCount val="1"/>
                <c:pt idx="0">
                  <c:v>Price (dollars)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'3.RegForAssociation'!$A$2:$A$7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80</c:v>
                </c:pt>
              </c:numCache>
            </c:numRef>
          </c:xVal>
          <c:yVal>
            <c:numRef>
              <c:f>'3.RegForAssociation'!$B$2:$B$7</c:f>
              <c:numCache>
                <c:formatCode>General</c:formatCode>
                <c:ptCount val="6"/>
                <c:pt idx="0">
                  <c:v>1690</c:v>
                </c:pt>
                <c:pt idx="1">
                  <c:v>1580</c:v>
                </c:pt>
                <c:pt idx="2">
                  <c:v>1510</c:v>
                </c:pt>
                <c:pt idx="3">
                  <c:v>1270</c:v>
                </c:pt>
                <c:pt idx="4">
                  <c:v>960</c:v>
                </c:pt>
                <c:pt idx="5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D0-4E8F-8ABA-A40BE194A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380960"/>
        <c:axId val="996881184"/>
      </c:scatterChart>
      <c:valAx>
        <c:axId val="166438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96881184"/>
        <c:crosses val="autoZero"/>
        <c:crossBetween val="midCat"/>
      </c:valAx>
      <c:valAx>
        <c:axId val="99688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64380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'3.RegForAssociation'!$C$26</c:f>
          <c:strCache>
            <c:ptCount val="1"/>
            <c:pt idx="0">
              <c:v>Total Cost Curve (TC vs. Q): TC=13016.58+298.59Q; R2=0.96,   StdDev=1591.3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'3.RegForAssociation'!$C$1</c:f>
              <c:strCache>
                <c:ptCount val="1"/>
                <c:pt idx="0">
                  <c:v>Total Production Cost (dollars)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'3.RegForAssociation'!$A$2:$A$7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80</c:v>
                </c:pt>
              </c:numCache>
            </c:numRef>
          </c:xVal>
          <c:yVal>
            <c:numRef>
              <c:f>'3.RegForAssociation'!$C$2:$C$7</c:f>
              <c:numCache>
                <c:formatCode>General</c:formatCode>
                <c:ptCount val="6"/>
                <c:pt idx="0">
                  <c:v>16350</c:v>
                </c:pt>
                <c:pt idx="1">
                  <c:v>22960</c:v>
                </c:pt>
                <c:pt idx="2">
                  <c:v>21800</c:v>
                </c:pt>
                <c:pt idx="3">
                  <c:v>27850</c:v>
                </c:pt>
                <c:pt idx="4">
                  <c:v>27540</c:v>
                </c:pt>
                <c:pt idx="5">
                  <c:v>37740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26-4DE5-A64E-9C9BE9222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380960"/>
        <c:axId val="996881184"/>
      </c:scatterChart>
      <c:valAx>
        <c:axId val="166438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96881184"/>
        <c:crosses val="autoZero"/>
        <c:crossBetween val="midCat"/>
      </c:valAx>
      <c:valAx>
        <c:axId val="99688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64380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'3.RegForAssociation'!$C$25</c:f>
          <c:strCache>
            <c:ptCount val="1"/>
            <c:pt idx="0">
              <c:v>Demand Curve (R vs. Q): P=1992.14-17.03Q; R2=0.94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'3.RegForAssociation'!$B$1</c:f>
              <c:strCache>
                <c:ptCount val="1"/>
                <c:pt idx="0">
                  <c:v>Price (dollars)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'3.RegForAssociation'!$A$2:$A$7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80</c:v>
                </c:pt>
              </c:numCache>
            </c:numRef>
          </c:xVal>
          <c:yVal>
            <c:numRef>
              <c:f>'3.RegForAssociation'!$B$2:$B$7</c:f>
              <c:numCache>
                <c:formatCode>General</c:formatCode>
                <c:ptCount val="6"/>
                <c:pt idx="0">
                  <c:v>1690</c:v>
                </c:pt>
                <c:pt idx="1">
                  <c:v>1580</c:v>
                </c:pt>
                <c:pt idx="2">
                  <c:v>1510</c:v>
                </c:pt>
                <c:pt idx="3">
                  <c:v>1270</c:v>
                </c:pt>
                <c:pt idx="4">
                  <c:v>960</c:v>
                </c:pt>
                <c:pt idx="5">
                  <c:v>600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45-4BE1-8E03-1D986272C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380960"/>
        <c:axId val="996881184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'3.RegForAssociation'!$K$25:$K$26</c:f>
              <c:numCache>
                <c:formatCode>General</c:formatCode>
                <c:ptCount val="2"/>
                <c:pt idx="0">
                  <c:v>0</c:v>
                </c:pt>
                <c:pt idx="1">
                  <c:v>116.9727539230902</c:v>
                </c:pt>
              </c:numCache>
            </c:numRef>
          </c:xVal>
          <c:yVal>
            <c:numRef>
              <c:f>'3.RegForAssociation'!$L$25:$L$26</c:f>
              <c:numCache>
                <c:formatCode>General</c:formatCode>
                <c:ptCount val="2"/>
                <c:pt idx="0">
                  <c:v>1992.143906020558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245-4BE1-8E03-1D986272C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380960"/>
        <c:axId val="996881184"/>
      </c:scatterChart>
      <c:valAx>
        <c:axId val="166438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96881184"/>
        <c:crosses val="autoZero"/>
        <c:crossBetween val="midCat"/>
      </c:valAx>
      <c:valAx>
        <c:axId val="99688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64380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'3.RegForAssociation'!$C$26</c:f>
          <c:strCache>
            <c:ptCount val="1"/>
            <c:pt idx="0">
              <c:v>Total Cost Curve (TC vs. Q): TC=13016.58+298.59Q; R2=0.96,   StdDev=1591.3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'3.RegForAssociation'!$C$1</c:f>
              <c:strCache>
                <c:ptCount val="1"/>
                <c:pt idx="0">
                  <c:v>Total Production Cost (dollars)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'3.RegForAssociation'!$A$2:$A$7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80</c:v>
                </c:pt>
              </c:numCache>
            </c:numRef>
          </c:xVal>
          <c:yVal>
            <c:numRef>
              <c:f>'3.RegForAssociation'!$C$2:$C$7</c:f>
              <c:numCache>
                <c:formatCode>General</c:formatCode>
                <c:ptCount val="6"/>
                <c:pt idx="0">
                  <c:v>16350</c:v>
                </c:pt>
                <c:pt idx="1">
                  <c:v>22960</c:v>
                </c:pt>
                <c:pt idx="2">
                  <c:v>21800</c:v>
                </c:pt>
                <c:pt idx="3">
                  <c:v>27850</c:v>
                </c:pt>
                <c:pt idx="4">
                  <c:v>27540</c:v>
                </c:pt>
                <c:pt idx="5">
                  <c:v>37740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5B-43E1-94FA-408060AE5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380960"/>
        <c:axId val="996881184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'3.RegForAssociation'!$N$25:$N$26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xVal>
          <c:yVal>
            <c:numRef>
              <c:f>'3.RegForAssociation'!$O$25:$O$26</c:f>
              <c:numCache>
                <c:formatCode>General</c:formatCode>
                <c:ptCount val="2"/>
                <c:pt idx="0">
                  <c:v>13016.578560939795</c:v>
                </c:pt>
                <c:pt idx="1">
                  <c:v>42875.609397944201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5B-43E1-94FA-408060AE5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4380960"/>
        <c:axId val="996881184"/>
      </c:scatterChart>
      <c:valAx>
        <c:axId val="1664380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96881184"/>
        <c:crosses val="autoZero"/>
        <c:crossBetween val="midCat"/>
      </c:valAx>
      <c:valAx>
        <c:axId val="99688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643809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'4.MaxTrMaxTP'!$M$9</c:f>
          <c:strCache>
            <c:ptCount val="1"/>
            <c:pt idx="0">
              <c:v>P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'4.MaxTrMaxTP'!$B$18</c:f>
              <c:strCache>
                <c:ptCount val="1"/>
                <c:pt idx="0">
                  <c:v>P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'4.MaxTrMaxTP'!$A$19:$A$139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'4.MaxTrMaxTP'!$B$19:$B$139</c:f>
              <c:numCache>
                <c:formatCode>0.00</c:formatCode>
                <c:ptCount val="121"/>
                <c:pt idx="0">
                  <c:v>1992.143906020558</c:v>
                </c:pt>
                <c:pt idx="1">
                  <c:v>1975.1130690161526</c:v>
                </c:pt>
                <c:pt idx="2">
                  <c:v>1958.0822320117475</c:v>
                </c:pt>
                <c:pt idx="3">
                  <c:v>1941.0513950073421</c:v>
                </c:pt>
                <c:pt idx="4">
                  <c:v>1924.0205580029369</c:v>
                </c:pt>
                <c:pt idx="5">
                  <c:v>1906.9897209985315</c:v>
                </c:pt>
                <c:pt idx="6">
                  <c:v>1889.9588839941264</c:v>
                </c:pt>
                <c:pt idx="7">
                  <c:v>1872.928046989721</c:v>
                </c:pt>
                <c:pt idx="8">
                  <c:v>1855.8972099853158</c:v>
                </c:pt>
                <c:pt idx="9">
                  <c:v>1838.8663729809105</c:v>
                </c:pt>
                <c:pt idx="10">
                  <c:v>1821.8355359765051</c:v>
                </c:pt>
                <c:pt idx="11">
                  <c:v>1804.8046989720999</c:v>
                </c:pt>
                <c:pt idx="12">
                  <c:v>1787.7738619676945</c:v>
                </c:pt>
                <c:pt idx="13">
                  <c:v>1770.7430249632894</c:v>
                </c:pt>
                <c:pt idx="14">
                  <c:v>1753.712187958884</c:v>
                </c:pt>
                <c:pt idx="15">
                  <c:v>1736.6813509544786</c:v>
                </c:pt>
                <c:pt idx="16">
                  <c:v>1719.6505139500734</c:v>
                </c:pt>
                <c:pt idx="17">
                  <c:v>1702.6196769456683</c:v>
                </c:pt>
                <c:pt idx="18">
                  <c:v>1685.5888399412629</c:v>
                </c:pt>
                <c:pt idx="19">
                  <c:v>1668.5580029368575</c:v>
                </c:pt>
                <c:pt idx="20">
                  <c:v>1651.5271659324524</c:v>
                </c:pt>
                <c:pt idx="21">
                  <c:v>1634.496328928047</c:v>
                </c:pt>
                <c:pt idx="22">
                  <c:v>1617.4654919236418</c:v>
                </c:pt>
                <c:pt idx="23">
                  <c:v>1600.4346549192364</c:v>
                </c:pt>
                <c:pt idx="24">
                  <c:v>1583.4038179148311</c:v>
                </c:pt>
                <c:pt idx="25">
                  <c:v>1566.3729809104259</c:v>
                </c:pt>
                <c:pt idx="26">
                  <c:v>1549.3421439060207</c:v>
                </c:pt>
                <c:pt idx="27">
                  <c:v>1532.3113069016154</c:v>
                </c:pt>
                <c:pt idx="28">
                  <c:v>1515.28046989721</c:v>
                </c:pt>
                <c:pt idx="29">
                  <c:v>1498.2496328928048</c:v>
                </c:pt>
                <c:pt idx="30">
                  <c:v>1481.2187958883994</c:v>
                </c:pt>
                <c:pt idx="31">
                  <c:v>1464.1879588839943</c:v>
                </c:pt>
                <c:pt idx="32">
                  <c:v>1447.1571218795889</c:v>
                </c:pt>
                <c:pt idx="33">
                  <c:v>1430.1262848751835</c:v>
                </c:pt>
                <c:pt idx="34">
                  <c:v>1413.0954478707783</c:v>
                </c:pt>
                <c:pt idx="35">
                  <c:v>1396.0646108663732</c:v>
                </c:pt>
                <c:pt idx="36">
                  <c:v>1379.0337738619678</c:v>
                </c:pt>
                <c:pt idx="37">
                  <c:v>1362.0029368575624</c:v>
                </c:pt>
                <c:pt idx="38">
                  <c:v>1344.972099853157</c:v>
                </c:pt>
                <c:pt idx="39">
                  <c:v>1327.9412628487519</c:v>
                </c:pt>
                <c:pt idx="40">
                  <c:v>1310.9104258443467</c:v>
                </c:pt>
                <c:pt idx="41">
                  <c:v>1293.8795888399413</c:v>
                </c:pt>
                <c:pt idx="42">
                  <c:v>1276.8487518355359</c:v>
                </c:pt>
                <c:pt idx="43">
                  <c:v>1259.8179148311308</c:v>
                </c:pt>
                <c:pt idx="44">
                  <c:v>1242.7870778267254</c:v>
                </c:pt>
                <c:pt idx="45">
                  <c:v>1225.7562408223203</c:v>
                </c:pt>
                <c:pt idx="46">
                  <c:v>1208.7254038179149</c:v>
                </c:pt>
                <c:pt idx="47">
                  <c:v>1191.6945668135095</c:v>
                </c:pt>
                <c:pt idx="48">
                  <c:v>1174.6637298091043</c:v>
                </c:pt>
                <c:pt idx="49">
                  <c:v>1157.6328928046992</c:v>
                </c:pt>
                <c:pt idx="50">
                  <c:v>1140.6020558002938</c:v>
                </c:pt>
                <c:pt idx="51">
                  <c:v>1123.5712187958884</c:v>
                </c:pt>
                <c:pt idx="52">
                  <c:v>1106.5403817914832</c:v>
                </c:pt>
                <c:pt idx="53">
                  <c:v>1089.5095447870779</c:v>
                </c:pt>
                <c:pt idx="54">
                  <c:v>1072.4787077826727</c:v>
                </c:pt>
                <c:pt idx="55">
                  <c:v>1055.4478707782673</c:v>
                </c:pt>
                <c:pt idx="56">
                  <c:v>1038.4170337738619</c:v>
                </c:pt>
                <c:pt idx="57">
                  <c:v>1021.3861967694568</c:v>
                </c:pt>
                <c:pt idx="58">
                  <c:v>1004.3553597650515</c:v>
                </c:pt>
                <c:pt idx="59">
                  <c:v>987.32452276064623</c:v>
                </c:pt>
                <c:pt idx="60">
                  <c:v>970.29368575624085</c:v>
                </c:pt>
                <c:pt idx="61">
                  <c:v>953.26284875183569</c:v>
                </c:pt>
                <c:pt idx="62">
                  <c:v>936.23201174743031</c:v>
                </c:pt>
                <c:pt idx="63">
                  <c:v>919.20117474302515</c:v>
                </c:pt>
                <c:pt idx="64">
                  <c:v>902.17033773861976</c:v>
                </c:pt>
                <c:pt idx="65">
                  <c:v>885.13950073421438</c:v>
                </c:pt>
                <c:pt idx="66">
                  <c:v>868.10866372980922</c:v>
                </c:pt>
                <c:pt idx="67">
                  <c:v>851.07782672540384</c:v>
                </c:pt>
                <c:pt idx="68">
                  <c:v>834.04698972099868</c:v>
                </c:pt>
                <c:pt idx="69">
                  <c:v>817.0161527165933</c:v>
                </c:pt>
                <c:pt idx="70">
                  <c:v>799.98531571218814</c:v>
                </c:pt>
                <c:pt idx="71">
                  <c:v>782.95447870778276</c:v>
                </c:pt>
                <c:pt idx="72">
                  <c:v>765.9236417033776</c:v>
                </c:pt>
                <c:pt idx="73">
                  <c:v>748.89280469897221</c:v>
                </c:pt>
                <c:pt idx="74">
                  <c:v>731.86196769456683</c:v>
                </c:pt>
                <c:pt idx="75">
                  <c:v>714.83113069016167</c:v>
                </c:pt>
                <c:pt idx="76">
                  <c:v>697.80029368575629</c:v>
                </c:pt>
                <c:pt idx="77">
                  <c:v>680.76945668135113</c:v>
                </c:pt>
                <c:pt idx="78">
                  <c:v>663.73861967694575</c:v>
                </c:pt>
                <c:pt idx="79">
                  <c:v>646.70778267254059</c:v>
                </c:pt>
                <c:pt idx="80">
                  <c:v>629.6769456681352</c:v>
                </c:pt>
                <c:pt idx="81">
                  <c:v>612.64610866372982</c:v>
                </c:pt>
                <c:pt idx="82">
                  <c:v>595.61527165932466</c:v>
                </c:pt>
                <c:pt idx="83">
                  <c:v>578.58443465491928</c:v>
                </c:pt>
                <c:pt idx="84">
                  <c:v>561.55359765051412</c:v>
                </c:pt>
                <c:pt idx="85">
                  <c:v>544.52276064610874</c:v>
                </c:pt>
                <c:pt idx="86">
                  <c:v>527.49192364170358</c:v>
                </c:pt>
                <c:pt idx="87">
                  <c:v>510.46108663729819</c:v>
                </c:pt>
                <c:pt idx="88">
                  <c:v>493.43024963289281</c:v>
                </c:pt>
                <c:pt idx="89">
                  <c:v>476.39941262848765</c:v>
                </c:pt>
                <c:pt idx="90">
                  <c:v>459.36857562408227</c:v>
                </c:pt>
                <c:pt idx="91">
                  <c:v>442.33773861967711</c:v>
                </c:pt>
                <c:pt idx="92">
                  <c:v>425.30690161527173</c:v>
                </c:pt>
                <c:pt idx="93">
                  <c:v>408.27606461086657</c:v>
                </c:pt>
                <c:pt idx="94">
                  <c:v>391.24522760646119</c:v>
                </c:pt>
                <c:pt idx="95">
                  <c:v>374.21439060205603</c:v>
                </c:pt>
                <c:pt idx="96">
                  <c:v>357.18355359765064</c:v>
                </c:pt>
                <c:pt idx="97">
                  <c:v>340.15271659324526</c:v>
                </c:pt>
                <c:pt idx="98">
                  <c:v>323.1218795888401</c:v>
                </c:pt>
                <c:pt idx="99">
                  <c:v>306.09104258443472</c:v>
                </c:pt>
                <c:pt idx="100">
                  <c:v>289.06020558002956</c:v>
                </c:pt>
                <c:pt idx="101">
                  <c:v>272.02936857562418</c:v>
                </c:pt>
                <c:pt idx="102">
                  <c:v>254.99853157121902</c:v>
                </c:pt>
                <c:pt idx="103">
                  <c:v>237.96769456681363</c:v>
                </c:pt>
                <c:pt idx="104">
                  <c:v>220.93685756240848</c:v>
                </c:pt>
                <c:pt idx="105">
                  <c:v>203.90602055800309</c:v>
                </c:pt>
                <c:pt idx="106">
                  <c:v>186.87518355359771</c:v>
                </c:pt>
                <c:pt idx="107">
                  <c:v>169.84434654919255</c:v>
                </c:pt>
                <c:pt idx="108">
                  <c:v>152.81350954478717</c:v>
                </c:pt>
                <c:pt idx="109">
                  <c:v>135.78267254038201</c:v>
                </c:pt>
                <c:pt idx="110">
                  <c:v>118.75183553597662</c:v>
                </c:pt>
                <c:pt idx="111">
                  <c:v>101.72099853157147</c:v>
                </c:pt>
                <c:pt idx="112">
                  <c:v>84.690161527166083</c:v>
                </c:pt>
                <c:pt idx="113">
                  <c:v>67.659324522760699</c:v>
                </c:pt>
                <c:pt idx="114">
                  <c:v>50.628487518355541</c:v>
                </c:pt>
                <c:pt idx="115">
                  <c:v>33.597650513950157</c:v>
                </c:pt>
                <c:pt idx="116">
                  <c:v>16.566813509545</c:v>
                </c:pt>
                <c:pt idx="117">
                  <c:v>-0.46402349486038474</c:v>
                </c:pt>
                <c:pt idx="118">
                  <c:v>-17.494860499265542</c:v>
                </c:pt>
                <c:pt idx="119">
                  <c:v>-34.525697503670926</c:v>
                </c:pt>
                <c:pt idx="120">
                  <c:v>-51.556534508076311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DD-4F16-9602-F3E66439C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168319"/>
        <c:axId val="1333148143"/>
      </c:scatterChart>
      <c:valAx>
        <c:axId val="974168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33148143"/>
        <c:crosses val="autoZero"/>
        <c:crossBetween val="midCat"/>
      </c:valAx>
      <c:valAx>
        <c:axId val="1333148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741683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'4.MaxTrMaxTP'!$M$10</c:f>
          <c:strCache>
            <c:ptCount val="1"/>
            <c:pt idx="0">
              <c:v>TR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'4.MaxTrMaxTP'!$C$18</c:f>
              <c:strCache>
                <c:ptCount val="1"/>
                <c:pt idx="0">
                  <c:v>TR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'4.MaxTrMaxTP'!$A$19:$A$139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'4.MaxTrMaxTP'!$C$19:$C$139</c:f>
              <c:numCache>
                <c:formatCode>0.00</c:formatCode>
                <c:ptCount val="121"/>
                <c:pt idx="0" formatCode="General">
                  <c:v>0</c:v>
                </c:pt>
                <c:pt idx="1">
                  <c:v>1975.1130690161526</c:v>
                </c:pt>
                <c:pt idx="2">
                  <c:v>3916.1644640234949</c:v>
                </c:pt>
                <c:pt idx="3">
                  <c:v>5823.1541850220265</c:v>
                </c:pt>
                <c:pt idx="4">
                  <c:v>7696.0822320117477</c:v>
                </c:pt>
                <c:pt idx="5">
                  <c:v>9534.9486049926581</c:v>
                </c:pt>
                <c:pt idx="6">
                  <c:v>11339.753303964759</c:v>
                </c:pt>
                <c:pt idx="7">
                  <c:v>13110.496328928048</c:v>
                </c:pt>
                <c:pt idx="8">
                  <c:v>14847.177679882527</c:v>
                </c:pt>
                <c:pt idx="9">
                  <c:v>16549.797356828196</c:v>
                </c:pt>
                <c:pt idx="10">
                  <c:v>18218.35535976505</c:v>
                </c:pt>
                <c:pt idx="11">
                  <c:v>19852.851688693099</c:v>
                </c:pt>
                <c:pt idx="12">
                  <c:v>21453.286343612333</c:v>
                </c:pt>
                <c:pt idx="13">
                  <c:v>23019.659324522763</c:v>
                </c:pt>
                <c:pt idx="14">
                  <c:v>24551.970631424374</c:v>
                </c:pt>
                <c:pt idx="15">
                  <c:v>26050.22026431718</c:v>
                </c:pt>
                <c:pt idx="16">
                  <c:v>27514.408223201175</c:v>
                </c:pt>
                <c:pt idx="17">
                  <c:v>28944.534508076362</c:v>
                </c:pt>
                <c:pt idx="18">
                  <c:v>30340.599118942733</c:v>
                </c:pt>
                <c:pt idx="19">
                  <c:v>31702.602055800293</c:v>
                </c:pt>
                <c:pt idx="20">
                  <c:v>33030.543318649048</c:v>
                </c:pt>
                <c:pt idx="21">
                  <c:v>34324.422907488988</c:v>
                </c:pt>
                <c:pt idx="22">
                  <c:v>35584.24082232012</c:v>
                </c:pt>
                <c:pt idx="23">
                  <c:v>36809.997063142437</c:v>
                </c:pt>
                <c:pt idx="24">
                  <c:v>38001.691629955945</c:v>
                </c:pt>
                <c:pt idx="25">
                  <c:v>39159.324522760646</c:v>
                </c:pt>
                <c:pt idx="26">
                  <c:v>40282.895741556538</c:v>
                </c:pt>
                <c:pt idx="27">
                  <c:v>41372.405286343615</c:v>
                </c:pt>
                <c:pt idx="28">
                  <c:v>42427.853157121877</c:v>
                </c:pt>
                <c:pt idx="29">
                  <c:v>43449.239353891338</c:v>
                </c:pt>
                <c:pt idx="30">
                  <c:v>44436.563876651984</c:v>
                </c:pt>
                <c:pt idx="31">
                  <c:v>45389.826725403822</c:v>
                </c:pt>
                <c:pt idx="32">
                  <c:v>46309.027900146844</c:v>
                </c:pt>
                <c:pt idx="33">
                  <c:v>47194.167400881059</c:v>
                </c:pt>
                <c:pt idx="34">
                  <c:v>48045.245227606465</c:v>
                </c:pt>
                <c:pt idx="35">
                  <c:v>48862.261380323063</c:v>
                </c:pt>
                <c:pt idx="36">
                  <c:v>49645.215859030839</c:v>
                </c:pt>
                <c:pt idx="37">
                  <c:v>50394.108663729807</c:v>
                </c:pt>
                <c:pt idx="38">
                  <c:v>51108.939794419966</c:v>
                </c:pt>
                <c:pt idx="39">
                  <c:v>51789.709251101325</c:v>
                </c:pt>
                <c:pt idx="40">
                  <c:v>52436.417033773869</c:v>
                </c:pt>
                <c:pt idx="41">
                  <c:v>53049.063142437597</c:v>
                </c:pt>
                <c:pt idx="42">
                  <c:v>53627.64757709251</c:v>
                </c:pt>
                <c:pt idx="43">
                  <c:v>54172.170337738622</c:v>
                </c:pt>
                <c:pt idx="44">
                  <c:v>54682.631424375919</c:v>
                </c:pt>
                <c:pt idx="45">
                  <c:v>55159.030837004408</c:v>
                </c:pt>
                <c:pt idx="46">
                  <c:v>55601.368575624081</c:v>
                </c:pt>
                <c:pt idx="47">
                  <c:v>56009.644640234947</c:v>
                </c:pt>
                <c:pt idx="48">
                  <c:v>56383.859030837004</c:v>
                </c:pt>
                <c:pt idx="49">
                  <c:v>56724.011747430261</c:v>
                </c:pt>
                <c:pt idx="50">
                  <c:v>57030.102790014687</c:v>
                </c:pt>
                <c:pt idx="51">
                  <c:v>57302.132158590306</c:v>
                </c:pt>
                <c:pt idx="52">
                  <c:v>57540.099853157131</c:v>
                </c:pt>
                <c:pt idx="53">
                  <c:v>57744.005873715127</c:v>
                </c:pt>
                <c:pt idx="54">
                  <c:v>57913.850220264329</c:v>
                </c:pt>
                <c:pt idx="55">
                  <c:v>58049.632892804701</c:v>
                </c:pt>
                <c:pt idx="56">
                  <c:v>58151.353891336272</c:v>
                </c:pt>
                <c:pt idx="57">
                  <c:v>58219.013215859035</c:v>
                </c:pt>
                <c:pt idx="58">
                  <c:v>58252.61086637299</c:v>
                </c:pt>
                <c:pt idx="59">
                  <c:v>58252.14684287813</c:v>
                </c:pt>
                <c:pt idx="60">
                  <c:v>58217.621145374447</c:v>
                </c:pt>
                <c:pt idx="61">
                  <c:v>58149.033773861978</c:v>
                </c:pt>
                <c:pt idx="62">
                  <c:v>58046.384728340679</c:v>
                </c:pt>
                <c:pt idx="63">
                  <c:v>57909.674008810587</c:v>
                </c:pt>
                <c:pt idx="64">
                  <c:v>57738.901615271665</c:v>
                </c:pt>
                <c:pt idx="65">
                  <c:v>57534.067547723935</c:v>
                </c:pt>
                <c:pt idx="66">
                  <c:v>57295.171806167411</c:v>
                </c:pt>
                <c:pt idx="67">
                  <c:v>57022.214390602057</c:v>
                </c:pt>
                <c:pt idx="68">
                  <c:v>56715.19530102791</c:v>
                </c:pt>
                <c:pt idx="69">
                  <c:v>56374.114537444941</c:v>
                </c:pt>
                <c:pt idx="70">
                  <c:v>55998.97209985317</c:v>
                </c:pt>
                <c:pt idx="71">
                  <c:v>55589.767988252577</c:v>
                </c:pt>
                <c:pt idx="72">
                  <c:v>55146.502202643183</c:v>
                </c:pt>
                <c:pt idx="73">
                  <c:v>54669.174743024974</c:v>
                </c:pt>
                <c:pt idx="74">
                  <c:v>54157.785609397943</c:v>
                </c:pt>
                <c:pt idx="75">
                  <c:v>53612.334801762125</c:v>
                </c:pt>
                <c:pt idx="76">
                  <c:v>53032.822320117477</c:v>
                </c:pt>
                <c:pt idx="77">
                  <c:v>52419.248164464036</c:v>
                </c:pt>
                <c:pt idx="78">
                  <c:v>51771.612334801772</c:v>
                </c:pt>
                <c:pt idx="79">
                  <c:v>51089.914831130707</c:v>
                </c:pt>
                <c:pt idx="80">
                  <c:v>50374.155653450813</c:v>
                </c:pt>
                <c:pt idx="81">
                  <c:v>49624.334801762117</c:v>
                </c:pt>
                <c:pt idx="82">
                  <c:v>48840.452276064621</c:v>
                </c:pt>
                <c:pt idx="83">
                  <c:v>48022.508076358303</c:v>
                </c:pt>
                <c:pt idx="84">
                  <c:v>47170.502202643183</c:v>
                </c:pt>
                <c:pt idx="85">
                  <c:v>46284.434654919241</c:v>
                </c:pt>
                <c:pt idx="86">
                  <c:v>45364.305433186506</c:v>
                </c:pt>
                <c:pt idx="87">
                  <c:v>44410.114537444941</c:v>
                </c:pt>
                <c:pt idx="88">
                  <c:v>43421.861967694567</c:v>
                </c:pt>
                <c:pt idx="89">
                  <c:v>42399.5477239354</c:v>
                </c:pt>
                <c:pt idx="90">
                  <c:v>41343.171806167404</c:v>
                </c:pt>
                <c:pt idx="91">
                  <c:v>40252.734214390613</c:v>
                </c:pt>
                <c:pt idx="92">
                  <c:v>39128.234948605001</c:v>
                </c:pt>
                <c:pt idx="93">
                  <c:v>37969.674008810594</c:v>
                </c:pt>
                <c:pt idx="94">
                  <c:v>36777.051395007351</c:v>
                </c:pt>
                <c:pt idx="95">
                  <c:v>35550.367107195321</c:v>
                </c:pt>
                <c:pt idx="96">
                  <c:v>34289.621145374462</c:v>
                </c:pt>
                <c:pt idx="97">
                  <c:v>32994.813509544787</c:v>
                </c:pt>
                <c:pt idx="98">
                  <c:v>31665.94419970633</c:v>
                </c:pt>
                <c:pt idx="99">
                  <c:v>30303.013215859039</c:v>
                </c:pt>
                <c:pt idx="100">
                  <c:v>28906.020558002958</c:v>
                </c:pt>
                <c:pt idx="101">
                  <c:v>27474.966226138044</c:v>
                </c:pt>
                <c:pt idx="102">
                  <c:v>26009.850220264339</c:v>
                </c:pt>
                <c:pt idx="103">
                  <c:v>24510.672540381805</c:v>
                </c:pt>
                <c:pt idx="104">
                  <c:v>22977.433186490482</c:v>
                </c:pt>
                <c:pt idx="105">
                  <c:v>21410.132158590324</c:v>
                </c:pt>
                <c:pt idx="106">
                  <c:v>19808.769456681359</c:v>
                </c:pt>
                <c:pt idx="107">
                  <c:v>18173.345080763604</c:v>
                </c:pt>
                <c:pt idx="108">
                  <c:v>16503.859030837015</c:v>
                </c:pt>
                <c:pt idx="109">
                  <c:v>14800.31130690164</c:v>
                </c:pt>
                <c:pt idx="110">
                  <c:v>13062.701908957428</c:v>
                </c:pt>
                <c:pt idx="111">
                  <c:v>11291.030837004433</c:v>
                </c:pt>
                <c:pt idx="112">
                  <c:v>9485.2980910426013</c:v>
                </c:pt>
                <c:pt idx="113">
                  <c:v>7645.5036710719587</c:v>
                </c:pt>
                <c:pt idx="114">
                  <c:v>5771.6475770925317</c:v>
                </c:pt>
                <c:pt idx="115">
                  <c:v>3863.729809104268</c:v>
                </c:pt>
                <c:pt idx="116">
                  <c:v>1921.75036710722</c:v>
                </c:pt>
                <c:pt idx="117">
                  <c:v>-54.290748898665015</c:v>
                </c:pt>
                <c:pt idx="118">
                  <c:v>-2064.3935389133339</c:v>
                </c:pt>
                <c:pt idx="119">
                  <c:v>-4108.5580029368402</c:v>
                </c:pt>
                <c:pt idx="120">
                  <c:v>-6186.7841409691573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B0-4CE4-B267-8AB438AE6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168319"/>
        <c:axId val="1333148143"/>
      </c:scatterChart>
      <c:valAx>
        <c:axId val="974168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33148143"/>
        <c:crosses val="autoZero"/>
        <c:crossBetween val="midCat"/>
      </c:valAx>
      <c:valAx>
        <c:axId val="1333148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741683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'4.MaxTrMaxTP'!$M$11</c:f>
          <c:strCache>
            <c:ptCount val="1"/>
            <c:pt idx="0">
              <c:v>TR &amp; TC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'4.MaxTrMaxTP'!$C$18</c:f>
              <c:strCache>
                <c:ptCount val="1"/>
                <c:pt idx="0">
                  <c:v>TR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'4.MaxTrMaxTP'!$A$19:$A$139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'4.MaxTrMaxTP'!$C$19:$C$139</c:f>
              <c:numCache>
                <c:formatCode>0.00</c:formatCode>
                <c:ptCount val="121"/>
                <c:pt idx="0" formatCode="General">
                  <c:v>0</c:v>
                </c:pt>
                <c:pt idx="1">
                  <c:v>1975.1130690161526</c:v>
                </c:pt>
                <c:pt idx="2">
                  <c:v>3916.1644640234949</c:v>
                </c:pt>
                <c:pt idx="3">
                  <c:v>5823.1541850220265</c:v>
                </c:pt>
                <c:pt idx="4">
                  <c:v>7696.0822320117477</c:v>
                </c:pt>
                <c:pt idx="5">
                  <c:v>9534.9486049926581</c:v>
                </c:pt>
                <c:pt idx="6">
                  <c:v>11339.753303964759</c:v>
                </c:pt>
                <c:pt idx="7">
                  <c:v>13110.496328928048</c:v>
                </c:pt>
                <c:pt idx="8">
                  <c:v>14847.177679882527</c:v>
                </c:pt>
                <c:pt idx="9">
                  <c:v>16549.797356828196</c:v>
                </c:pt>
                <c:pt idx="10">
                  <c:v>18218.35535976505</c:v>
                </c:pt>
                <c:pt idx="11">
                  <c:v>19852.851688693099</c:v>
                </c:pt>
                <c:pt idx="12">
                  <c:v>21453.286343612333</c:v>
                </c:pt>
                <c:pt idx="13">
                  <c:v>23019.659324522763</c:v>
                </c:pt>
                <c:pt idx="14">
                  <c:v>24551.970631424374</c:v>
                </c:pt>
                <c:pt idx="15">
                  <c:v>26050.22026431718</c:v>
                </c:pt>
                <c:pt idx="16">
                  <c:v>27514.408223201175</c:v>
                </c:pt>
                <c:pt idx="17">
                  <c:v>28944.534508076362</c:v>
                </c:pt>
                <c:pt idx="18">
                  <c:v>30340.599118942733</c:v>
                </c:pt>
                <c:pt idx="19">
                  <c:v>31702.602055800293</c:v>
                </c:pt>
                <c:pt idx="20">
                  <c:v>33030.543318649048</c:v>
                </c:pt>
                <c:pt idx="21">
                  <c:v>34324.422907488988</c:v>
                </c:pt>
                <c:pt idx="22">
                  <c:v>35584.24082232012</c:v>
                </c:pt>
                <c:pt idx="23">
                  <c:v>36809.997063142437</c:v>
                </c:pt>
                <c:pt idx="24">
                  <c:v>38001.691629955945</c:v>
                </c:pt>
                <c:pt idx="25">
                  <c:v>39159.324522760646</c:v>
                </c:pt>
                <c:pt idx="26">
                  <c:v>40282.895741556538</c:v>
                </c:pt>
                <c:pt idx="27">
                  <c:v>41372.405286343615</c:v>
                </c:pt>
                <c:pt idx="28">
                  <c:v>42427.853157121877</c:v>
                </c:pt>
                <c:pt idx="29">
                  <c:v>43449.239353891338</c:v>
                </c:pt>
                <c:pt idx="30">
                  <c:v>44436.563876651984</c:v>
                </c:pt>
                <c:pt idx="31">
                  <c:v>45389.826725403822</c:v>
                </c:pt>
                <c:pt idx="32">
                  <c:v>46309.027900146844</c:v>
                </c:pt>
                <c:pt idx="33">
                  <c:v>47194.167400881059</c:v>
                </c:pt>
                <c:pt idx="34">
                  <c:v>48045.245227606465</c:v>
                </c:pt>
                <c:pt idx="35">
                  <c:v>48862.261380323063</c:v>
                </c:pt>
                <c:pt idx="36">
                  <c:v>49645.215859030839</c:v>
                </c:pt>
                <c:pt idx="37">
                  <c:v>50394.108663729807</c:v>
                </c:pt>
                <c:pt idx="38">
                  <c:v>51108.939794419966</c:v>
                </c:pt>
                <c:pt idx="39">
                  <c:v>51789.709251101325</c:v>
                </c:pt>
                <c:pt idx="40">
                  <c:v>52436.417033773869</c:v>
                </c:pt>
                <c:pt idx="41">
                  <c:v>53049.063142437597</c:v>
                </c:pt>
                <c:pt idx="42">
                  <c:v>53627.64757709251</c:v>
                </c:pt>
                <c:pt idx="43">
                  <c:v>54172.170337738622</c:v>
                </c:pt>
                <c:pt idx="44">
                  <c:v>54682.631424375919</c:v>
                </c:pt>
                <c:pt idx="45">
                  <c:v>55159.030837004408</c:v>
                </c:pt>
                <c:pt idx="46">
                  <c:v>55601.368575624081</c:v>
                </c:pt>
                <c:pt idx="47">
                  <c:v>56009.644640234947</c:v>
                </c:pt>
                <c:pt idx="48">
                  <c:v>56383.859030837004</c:v>
                </c:pt>
                <c:pt idx="49">
                  <c:v>56724.011747430261</c:v>
                </c:pt>
                <c:pt idx="50">
                  <c:v>57030.102790014687</c:v>
                </c:pt>
                <c:pt idx="51">
                  <c:v>57302.132158590306</c:v>
                </c:pt>
                <c:pt idx="52">
                  <c:v>57540.099853157131</c:v>
                </c:pt>
                <c:pt idx="53">
                  <c:v>57744.005873715127</c:v>
                </c:pt>
                <c:pt idx="54">
                  <c:v>57913.850220264329</c:v>
                </c:pt>
                <c:pt idx="55">
                  <c:v>58049.632892804701</c:v>
                </c:pt>
                <c:pt idx="56">
                  <c:v>58151.353891336272</c:v>
                </c:pt>
                <c:pt idx="57">
                  <c:v>58219.013215859035</c:v>
                </c:pt>
                <c:pt idx="58">
                  <c:v>58252.61086637299</c:v>
                </c:pt>
                <c:pt idx="59">
                  <c:v>58252.14684287813</c:v>
                </c:pt>
                <c:pt idx="60">
                  <c:v>58217.621145374447</c:v>
                </c:pt>
                <c:pt idx="61">
                  <c:v>58149.033773861978</c:v>
                </c:pt>
                <c:pt idx="62">
                  <c:v>58046.384728340679</c:v>
                </c:pt>
                <c:pt idx="63">
                  <c:v>57909.674008810587</c:v>
                </c:pt>
                <c:pt idx="64">
                  <c:v>57738.901615271665</c:v>
                </c:pt>
                <c:pt idx="65">
                  <c:v>57534.067547723935</c:v>
                </c:pt>
                <c:pt idx="66">
                  <c:v>57295.171806167411</c:v>
                </c:pt>
                <c:pt idx="67">
                  <c:v>57022.214390602057</c:v>
                </c:pt>
                <c:pt idx="68">
                  <c:v>56715.19530102791</c:v>
                </c:pt>
                <c:pt idx="69">
                  <c:v>56374.114537444941</c:v>
                </c:pt>
                <c:pt idx="70">
                  <c:v>55998.97209985317</c:v>
                </c:pt>
                <c:pt idx="71">
                  <c:v>55589.767988252577</c:v>
                </c:pt>
                <c:pt idx="72">
                  <c:v>55146.502202643183</c:v>
                </c:pt>
                <c:pt idx="73">
                  <c:v>54669.174743024974</c:v>
                </c:pt>
                <c:pt idx="74">
                  <c:v>54157.785609397943</c:v>
                </c:pt>
                <c:pt idx="75">
                  <c:v>53612.334801762125</c:v>
                </c:pt>
                <c:pt idx="76">
                  <c:v>53032.822320117477</c:v>
                </c:pt>
                <c:pt idx="77">
                  <c:v>52419.248164464036</c:v>
                </c:pt>
                <c:pt idx="78">
                  <c:v>51771.612334801772</c:v>
                </c:pt>
                <c:pt idx="79">
                  <c:v>51089.914831130707</c:v>
                </c:pt>
                <c:pt idx="80">
                  <c:v>50374.155653450813</c:v>
                </c:pt>
                <c:pt idx="81">
                  <c:v>49624.334801762117</c:v>
                </c:pt>
                <c:pt idx="82">
                  <c:v>48840.452276064621</c:v>
                </c:pt>
                <c:pt idx="83">
                  <c:v>48022.508076358303</c:v>
                </c:pt>
                <c:pt idx="84">
                  <c:v>47170.502202643183</c:v>
                </c:pt>
                <c:pt idx="85">
                  <c:v>46284.434654919241</c:v>
                </c:pt>
                <c:pt idx="86">
                  <c:v>45364.305433186506</c:v>
                </c:pt>
                <c:pt idx="87">
                  <c:v>44410.114537444941</c:v>
                </c:pt>
                <c:pt idx="88">
                  <c:v>43421.861967694567</c:v>
                </c:pt>
                <c:pt idx="89">
                  <c:v>42399.5477239354</c:v>
                </c:pt>
                <c:pt idx="90">
                  <c:v>41343.171806167404</c:v>
                </c:pt>
                <c:pt idx="91">
                  <c:v>40252.734214390613</c:v>
                </c:pt>
                <c:pt idx="92">
                  <c:v>39128.234948605001</c:v>
                </c:pt>
                <c:pt idx="93">
                  <c:v>37969.674008810594</c:v>
                </c:pt>
                <c:pt idx="94">
                  <c:v>36777.051395007351</c:v>
                </c:pt>
                <c:pt idx="95">
                  <c:v>35550.367107195321</c:v>
                </c:pt>
                <c:pt idx="96">
                  <c:v>34289.621145374462</c:v>
                </c:pt>
                <c:pt idx="97">
                  <c:v>32994.813509544787</c:v>
                </c:pt>
                <c:pt idx="98">
                  <c:v>31665.94419970633</c:v>
                </c:pt>
                <c:pt idx="99">
                  <c:v>30303.013215859039</c:v>
                </c:pt>
                <c:pt idx="100">
                  <c:v>28906.020558002958</c:v>
                </c:pt>
                <c:pt idx="101">
                  <c:v>27474.966226138044</c:v>
                </c:pt>
                <c:pt idx="102">
                  <c:v>26009.850220264339</c:v>
                </c:pt>
                <c:pt idx="103">
                  <c:v>24510.672540381805</c:v>
                </c:pt>
                <c:pt idx="104">
                  <c:v>22977.433186490482</c:v>
                </c:pt>
                <c:pt idx="105">
                  <c:v>21410.132158590324</c:v>
                </c:pt>
                <c:pt idx="106">
                  <c:v>19808.769456681359</c:v>
                </c:pt>
                <c:pt idx="107">
                  <c:v>18173.345080763604</c:v>
                </c:pt>
                <c:pt idx="108">
                  <c:v>16503.859030837015</c:v>
                </c:pt>
                <c:pt idx="109">
                  <c:v>14800.31130690164</c:v>
                </c:pt>
                <c:pt idx="110">
                  <c:v>13062.701908957428</c:v>
                </c:pt>
                <c:pt idx="111">
                  <c:v>11291.030837004433</c:v>
                </c:pt>
                <c:pt idx="112">
                  <c:v>9485.2980910426013</c:v>
                </c:pt>
                <c:pt idx="113">
                  <c:v>7645.5036710719587</c:v>
                </c:pt>
                <c:pt idx="114">
                  <c:v>5771.6475770925317</c:v>
                </c:pt>
                <c:pt idx="115">
                  <c:v>3863.729809104268</c:v>
                </c:pt>
                <c:pt idx="116">
                  <c:v>1921.75036710722</c:v>
                </c:pt>
                <c:pt idx="117">
                  <c:v>-54.290748898665015</c:v>
                </c:pt>
                <c:pt idx="118">
                  <c:v>-2064.3935389133339</c:v>
                </c:pt>
                <c:pt idx="119">
                  <c:v>-4108.5580029368402</c:v>
                </c:pt>
                <c:pt idx="120">
                  <c:v>-6186.7841409691573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C3-4392-A493-5FF5933E89CC}"/>
            </c:ext>
          </c:extLst>
        </c:ser>
        <c:ser>
          <c:idx val="1"/>
          <c:order val="1"/>
          <c:tx>
            <c:strRef>
              <c:f>'4.MaxTrMaxTP'!$F$18</c:f>
              <c:strCache>
                <c:ptCount val="1"/>
                <c:pt idx="0">
                  <c:v>TC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'4.MaxTrMaxTP'!$A$19:$A$139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'4.MaxTrMaxTP'!$F$19:$F$139</c:f>
              <c:numCache>
                <c:formatCode>General</c:formatCode>
                <c:ptCount val="121"/>
                <c:pt idx="0">
                  <c:v>13016.578560939795</c:v>
                </c:pt>
                <c:pt idx="1">
                  <c:v>13315.168869309839</c:v>
                </c:pt>
                <c:pt idx="2">
                  <c:v>13613.759177679884</c:v>
                </c:pt>
                <c:pt idx="3">
                  <c:v>13912.349486049927</c:v>
                </c:pt>
                <c:pt idx="4">
                  <c:v>14210.939794419972</c:v>
                </c:pt>
                <c:pt idx="5">
                  <c:v>14509.530102790015</c:v>
                </c:pt>
                <c:pt idx="6">
                  <c:v>14808.12041116006</c:v>
                </c:pt>
                <c:pt idx="7">
                  <c:v>15106.710719530103</c:v>
                </c:pt>
                <c:pt idx="8">
                  <c:v>15405.301027900148</c:v>
                </c:pt>
                <c:pt idx="9">
                  <c:v>15703.891336270191</c:v>
                </c:pt>
                <c:pt idx="10">
                  <c:v>16002.481644640236</c:v>
                </c:pt>
                <c:pt idx="11">
                  <c:v>16301.07195301028</c:v>
                </c:pt>
                <c:pt idx="12">
                  <c:v>16599.662261380323</c:v>
                </c:pt>
                <c:pt idx="13">
                  <c:v>16898.252569750366</c:v>
                </c:pt>
                <c:pt idx="14">
                  <c:v>17196.842878120413</c:v>
                </c:pt>
                <c:pt idx="15">
                  <c:v>17495.433186490456</c:v>
                </c:pt>
                <c:pt idx="16">
                  <c:v>17794.023494860499</c:v>
                </c:pt>
                <c:pt idx="17">
                  <c:v>18092.613803230546</c:v>
                </c:pt>
                <c:pt idx="18">
                  <c:v>18391.204111600589</c:v>
                </c:pt>
                <c:pt idx="19">
                  <c:v>18689.794419970633</c:v>
                </c:pt>
                <c:pt idx="20">
                  <c:v>18988.384728340676</c:v>
                </c:pt>
                <c:pt idx="21">
                  <c:v>19286.975036710719</c:v>
                </c:pt>
                <c:pt idx="22">
                  <c:v>19585.565345080766</c:v>
                </c:pt>
                <c:pt idx="23">
                  <c:v>19884.155653450809</c:v>
                </c:pt>
                <c:pt idx="24">
                  <c:v>20182.745961820852</c:v>
                </c:pt>
                <c:pt idx="25">
                  <c:v>20481.336270190895</c:v>
                </c:pt>
                <c:pt idx="26">
                  <c:v>20779.926578560939</c:v>
                </c:pt>
                <c:pt idx="27">
                  <c:v>21078.516886930985</c:v>
                </c:pt>
                <c:pt idx="28">
                  <c:v>21377.107195301029</c:v>
                </c:pt>
                <c:pt idx="29">
                  <c:v>21675.697503671072</c:v>
                </c:pt>
                <c:pt idx="30">
                  <c:v>21974.287812041119</c:v>
                </c:pt>
                <c:pt idx="31">
                  <c:v>22272.878120411162</c:v>
                </c:pt>
                <c:pt idx="32">
                  <c:v>22571.468428781205</c:v>
                </c:pt>
                <c:pt idx="33">
                  <c:v>22870.058737151248</c:v>
                </c:pt>
                <c:pt idx="34">
                  <c:v>23168.649045521292</c:v>
                </c:pt>
                <c:pt idx="35">
                  <c:v>23467.239353891338</c:v>
                </c:pt>
                <c:pt idx="36">
                  <c:v>23765.829662261382</c:v>
                </c:pt>
                <c:pt idx="37">
                  <c:v>24064.419970631425</c:v>
                </c:pt>
                <c:pt idx="38">
                  <c:v>24363.010279001472</c:v>
                </c:pt>
                <c:pt idx="39">
                  <c:v>24661.600587371511</c:v>
                </c:pt>
                <c:pt idx="40">
                  <c:v>24960.190895741558</c:v>
                </c:pt>
                <c:pt idx="41">
                  <c:v>25258.781204111601</c:v>
                </c:pt>
                <c:pt idx="42">
                  <c:v>25557.371512481644</c:v>
                </c:pt>
                <c:pt idx="43">
                  <c:v>25855.961820851691</c:v>
                </c:pt>
                <c:pt idx="44">
                  <c:v>26154.552129221735</c:v>
                </c:pt>
                <c:pt idx="45">
                  <c:v>26453.142437591778</c:v>
                </c:pt>
                <c:pt idx="46">
                  <c:v>26751.732745961825</c:v>
                </c:pt>
                <c:pt idx="47">
                  <c:v>27050.323054331864</c:v>
                </c:pt>
                <c:pt idx="48">
                  <c:v>27348.913362701911</c:v>
                </c:pt>
                <c:pt idx="49">
                  <c:v>27647.503671071954</c:v>
                </c:pt>
                <c:pt idx="50">
                  <c:v>27946.093979441997</c:v>
                </c:pt>
                <c:pt idx="51">
                  <c:v>28244.684287812044</c:v>
                </c:pt>
                <c:pt idx="52">
                  <c:v>28543.274596182084</c:v>
                </c:pt>
                <c:pt idx="53">
                  <c:v>28841.864904552131</c:v>
                </c:pt>
                <c:pt idx="54">
                  <c:v>29140.455212922174</c:v>
                </c:pt>
                <c:pt idx="55">
                  <c:v>29439.045521292217</c:v>
                </c:pt>
                <c:pt idx="56">
                  <c:v>29737.635829662264</c:v>
                </c:pt>
                <c:pt idx="57">
                  <c:v>30036.226138032303</c:v>
                </c:pt>
                <c:pt idx="58">
                  <c:v>30334.81644640235</c:v>
                </c:pt>
                <c:pt idx="59">
                  <c:v>30633.406754772397</c:v>
                </c:pt>
                <c:pt idx="60">
                  <c:v>30931.997063142437</c:v>
                </c:pt>
                <c:pt idx="61">
                  <c:v>31230.587371512484</c:v>
                </c:pt>
                <c:pt idx="62">
                  <c:v>31529.17767988253</c:v>
                </c:pt>
                <c:pt idx="63">
                  <c:v>31827.76798825257</c:v>
                </c:pt>
                <c:pt idx="64">
                  <c:v>32126.358296622617</c:v>
                </c:pt>
                <c:pt idx="65">
                  <c:v>32424.948604992656</c:v>
                </c:pt>
                <c:pt idx="66">
                  <c:v>32723.538913362703</c:v>
                </c:pt>
                <c:pt idx="67">
                  <c:v>33022.12922173275</c:v>
                </c:pt>
                <c:pt idx="68">
                  <c:v>33320.71953010279</c:v>
                </c:pt>
                <c:pt idx="69">
                  <c:v>33619.309838472836</c:v>
                </c:pt>
                <c:pt idx="70">
                  <c:v>33917.900146842876</c:v>
                </c:pt>
                <c:pt idx="71">
                  <c:v>34216.490455212923</c:v>
                </c:pt>
                <c:pt idx="72">
                  <c:v>34515.08076358297</c:v>
                </c:pt>
                <c:pt idx="73">
                  <c:v>34813.671071953009</c:v>
                </c:pt>
                <c:pt idx="74">
                  <c:v>35112.261380323056</c:v>
                </c:pt>
                <c:pt idx="75">
                  <c:v>35410.851688693103</c:v>
                </c:pt>
                <c:pt idx="76">
                  <c:v>35709.441997063142</c:v>
                </c:pt>
                <c:pt idx="77">
                  <c:v>36008.032305433189</c:v>
                </c:pt>
                <c:pt idx="78">
                  <c:v>36306.622613803229</c:v>
                </c:pt>
                <c:pt idx="79">
                  <c:v>36605.212922173276</c:v>
                </c:pt>
                <c:pt idx="80">
                  <c:v>36903.803230543323</c:v>
                </c:pt>
                <c:pt idx="81">
                  <c:v>37202.393538913362</c:v>
                </c:pt>
                <c:pt idx="82">
                  <c:v>37500.983847283409</c:v>
                </c:pt>
                <c:pt idx="83">
                  <c:v>37799.574155653449</c:v>
                </c:pt>
                <c:pt idx="84">
                  <c:v>38098.164464023495</c:v>
                </c:pt>
                <c:pt idx="85">
                  <c:v>38396.754772393542</c:v>
                </c:pt>
                <c:pt idx="86">
                  <c:v>38695.345080763582</c:v>
                </c:pt>
                <c:pt idx="87">
                  <c:v>38993.935389133629</c:v>
                </c:pt>
                <c:pt idx="88">
                  <c:v>39292.525697503675</c:v>
                </c:pt>
                <c:pt idx="89">
                  <c:v>39591.116005873715</c:v>
                </c:pt>
                <c:pt idx="90">
                  <c:v>39889.706314243762</c:v>
                </c:pt>
                <c:pt idx="91">
                  <c:v>40188.296622613801</c:v>
                </c:pt>
                <c:pt idx="92">
                  <c:v>40486.886930983848</c:v>
                </c:pt>
                <c:pt idx="93">
                  <c:v>40785.477239353895</c:v>
                </c:pt>
                <c:pt idx="94">
                  <c:v>41084.067547723935</c:v>
                </c:pt>
                <c:pt idx="95">
                  <c:v>41382.657856093982</c:v>
                </c:pt>
                <c:pt idx="96">
                  <c:v>41681.248164464021</c:v>
                </c:pt>
                <c:pt idx="97">
                  <c:v>41979.838472834068</c:v>
                </c:pt>
                <c:pt idx="98">
                  <c:v>42278.428781204115</c:v>
                </c:pt>
                <c:pt idx="99">
                  <c:v>42577.019089574154</c:v>
                </c:pt>
                <c:pt idx="100">
                  <c:v>42875.609397944201</c:v>
                </c:pt>
                <c:pt idx="101">
                  <c:v>43174.199706314248</c:v>
                </c:pt>
                <c:pt idx="102">
                  <c:v>43472.790014684288</c:v>
                </c:pt>
                <c:pt idx="103">
                  <c:v>43771.380323054334</c:v>
                </c:pt>
                <c:pt idx="104">
                  <c:v>44069.970631424374</c:v>
                </c:pt>
                <c:pt idx="105">
                  <c:v>44368.560939794421</c:v>
                </c:pt>
                <c:pt idx="106">
                  <c:v>44667.151248164468</c:v>
                </c:pt>
                <c:pt idx="107">
                  <c:v>44965.741556534507</c:v>
                </c:pt>
                <c:pt idx="108">
                  <c:v>45264.331864904554</c:v>
                </c:pt>
                <c:pt idx="109">
                  <c:v>45562.922173274601</c:v>
                </c:pt>
                <c:pt idx="110">
                  <c:v>45861.512481644641</c:v>
                </c:pt>
                <c:pt idx="111">
                  <c:v>46160.102790014687</c:v>
                </c:pt>
                <c:pt idx="112">
                  <c:v>46458.693098384727</c:v>
                </c:pt>
                <c:pt idx="113">
                  <c:v>46757.283406754774</c:v>
                </c:pt>
                <c:pt idx="114">
                  <c:v>47055.873715124813</c:v>
                </c:pt>
                <c:pt idx="115">
                  <c:v>47354.46402349486</c:v>
                </c:pt>
                <c:pt idx="116">
                  <c:v>47653.054331864907</c:v>
                </c:pt>
                <c:pt idx="117">
                  <c:v>47951.644640234947</c:v>
                </c:pt>
                <c:pt idx="118">
                  <c:v>48250.234948604993</c:v>
                </c:pt>
                <c:pt idx="119">
                  <c:v>48548.825256975033</c:v>
                </c:pt>
                <c:pt idx="120">
                  <c:v>48847.41556534508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C3-4392-A493-5FF5933E8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168319"/>
        <c:axId val="1333148143"/>
      </c:scatterChart>
      <c:valAx>
        <c:axId val="974168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33148143"/>
        <c:crosses val="autoZero"/>
        <c:crossBetween val="midCat"/>
      </c:valAx>
      <c:valAx>
        <c:axId val="1333148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741683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'4.MaxTrMaxTP'!$N$10</c:f>
          <c:strCache>
            <c:ptCount val="1"/>
            <c:pt idx="0">
              <c:v>TP vs. Q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'4.MaxTrMaxTP'!$G$18</c:f>
              <c:strCache>
                <c:ptCount val="1"/>
                <c:pt idx="0">
                  <c:v>TP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'4.MaxTrMaxTP'!$A$19:$A$139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'4.MaxTrMaxTP'!$G$19:$G$139</c:f>
              <c:numCache>
                <c:formatCode>General</c:formatCode>
                <c:ptCount val="121"/>
                <c:pt idx="0">
                  <c:v>-13016.578560939795</c:v>
                </c:pt>
                <c:pt idx="1">
                  <c:v>-11340.055800293685</c:v>
                </c:pt>
                <c:pt idx="2">
                  <c:v>-9697.5947136563882</c:v>
                </c:pt>
                <c:pt idx="3">
                  <c:v>-8089.1953010279003</c:v>
                </c:pt>
                <c:pt idx="4">
                  <c:v>-6514.8575624082241</c:v>
                </c:pt>
                <c:pt idx="5">
                  <c:v>-4974.5814977973569</c:v>
                </c:pt>
                <c:pt idx="6">
                  <c:v>-3468.3671071953013</c:v>
                </c:pt>
                <c:pt idx="7">
                  <c:v>-1996.2143906020556</c:v>
                </c:pt>
                <c:pt idx="8">
                  <c:v>-558.12334801762154</c:v>
                </c:pt>
                <c:pt idx="9">
                  <c:v>845.90602055800446</c:v>
                </c:pt>
                <c:pt idx="10">
                  <c:v>2215.8737151248133</c:v>
                </c:pt>
                <c:pt idx="11">
                  <c:v>3551.7797356828196</c:v>
                </c:pt>
                <c:pt idx="12">
                  <c:v>4853.6240822320106</c:v>
                </c:pt>
                <c:pt idx="13">
                  <c:v>6121.4067547723971</c:v>
                </c:pt>
                <c:pt idx="14">
                  <c:v>7355.1277533039611</c:v>
                </c:pt>
                <c:pt idx="15">
                  <c:v>8554.7870778267243</c:v>
                </c:pt>
                <c:pt idx="16">
                  <c:v>9720.3847283406758</c:v>
                </c:pt>
                <c:pt idx="17">
                  <c:v>10851.920704845816</c:v>
                </c:pt>
                <c:pt idx="18">
                  <c:v>11949.395007342144</c:v>
                </c:pt>
                <c:pt idx="19">
                  <c:v>13012.80763582966</c:v>
                </c:pt>
                <c:pt idx="20">
                  <c:v>14042.158590308372</c:v>
                </c:pt>
                <c:pt idx="21">
                  <c:v>15037.447870778269</c:v>
                </c:pt>
                <c:pt idx="22">
                  <c:v>15998.675477239354</c:v>
                </c:pt>
                <c:pt idx="23">
                  <c:v>16925.841409691628</c:v>
                </c:pt>
                <c:pt idx="24">
                  <c:v>17818.945668135093</c:v>
                </c:pt>
                <c:pt idx="25">
                  <c:v>18677.98825256975</c:v>
                </c:pt>
                <c:pt idx="26">
                  <c:v>19502.9691629956</c:v>
                </c:pt>
                <c:pt idx="27">
                  <c:v>20293.88839941263</c:v>
                </c:pt>
                <c:pt idx="28">
                  <c:v>21050.745961820849</c:v>
                </c:pt>
                <c:pt idx="29">
                  <c:v>21773.541850220266</c:v>
                </c:pt>
                <c:pt idx="30">
                  <c:v>22462.276064610865</c:v>
                </c:pt>
                <c:pt idx="31">
                  <c:v>23116.94860499266</c:v>
                </c:pt>
                <c:pt idx="32">
                  <c:v>23737.559471365639</c:v>
                </c:pt>
                <c:pt idx="33">
                  <c:v>24324.10866372981</c:v>
                </c:pt>
                <c:pt idx="34">
                  <c:v>24876.596182085173</c:v>
                </c:pt>
                <c:pt idx="35">
                  <c:v>25395.022026431725</c:v>
                </c:pt>
                <c:pt idx="36">
                  <c:v>25879.386196769457</c:v>
                </c:pt>
                <c:pt idx="37">
                  <c:v>26329.688693098382</c:v>
                </c:pt>
                <c:pt idx="38">
                  <c:v>26745.929515418495</c:v>
                </c:pt>
                <c:pt idx="39">
                  <c:v>27128.108663729814</c:v>
                </c:pt>
                <c:pt idx="40">
                  <c:v>27476.226138032311</c:v>
                </c:pt>
                <c:pt idx="41">
                  <c:v>27790.281938325996</c:v>
                </c:pt>
                <c:pt idx="42">
                  <c:v>28070.276064610865</c:v>
                </c:pt>
                <c:pt idx="43">
                  <c:v>28316.208516886931</c:v>
                </c:pt>
                <c:pt idx="44">
                  <c:v>28528.079295154184</c:v>
                </c:pt>
                <c:pt idx="45">
                  <c:v>28705.88839941263</c:v>
                </c:pt>
                <c:pt idx="46">
                  <c:v>28849.635829662257</c:v>
                </c:pt>
                <c:pt idx="47">
                  <c:v>28959.321585903082</c:v>
                </c:pt>
                <c:pt idx="48">
                  <c:v>29034.945668135093</c:v>
                </c:pt>
                <c:pt idx="49">
                  <c:v>29076.508076358306</c:v>
                </c:pt>
                <c:pt idx="50">
                  <c:v>29084.00881057269</c:v>
                </c:pt>
                <c:pt idx="51">
                  <c:v>29057.447870778262</c:v>
                </c:pt>
                <c:pt idx="52">
                  <c:v>28996.825256975048</c:v>
                </c:pt>
                <c:pt idx="53">
                  <c:v>28902.140969162996</c:v>
                </c:pt>
                <c:pt idx="54">
                  <c:v>28773.395007342155</c:v>
                </c:pt>
                <c:pt idx="55">
                  <c:v>28610.587371512484</c:v>
                </c:pt>
                <c:pt idx="56">
                  <c:v>28413.718061674008</c:v>
                </c:pt>
                <c:pt idx="57">
                  <c:v>28182.787077826732</c:v>
                </c:pt>
                <c:pt idx="58">
                  <c:v>27917.79441997064</c:v>
                </c:pt>
                <c:pt idx="59">
                  <c:v>27618.740088105733</c:v>
                </c:pt>
                <c:pt idx="60">
                  <c:v>27285.624082232011</c:v>
                </c:pt>
                <c:pt idx="61">
                  <c:v>26918.446402349495</c:v>
                </c:pt>
                <c:pt idx="62">
                  <c:v>26517.207048458149</c:v>
                </c:pt>
                <c:pt idx="63">
                  <c:v>26081.906020558017</c:v>
                </c:pt>
                <c:pt idx="64">
                  <c:v>25612.543318649048</c:v>
                </c:pt>
                <c:pt idx="65">
                  <c:v>25109.118942731278</c:v>
                </c:pt>
                <c:pt idx="66">
                  <c:v>24571.632892804708</c:v>
                </c:pt>
                <c:pt idx="67">
                  <c:v>24000.085168869307</c:v>
                </c:pt>
                <c:pt idx="68">
                  <c:v>23394.475770925121</c:v>
                </c:pt>
                <c:pt idx="69">
                  <c:v>22754.804698972104</c:v>
                </c:pt>
                <c:pt idx="70">
                  <c:v>22081.071953010294</c:v>
                </c:pt>
                <c:pt idx="71">
                  <c:v>21373.277533039654</c:v>
                </c:pt>
                <c:pt idx="72">
                  <c:v>20631.421439060214</c:v>
                </c:pt>
                <c:pt idx="73">
                  <c:v>19855.503671071965</c:v>
                </c:pt>
                <c:pt idx="74">
                  <c:v>19045.524229074887</c:v>
                </c:pt>
                <c:pt idx="75">
                  <c:v>18201.483113069022</c:v>
                </c:pt>
                <c:pt idx="76">
                  <c:v>17323.380323054334</c:v>
                </c:pt>
                <c:pt idx="77">
                  <c:v>16411.215859030846</c:v>
                </c:pt>
                <c:pt idx="78">
                  <c:v>15464.989720998543</c:v>
                </c:pt>
                <c:pt idx="79">
                  <c:v>14484.701908957431</c:v>
                </c:pt>
                <c:pt idx="80">
                  <c:v>13470.35242290749</c:v>
                </c:pt>
                <c:pt idx="81">
                  <c:v>12421.941262848755</c:v>
                </c:pt>
                <c:pt idx="82">
                  <c:v>11339.468428781212</c:v>
                </c:pt>
                <c:pt idx="83">
                  <c:v>10222.933920704854</c:v>
                </c:pt>
                <c:pt idx="84">
                  <c:v>9072.337738619688</c:v>
                </c:pt>
                <c:pt idx="85">
                  <c:v>7887.6798825256992</c:v>
                </c:pt>
                <c:pt idx="86">
                  <c:v>6668.9603524229242</c:v>
                </c:pt>
                <c:pt idx="87">
                  <c:v>5416.179148311312</c:v>
                </c:pt>
                <c:pt idx="88">
                  <c:v>4129.3362701908918</c:v>
                </c:pt>
                <c:pt idx="89">
                  <c:v>2808.4317180616854</c:v>
                </c:pt>
                <c:pt idx="90">
                  <c:v>1453.4654919236418</c:v>
                </c:pt>
                <c:pt idx="91">
                  <c:v>64.437591776812042</c:v>
                </c:pt>
                <c:pt idx="92">
                  <c:v>-1358.6519823788476</c:v>
                </c:pt>
                <c:pt idx="93">
                  <c:v>-2815.8032305433007</c:v>
                </c:pt>
                <c:pt idx="94">
                  <c:v>-4307.0161527165837</c:v>
                </c:pt>
                <c:pt idx="95">
                  <c:v>-5832.2907488986602</c:v>
                </c:pt>
                <c:pt idx="96">
                  <c:v>-7391.6270190895593</c:v>
                </c:pt>
                <c:pt idx="97">
                  <c:v>-8985.024963289281</c:v>
                </c:pt>
                <c:pt idx="98">
                  <c:v>-10612.484581497785</c:v>
                </c:pt>
                <c:pt idx="99">
                  <c:v>-12274.005873715116</c:v>
                </c:pt>
                <c:pt idx="100">
                  <c:v>-13969.588839941243</c:v>
                </c:pt>
                <c:pt idx="101">
                  <c:v>-15699.233480176204</c:v>
                </c:pt>
                <c:pt idx="102">
                  <c:v>-17462.939794419948</c:v>
                </c:pt>
                <c:pt idx="103">
                  <c:v>-19260.707782672529</c:v>
                </c:pt>
                <c:pt idx="104">
                  <c:v>-21092.537444933892</c:v>
                </c:pt>
                <c:pt idx="105">
                  <c:v>-22958.428781204097</c:v>
                </c:pt>
                <c:pt idx="106">
                  <c:v>-24858.381791483109</c:v>
                </c:pt>
                <c:pt idx="107">
                  <c:v>-26792.396475770904</c:v>
                </c:pt>
                <c:pt idx="108">
                  <c:v>-28760.472834067539</c:v>
                </c:pt>
                <c:pt idx="109">
                  <c:v>-30762.610866372961</c:v>
                </c:pt>
                <c:pt idx="110">
                  <c:v>-32798.810572687216</c:v>
                </c:pt>
                <c:pt idx="111">
                  <c:v>-34869.071953010251</c:v>
                </c:pt>
                <c:pt idx="112">
                  <c:v>-36973.395007342129</c:v>
                </c:pt>
                <c:pt idx="113">
                  <c:v>-39111.779735682816</c:v>
                </c:pt>
                <c:pt idx="114">
                  <c:v>-41284.226138032282</c:v>
                </c:pt>
                <c:pt idx="115">
                  <c:v>-43490.734214390592</c:v>
                </c:pt>
                <c:pt idx="116">
                  <c:v>-45731.303964757688</c:v>
                </c:pt>
                <c:pt idx="117">
                  <c:v>-48005.935389133614</c:v>
                </c:pt>
                <c:pt idx="118">
                  <c:v>-50314.628487518326</c:v>
                </c:pt>
                <c:pt idx="119">
                  <c:v>-52657.383259911876</c:v>
                </c:pt>
                <c:pt idx="120">
                  <c:v>-55034.199706314233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A3-411E-94EB-7707502F3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4168319"/>
        <c:axId val="1333148143"/>
      </c:scatterChart>
      <c:valAx>
        <c:axId val="9741683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333148143"/>
        <c:crosses val="autoZero"/>
        <c:crossBetween val="midCat"/>
      </c:valAx>
      <c:valAx>
        <c:axId val="1333148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9741683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'5.RegreSSE&amp;SST'!$P$2</c:f>
          <c:strCache>
            <c:ptCount val="1"/>
            <c:pt idx="0">
              <c:v>Regression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'5.RegreSSE&amp;SST'!$B$2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'5.RegreSSE&amp;SST'!$A$3:$A$52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'5.RegreSSE&amp;SST'!$B$3:$B$52</c:f>
              <c:numCache>
                <c:formatCode>General</c:formatCode>
                <c:ptCount val="50"/>
                <c:pt idx="0">
                  <c:v>25</c:v>
                </c:pt>
                <c:pt idx="1">
                  <c:v>28</c:v>
                </c:pt>
                <c:pt idx="2">
                  <c:v>31</c:v>
                </c:pt>
                <c:pt idx="3">
                  <c:v>33</c:v>
                </c:pt>
                <c:pt idx="4">
                  <c:v>35</c:v>
                </c:pt>
                <c:pt idx="5">
                  <c:v>39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50</c:v>
                </c:pt>
                <c:pt idx="15">
                  <c:v>51</c:v>
                </c:pt>
                <c:pt idx="16">
                  <c:v>51</c:v>
                </c:pt>
                <c:pt idx="17">
                  <c:v>53</c:v>
                </c:pt>
                <c:pt idx="18">
                  <c:v>56</c:v>
                </c:pt>
                <c:pt idx="19">
                  <c:v>61</c:v>
                </c:pt>
                <c:pt idx="20">
                  <c:v>62</c:v>
                </c:pt>
                <c:pt idx="21">
                  <c:v>65</c:v>
                </c:pt>
                <c:pt idx="22">
                  <c:v>67</c:v>
                </c:pt>
                <c:pt idx="23">
                  <c:v>69</c:v>
                </c:pt>
                <c:pt idx="24">
                  <c:v>72</c:v>
                </c:pt>
                <c:pt idx="25">
                  <c:v>72</c:v>
                </c:pt>
                <c:pt idx="26">
                  <c:v>82</c:v>
                </c:pt>
                <c:pt idx="2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D-46A1-AEAF-8263DD15336B}"/>
            </c:ext>
          </c:extLst>
        </c:ser>
        <c:ser>
          <c:idx val="1"/>
          <c:order val="1"/>
          <c:tx>
            <c:strRef>
              <c:f>'5.RegreSSE&amp;SST'!$C$2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'5.RegreSSE&amp;SST'!$A$3:$A$52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'5.RegreSSE&amp;SST'!$C$3:$C$52</c:f>
              <c:numCache>
                <c:formatCode>0.0</c:formatCode>
                <c:ptCount val="50"/>
                <c:pt idx="0">
                  <c:v>25.113300492610847</c:v>
                </c:pt>
                <c:pt idx="1">
                  <c:v>27.059934318555015</c:v>
                </c:pt>
                <c:pt idx="2">
                  <c:v>29.006568144499187</c:v>
                </c:pt>
                <c:pt idx="3">
                  <c:v>30.953201970443356</c:v>
                </c:pt>
                <c:pt idx="4">
                  <c:v>32.899835796387528</c:v>
                </c:pt>
                <c:pt idx="5">
                  <c:v>34.846469622331696</c:v>
                </c:pt>
                <c:pt idx="6">
                  <c:v>36.793103448275872</c:v>
                </c:pt>
                <c:pt idx="7">
                  <c:v>38.73973727422004</c:v>
                </c:pt>
                <c:pt idx="8">
                  <c:v>40.686371100164209</c:v>
                </c:pt>
                <c:pt idx="9">
                  <c:v>42.633004926108384</c:v>
                </c:pt>
                <c:pt idx="10">
                  <c:v>44.579638752052546</c:v>
                </c:pt>
                <c:pt idx="11">
                  <c:v>46.526272577996721</c:v>
                </c:pt>
                <c:pt idx="12">
                  <c:v>48.47290640394089</c:v>
                </c:pt>
                <c:pt idx="13">
                  <c:v>50.419540229885058</c:v>
                </c:pt>
                <c:pt idx="14">
                  <c:v>52.366174055829234</c:v>
                </c:pt>
                <c:pt idx="15">
                  <c:v>54.312807881773402</c:v>
                </c:pt>
                <c:pt idx="16">
                  <c:v>56.259441707717571</c:v>
                </c:pt>
                <c:pt idx="17">
                  <c:v>58.206075533661746</c:v>
                </c:pt>
                <c:pt idx="18">
                  <c:v>60.152709359605907</c:v>
                </c:pt>
                <c:pt idx="19">
                  <c:v>62.099343185550083</c:v>
                </c:pt>
                <c:pt idx="20">
                  <c:v>64.045977011494259</c:v>
                </c:pt>
                <c:pt idx="21">
                  <c:v>65.99261083743842</c:v>
                </c:pt>
                <c:pt idx="22">
                  <c:v>67.939244663382595</c:v>
                </c:pt>
                <c:pt idx="23">
                  <c:v>69.885878489326771</c:v>
                </c:pt>
                <c:pt idx="24">
                  <c:v>71.832512315270932</c:v>
                </c:pt>
                <c:pt idx="25">
                  <c:v>73.779146141215108</c:v>
                </c:pt>
                <c:pt idx="26">
                  <c:v>75.725779967159284</c:v>
                </c:pt>
                <c:pt idx="27">
                  <c:v>77.672413793103445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D-46A1-AEAF-8263DD15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1288"/>
        <c:axId val="663231680"/>
      </c:scatterChart>
      <c:valAx>
        <c:axId val="663231288"/>
        <c:scaling>
          <c:orientation val="minMax"/>
          <c:max val="2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680"/>
        <c:crosses val="autoZero"/>
        <c:crossBetween val="midCat"/>
      </c:valAx>
      <c:valAx>
        <c:axId val="66323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'3.AllFormula&amp;Solver'!#REF!</c:f>
          <c:strCache>
            <c:ptCount val="1"/>
            <c:pt idx="0">
              <c:v>#REF!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'6.AllRegFormula&amp;Solver'!$B$1</c:f>
              <c:strCache>
                <c:ptCount val="1"/>
                <c:pt idx="0">
                  <c:v>At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'6.AllRegFormula&amp;Solver'!$A$2:$A$29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'6.AllRegFormula&amp;Solver'!$B$2:$B$29</c:f>
              <c:numCache>
                <c:formatCode>General</c:formatCode>
                <c:ptCount val="28"/>
                <c:pt idx="0">
                  <c:v>21</c:v>
                </c:pt>
                <c:pt idx="1">
                  <c:v>28</c:v>
                </c:pt>
                <c:pt idx="2">
                  <c:v>32</c:v>
                </c:pt>
                <c:pt idx="3">
                  <c:v>34</c:v>
                </c:pt>
                <c:pt idx="4">
                  <c:v>36</c:v>
                </c:pt>
                <c:pt idx="5">
                  <c:v>37</c:v>
                </c:pt>
                <c:pt idx="6">
                  <c:v>39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41</c:v>
                </c:pt>
                <c:pt idx="11">
                  <c:v>43</c:v>
                </c:pt>
                <c:pt idx="12">
                  <c:v>44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48</c:v>
                </c:pt>
                <c:pt idx="17">
                  <c:v>50</c:v>
                </c:pt>
                <c:pt idx="18">
                  <c:v>54</c:v>
                </c:pt>
                <c:pt idx="19">
                  <c:v>54</c:v>
                </c:pt>
                <c:pt idx="20">
                  <c:v>55</c:v>
                </c:pt>
                <c:pt idx="21">
                  <c:v>58</c:v>
                </c:pt>
                <c:pt idx="22">
                  <c:v>60</c:v>
                </c:pt>
                <c:pt idx="23">
                  <c:v>63</c:v>
                </c:pt>
                <c:pt idx="24">
                  <c:v>70</c:v>
                </c:pt>
                <c:pt idx="25">
                  <c:v>70</c:v>
                </c:pt>
                <c:pt idx="26">
                  <c:v>82</c:v>
                </c:pt>
                <c:pt idx="27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4D-4CC8-82AF-D4DE5D299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scatterChart>
        <c:scatterStyle val="smoothMarker"/>
        <c:varyColors val="0"/>
        <c:ser>
          <c:idx val="1"/>
          <c:order val="1"/>
          <c:tx>
            <c:strRef>
              <c:f>'6.AllRegFormula&amp;Solver'!$C$1</c:f>
              <c:strCache>
                <c:ptCount val="1"/>
                <c:pt idx="0">
                  <c:v>Ft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'6.AllRegFormula&amp;Solver'!$A$2:$A$31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'6.AllRegFormula&amp;Solver'!$C$2:$C$31</c:f>
              <c:numCache>
                <c:formatCode>General</c:formatCode>
                <c:ptCount val="30"/>
                <c:pt idx="0">
                  <c:v>24.450738915028023</c:v>
                </c:pt>
                <c:pt idx="1">
                  <c:v>26.242747671121542</c:v>
                </c:pt>
                <c:pt idx="2">
                  <c:v>28.034756427215058</c:v>
                </c:pt>
                <c:pt idx="3">
                  <c:v>29.826765183308577</c:v>
                </c:pt>
                <c:pt idx="4">
                  <c:v>31.618773939402097</c:v>
                </c:pt>
                <c:pt idx="5">
                  <c:v>33.410782695495612</c:v>
                </c:pt>
                <c:pt idx="6">
                  <c:v>35.202791451589135</c:v>
                </c:pt>
                <c:pt idx="7">
                  <c:v>36.994800207682651</c:v>
                </c:pt>
                <c:pt idx="8">
                  <c:v>38.786808963776167</c:v>
                </c:pt>
                <c:pt idx="9">
                  <c:v>40.57881771986969</c:v>
                </c:pt>
                <c:pt idx="10">
                  <c:v>42.370826475963213</c:v>
                </c:pt>
                <c:pt idx="11">
                  <c:v>44.162835232056729</c:v>
                </c:pt>
                <c:pt idx="12">
                  <c:v>45.954843988150245</c:v>
                </c:pt>
                <c:pt idx="13">
                  <c:v>47.746852744243768</c:v>
                </c:pt>
                <c:pt idx="14">
                  <c:v>49.538861500337283</c:v>
                </c:pt>
                <c:pt idx="15">
                  <c:v>51.330870256430799</c:v>
                </c:pt>
                <c:pt idx="16">
                  <c:v>53.122879012524322</c:v>
                </c:pt>
                <c:pt idx="17">
                  <c:v>54.914887768617838</c:v>
                </c:pt>
                <c:pt idx="18">
                  <c:v>56.706896524711361</c:v>
                </c:pt>
                <c:pt idx="19">
                  <c:v>58.498905280804877</c:v>
                </c:pt>
                <c:pt idx="20">
                  <c:v>60.2909140368984</c:v>
                </c:pt>
                <c:pt idx="21">
                  <c:v>62.082922792991916</c:v>
                </c:pt>
                <c:pt idx="22">
                  <c:v>63.874931549085431</c:v>
                </c:pt>
                <c:pt idx="23">
                  <c:v>65.666940305178954</c:v>
                </c:pt>
                <c:pt idx="24">
                  <c:v>67.458949061272477</c:v>
                </c:pt>
                <c:pt idx="25">
                  <c:v>69.250957817365986</c:v>
                </c:pt>
                <c:pt idx="26">
                  <c:v>71.042966573459509</c:v>
                </c:pt>
                <c:pt idx="27">
                  <c:v>72.834975329553032</c:v>
                </c:pt>
                <c:pt idx="28">
                  <c:v>74.626984085646541</c:v>
                </c:pt>
                <c:pt idx="29">
                  <c:v>76.418992841740064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94D-4CC8-82AF-D4DE5D299DF8}"/>
            </c:ext>
          </c:extLst>
        </c:ser>
        <c:ser>
          <c:idx val="2"/>
          <c:order val="2"/>
          <c:tx>
            <c:strRef>
              <c:f>'6.AllRegFormula&amp;Solver'!$F$2:$F$29</c:f>
              <c:strCache>
                <c:ptCount val="28"/>
                <c:pt idx="0">
                  <c:v>48.64285714</c:v>
                </c:pt>
                <c:pt idx="1">
                  <c:v>48.64285714</c:v>
                </c:pt>
                <c:pt idx="2">
                  <c:v>48.64285714</c:v>
                </c:pt>
                <c:pt idx="3">
                  <c:v>48.64285714</c:v>
                </c:pt>
                <c:pt idx="4">
                  <c:v>48.64285714</c:v>
                </c:pt>
                <c:pt idx="5">
                  <c:v>48.64285714</c:v>
                </c:pt>
                <c:pt idx="6">
                  <c:v>48.64285714</c:v>
                </c:pt>
                <c:pt idx="7">
                  <c:v>48.64285714</c:v>
                </c:pt>
                <c:pt idx="8">
                  <c:v>48.64285714</c:v>
                </c:pt>
                <c:pt idx="9">
                  <c:v>48.64285714</c:v>
                </c:pt>
                <c:pt idx="10">
                  <c:v>48.64285714</c:v>
                </c:pt>
                <c:pt idx="11">
                  <c:v>48.64285714</c:v>
                </c:pt>
                <c:pt idx="12">
                  <c:v>48.64285714</c:v>
                </c:pt>
                <c:pt idx="13">
                  <c:v>48.64285714</c:v>
                </c:pt>
                <c:pt idx="14">
                  <c:v>48.64285714</c:v>
                </c:pt>
                <c:pt idx="15">
                  <c:v>48.64285714</c:v>
                </c:pt>
                <c:pt idx="16">
                  <c:v>48.64285714</c:v>
                </c:pt>
                <c:pt idx="17">
                  <c:v>48.64285714</c:v>
                </c:pt>
                <c:pt idx="18">
                  <c:v>48.64285714</c:v>
                </c:pt>
                <c:pt idx="19">
                  <c:v>48.64285714</c:v>
                </c:pt>
                <c:pt idx="20">
                  <c:v>48.64285714</c:v>
                </c:pt>
                <c:pt idx="21">
                  <c:v>48.64285714</c:v>
                </c:pt>
                <c:pt idx="22">
                  <c:v>48.64285714</c:v>
                </c:pt>
                <c:pt idx="23">
                  <c:v>48.64285714</c:v>
                </c:pt>
                <c:pt idx="24">
                  <c:v>48.64285714</c:v>
                </c:pt>
                <c:pt idx="25">
                  <c:v>48.64285714</c:v>
                </c:pt>
                <c:pt idx="26">
                  <c:v>48.64285714</c:v>
                </c:pt>
                <c:pt idx="27">
                  <c:v>48.64285714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'6.AllRegFormula&amp;Solver'!$A$2:$A$29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'6.AllRegFormula&amp;Solver'!$F$2:$F$29</c:f>
              <c:numCache>
                <c:formatCode>General</c:formatCode>
                <c:ptCount val="28"/>
                <c:pt idx="0">
                  <c:v>48.642857142857146</c:v>
                </c:pt>
                <c:pt idx="1">
                  <c:v>48.642857142857146</c:v>
                </c:pt>
                <c:pt idx="2">
                  <c:v>48.642857142857146</c:v>
                </c:pt>
                <c:pt idx="3">
                  <c:v>48.642857142857146</c:v>
                </c:pt>
                <c:pt idx="4">
                  <c:v>48.642857142857146</c:v>
                </c:pt>
                <c:pt idx="5">
                  <c:v>48.642857142857146</c:v>
                </c:pt>
                <c:pt idx="6">
                  <c:v>48.642857142857146</c:v>
                </c:pt>
                <c:pt idx="7">
                  <c:v>48.642857142857146</c:v>
                </c:pt>
                <c:pt idx="8">
                  <c:v>48.642857142857146</c:v>
                </c:pt>
                <c:pt idx="9">
                  <c:v>48.642857142857146</c:v>
                </c:pt>
                <c:pt idx="10">
                  <c:v>48.642857142857146</c:v>
                </c:pt>
                <c:pt idx="11">
                  <c:v>48.642857142857146</c:v>
                </c:pt>
                <c:pt idx="12">
                  <c:v>48.642857142857146</c:v>
                </c:pt>
                <c:pt idx="13">
                  <c:v>48.642857142857146</c:v>
                </c:pt>
                <c:pt idx="14">
                  <c:v>48.642857142857146</c:v>
                </c:pt>
                <c:pt idx="15">
                  <c:v>48.642857142857146</c:v>
                </c:pt>
                <c:pt idx="16">
                  <c:v>48.642857142857146</c:v>
                </c:pt>
                <c:pt idx="17">
                  <c:v>48.642857142857146</c:v>
                </c:pt>
                <c:pt idx="18">
                  <c:v>48.642857142857146</c:v>
                </c:pt>
                <c:pt idx="19">
                  <c:v>48.642857142857146</c:v>
                </c:pt>
                <c:pt idx="20">
                  <c:v>48.642857142857146</c:v>
                </c:pt>
                <c:pt idx="21">
                  <c:v>48.642857142857146</c:v>
                </c:pt>
                <c:pt idx="22">
                  <c:v>48.642857142857146</c:v>
                </c:pt>
                <c:pt idx="23">
                  <c:v>48.642857142857146</c:v>
                </c:pt>
                <c:pt idx="24">
                  <c:v>48.642857142857146</c:v>
                </c:pt>
                <c:pt idx="25">
                  <c:v>48.642857142857146</c:v>
                </c:pt>
                <c:pt idx="26">
                  <c:v>48.642857142857146</c:v>
                </c:pt>
                <c:pt idx="27">
                  <c:v>48.642857142857146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94D-4CC8-82AF-D4DE5D299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8168"/>
        <c:axId val="222748560"/>
      </c:scatterChart>
      <c:valAx>
        <c:axId val="222748168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560"/>
        <c:crosses val="autoZero"/>
        <c:crossBetween val="midCat"/>
        <c:majorUnit val="5"/>
      </c:valAx>
      <c:valAx>
        <c:axId val="22274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222748168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TrendAndSeasChopraMine!$M$1</c:f>
          <c:strCache>
            <c:ptCount val="1"/>
            <c:pt idx="0">
              <c:v>Ft(TrSeasAdjExpSmoo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TrendAndSeasChopraMine!$B$1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TrendAndSeasChopraMine!$A$3:$A$30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TrendAndSeasChopraMine!$B$3:$B$30</c:f>
              <c:numCache>
                <c:formatCode>General</c:formatCode>
                <c:ptCount val="28"/>
                <c:pt idx="0">
                  <c:v>21</c:v>
                </c:pt>
                <c:pt idx="1">
                  <c:v>27</c:v>
                </c:pt>
                <c:pt idx="2">
                  <c:v>38</c:v>
                </c:pt>
                <c:pt idx="3">
                  <c:v>28</c:v>
                </c:pt>
                <c:pt idx="4">
                  <c:v>38</c:v>
                </c:pt>
                <c:pt idx="5">
                  <c:v>49</c:v>
                </c:pt>
                <c:pt idx="6">
                  <c:v>47</c:v>
                </c:pt>
                <c:pt idx="7">
                  <c:v>35</c:v>
                </c:pt>
                <c:pt idx="8">
                  <c:v>42</c:v>
                </c:pt>
                <c:pt idx="9">
                  <c:v>55</c:v>
                </c:pt>
                <c:pt idx="10">
                  <c:v>56</c:v>
                </c:pt>
                <c:pt idx="11">
                  <c:v>32</c:v>
                </c:pt>
                <c:pt idx="12">
                  <c:v>35</c:v>
                </c:pt>
                <c:pt idx="13">
                  <c:v>55</c:v>
                </c:pt>
                <c:pt idx="14">
                  <c:v>50</c:v>
                </c:pt>
                <c:pt idx="15">
                  <c:v>46</c:v>
                </c:pt>
                <c:pt idx="16">
                  <c:v>44</c:v>
                </c:pt>
                <c:pt idx="17">
                  <c:v>45</c:v>
                </c:pt>
                <c:pt idx="18">
                  <c:v>59</c:v>
                </c:pt>
                <c:pt idx="19">
                  <c:v>49</c:v>
                </c:pt>
                <c:pt idx="20">
                  <c:v>39</c:v>
                </c:pt>
                <c:pt idx="21">
                  <c:v>73</c:v>
                </c:pt>
                <c:pt idx="22">
                  <c:v>75</c:v>
                </c:pt>
                <c:pt idx="23">
                  <c:v>56</c:v>
                </c:pt>
                <c:pt idx="24">
                  <c:v>60</c:v>
                </c:pt>
                <c:pt idx="25">
                  <c:v>71</c:v>
                </c:pt>
                <c:pt idx="26">
                  <c:v>84</c:v>
                </c:pt>
                <c:pt idx="27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2E-479B-9C97-12B627FB14AD}"/>
            </c:ext>
          </c:extLst>
        </c:ser>
        <c:ser>
          <c:idx val="0"/>
          <c:order val="1"/>
          <c:tx>
            <c:strRef>
              <c:f>TrendAndSeasChopraMine!$M$1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TrendAndSeasChopraMine!$A$3:$A$34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TrendAndSeasChopraMine!$M$3:$M$34</c:f>
              <c:numCache>
                <c:formatCode>0.0000</c:formatCode>
                <c:ptCount val="32"/>
                <c:pt idx="0">
                  <c:v>27.474864240286269</c:v>
                </c:pt>
                <c:pt idx="1">
                  <c:v>28.288139956007932</c:v>
                </c:pt>
                <c:pt idx="2">
                  <c:v>39.467867736224356</c:v>
                </c:pt>
                <c:pt idx="3">
                  <c:v>29.025422245928031</c:v>
                </c:pt>
                <c:pt idx="4">
                  <c:v>39.166320987669884</c:v>
                </c:pt>
                <c:pt idx="5">
                  <c:v>50.494355728483796</c:v>
                </c:pt>
                <c:pt idx="6">
                  <c:v>48.503688650513396</c:v>
                </c:pt>
                <c:pt idx="7">
                  <c:v>36.059515722185495</c:v>
                </c:pt>
                <c:pt idx="8">
                  <c:v>43.159988147156476</c:v>
                </c:pt>
                <c:pt idx="9">
                  <c:v>56.496090736247808</c:v>
                </c:pt>
                <c:pt idx="10">
                  <c:v>57.538528577840019</c:v>
                </c:pt>
                <c:pt idx="11">
                  <c:v>32.967320179475976</c:v>
                </c:pt>
                <c:pt idx="12">
                  <c:v>36.016429930603891</c:v>
                </c:pt>
                <c:pt idx="13">
                  <c:v>56.425945147863494</c:v>
                </c:pt>
                <c:pt idx="14">
                  <c:v>51.389606808328857</c:v>
                </c:pt>
                <c:pt idx="15">
                  <c:v>47.093507445961507</c:v>
                </c:pt>
                <c:pt idx="16">
                  <c:v>45.076038526650223</c:v>
                </c:pt>
                <c:pt idx="17">
                  <c:v>46.229694916848203</c:v>
                </c:pt>
                <c:pt idx="18">
                  <c:v>60.430276632038364</c:v>
                </c:pt>
                <c:pt idx="19">
                  <c:v>50.080672125503462</c:v>
                </c:pt>
                <c:pt idx="20">
                  <c:v>39.960724091193839</c:v>
                </c:pt>
                <c:pt idx="21">
                  <c:v>74.514883020433416</c:v>
                </c:pt>
                <c:pt idx="22">
                  <c:v>76.556801125692857</c:v>
                </c:pt>
                <c:pt idx="23">
                  <c:v>57.115896503667166</c:v>
                </c:pt>
                <c:pt idx="24">
                  <c:v>61.169105618276788</c:v>
                </c:pt>
                <c:pt idx="25">
                  <c:v>72.414126072113618</c:v>
                </c:pt>
                <c:pt idx="26">
                  <c:v>85.590886771920296</c:v>
                </c:pt>
                <c:pt idx="27">
                  <c:v>42.885005315405451</c:v>
                </c:pt>
                <c:pt idx="28" formatCode="0.00">
                  <c:v>44.712658799175117</c:v>
                </c:pt>
                <c:pt idx="29" formatCode="0.00">
                  <c:v>59.475526622835929</c:v>
                </c:pt>
                <c:pt idx="30" formatCode="0.00">
                  <c:v>64.433404061044953</c:v>
                </c:pt>
                <c:pt idx="31" formatCode="0.00">
                  <c:v>45.540021261621796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2E-479B-9C97-12B627FB1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TrendAndSeasChopraMine!$I$1</c:f>
          <c:strCache>
            <c:ptCount val="1"/>
            <c:pt idx="0">
              <c:v>Ft (Stat.Reg)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TrendAndSeasChopraMine!$B$1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TrendAndSeasChopraMine!$A$3:$A$30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TrendAndSeasChopraMine!$B$3:$B$30</c:f>
              <c:numCache>
                <c:formatCode>General</c:formatCode>
                <c:ptCount val="28"/>
                <c:pt idx="0">
                  <c:v>21</c:v>
                </c:pt>
                <c:pt idx="1">
                  <c:v>27</c:v>
                </c:pt>
                <c:pt idx="2">
                  <c:v>38</c:v>
                </c:pt>
                <c:pt idx="3">
                  <c:v>28</c:v>
                </c:pt>
                <c:pt idx="4">
                  <c:v>38</c:v>
                </c:pt>
                <c:pt idx="5">
                  <c:v>49</c:v>
                </c:pt>
                <c:pt idx="6">
                  <c:v>47</c:v>
                </c:pt>
                <c:pt idx="7">
                  <c:v>35</c:v>
                </c:pt>
                <c:pt idx="8">
                  <c:v>42</c:v>
                </c:pt>
                <c:pt idx="9">
                  <c:v>55</c:v>
                </c:pt>
                <c:pt idx="10">
                  <c:v>56</c:v>
                </c:pt>
                <c:pt idx="11">
                  <c:v>32</c:v>
                </c:pt>
                <c:pt idx="12">
                  <c:v>35</c:v>
                </c:pt>
                <c:pt idx="13">
                  <c:v>55</c:v>
                </c:pt>
                <c:pt idx="14">
                  <c:v>50</c:v>
                </c:pt>
                <c:pt idx="15">
                  <c:v>46</c:v>
                </c:pt>
                <c:pt idx="16">
                  <c:v>44</c:v>
                </c:pt>
                <c:pt idx="17">
                  <c:v>45</c:v>
                </c:pt>
                <c:pt idx="18">
                  <c:v>59</c:v>
                </c:pt>
                <c:pt idx="19">
                  <c:v>49</c:v>
                </c:pt>
                <c:pt idx="20">
                  <c:v>39</c:v>
                </c:pt>
                <c:pt idx="21">
                  <c:v>73</c:v>
                </c:pt>
                <c:pt idx="22">
                  <c:v>75</c:v>
                </c:pt>
                <c:pt idx="23">
                  <c:v>56</c:v>
                </c:pt>
                <c:pt idx="24">
                  <c:v>60</c:v>
                </c:pt>
                <c:pt idx="25">
                  <c:v>71</c:v>
                </c:pt>
                <c:pt idx="26">
                  <c:v>84</c:v>
                </c:pt>
                <c:pt idx="27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28-4239-A2CD-3973028C4AE9}"/>
            </c:ext>
          </c:extLst>
        </c:ser>
        <c:ser>
          <c:idx val="0"/>
          <c:order val="1"/>
          <c:tx>
            <c:strRef>
              <c:f>TrendAndSeasChopraMine!$M$1</c:f>
              <c:strCache>
                <c:ptCount val="1"/>
                <c:pt idx="0">
                  <c:v>Ft(TrSeasAdjExpSmoo</c:v>
                </c:pt>
              </c:strCache>
            </c:strRef>
          </c:tx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TrendAndSeasChopraMine!$A$3:$A$34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TrendAndSeasChopraMine!$I$3:$I$34</c:f>
              <c:numCache>
                <c:formatCode>0.00</c:formatCode>
                <c:ptCount val="32"/>
                <c:pt idx="0">
                  <c:v>27.474864240286269</c:v>
                </c:pt>
                <c:pt idx="1">
                  <c:v>37.222571176867334</c:v>
                </c:pt>
                <c:pt idx="2">
                  <c:v>41.029053287233381</c:v>
                </c:pt>
                <c:pt idx="3">
                  <c:v>29.476340867545851</c:v>
                </c:pt>
                <c:pt idx="4">
                  <c:v>31.818445307733892</c:v>
                </c:pt>
                <c:pt idx="5">
                  <c:v>42.88345899062093</c:v>
                </c:pt>
                <c:pt idx="6">
                  <c:v>47.040288633420154</c:v>
                </c:pt>
                <c:pt idx="7">
                  <c:v>33.642375770592636</c:v>
                </c:pt>
                <c:pt idx="8">
                  <c:v>36.162026375181505</c:v>
                </c:pt>
                <c:pt idx="9">
                  <c:v>48.544346804374527</c:v>
                </c:pt>
                <c:pt idx="10">
                  <c:v>53.051523979606927</c:v>
                </c:pt>
                <c:pt idx="11">
                  <c:v>37.808410673639422</c:v>
                </c:pt>
                <c:pt idx="12">
                  <c:v>40.505607442629127</c:v>
                </c:pt>
                <c:pt idx="13">
                  <c:v>54.205234618128138</c:v>
                </c:pt>
                <c:pt idx="14">
                  <c:v>59.062759325793706</c:v>
                </c:pt>
                <c:pt idx="15">
                  <c:v>41.974445576686215</c:v>
                </c:pt>
                <c:pt idx="16">
                  <c:v>44.849188510076743</c:v>
                </c:pt>
                <c:pt idx="17">
                  <c:v>59.866122431881735</c:v>
                </c:pt>
                <c:pt idx="18">
                  <c:v>65.073994671980486</c:v>
                </c:pt>
                <c:pt idx="19">
                  <c:v>46.140480479733</c:v>
                </c:pt>
                <c:pt idx="20">
                  <c:v>49.192769577524359</c:v>
                </c:pt>
                <c:pt idx="21">
                  <c:v>65.527010245635324</c:v>
                </c:pt>
                <c:pt idx="22">
                  <c:v>71.085230018167252</c:v>
                </c:pt>
                <c:pt idx="23">
                  <c:v>50.306515382779793</c:v>
                </c:pt>
                <c:pt idx="24">
                  <c:v>53.536350644971975</c:v>
                </c:pt>
                <c:pt idx="25">
                  <c:v>71.187898059388928</c:v>
                </c:pt>
                <c:pt idx="26">
                  <c:v>77.096465364354017</c:v>
                </c:pt>
                <c:pt idx="27">
                  <c:v>54.472550285826571</c:v>
                </c:pt>
                <c:pt idx="28">
                  <c:v>57.879931712419591</c:v>
                </c:pt>
                <c:pt idx="29">
                  <c:v>76.848785873142532</c:v>
                </c:pt>
                <c:pt idx="30">
                  <c:v>83.107700710540811</c:v>
                </c:pt>
                <c:pt idx="31">
                  <c:v>58.638585188873371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28-4239-A2CD-3973028C4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TrendAndSeasSocic!$B$1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TrendAndSeasSocic!$B$1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TrendAndSeasSocic!$A$3:$A$14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TrendAndSeasSocic!$B$3:$B$14</c:f>
              <c:numCache>
                <c:formatCode>General</c:formatCode>
                <c:ptCount val="12"/>
                <c:pt idx="0">
                  <c:v>22</c:v>
                </c:pt>
                <c:pt idx="1">
                  <c:v>30</c:v>
                </c:pt>
                <c:pt idx="2">
                  <c:v>28</c:v>
                </c:pt>
                <c:pt idx="3">
                  <c:v>26</c:v>
                </c:pt>
                <c:pt idx="4">
                  <c:v>40</c:v>
                </c:pt>
                <c:pt idx="5">
                  <c:v>55</c:v>
                </c:pt>
                <c:pt idx="6">
                  <c:v>49</c:v>
                </c:pt>
                <c:pt idx="7">
                  <c:v>40</c:v>
                </c:pt>
                <c:pt idx="8">
                  <c:v>55</c:v>
                </c:pt>
                <c:pt idx="9">
                  <c:v>79</c:v>
                </c:pt>
                <c:pt idx="10">
                  <c:v>68</c:v>
                </c:pt>
                <c:pt idx="11">
                  <c:v>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49-4770-9043-EC3F4BAAB082}"/>
            </c:ext>
          </c:extLst>
        </c:ser>
        <c:ser>
          <c:idx val="0"/>
          <c:order val="1"/>
          <c:tx>
            <c:strRef>
              <c:f>TrendAndSeasSocic!$F$1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TrendAndSeasSocic!$A$3:$A$18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xVal>
          <c:yVal>
            <c:numRef>
              <c:f>TrendAndSeasSocic!$F$3:$F$18</c:f>
              <c:numCache>
                <c:formatCode>0.0000</c:formatCode>
                <c:ptCount val="16"/>
                <c:pt idx="0">
                  <c:v>18.029995162070634</c:v>
                </c:pt>
                <c:pt idx="1">
                  <c:v>30.2511677002243</c:v>
                </c:pt>
                <c:pt idx="2">
                  <c:v>32.98817567840964</c:v>
                </c:pt>
                <c:pt idx="3">
                  <c:v>34.512018735277294</c:v>
                </c:pt>
                <c:pt idx="4">
                  <c:v>33.423099576715863</c:v>
                </c:pt>
                <c:pt idx="5">
                  <c:v>49.418235678771154</c:v>
                </c:pt>
                <c:pt idx="6">
                  <c:v>49.924147777575612</c:v>
                </c:pt>
                <c:pt idx="7">
                  <c:v>49.545742754159903</c:v>
                </c:pt>
                <c:pt idx="8">
                  <c:v>50.787329857385032</c:v>
                </c:pt>
                <c:pt idx="9">
                  <c:v>70.752230031370885</c:v>
                </c:pt>
                <c:pt idx="10">
                  <c:v>67.835779521626733</c:v>
                </c:pt>
                <c:pt idx="11">
                  <c:v>63.660339447988754</c:v>
                </c:pt>
                <c:pt idx="12">
                  <c:v>68.823834273375738</c:v>
                </c:pt>
                <c:pt idx="13">
                  <c:v>94.155504258440416</c:v>
                </c:pt>
                <c:pt idx="14">
                  <c:v>85.868856471611721</c:v>
                </c:pt>
                <c:pt idx="15">
                  <c:v>78.734157405677777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49-4770-9043-EC3F4BAAB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16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TrendAndSeasChopraBook!$B$1</c:f>
          <c:strCache>
            <c:ptCount val="1"/>
            <c:pt idx="0">
              <c:v>TrendData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TrendAndSeasChopraBook!$B$1</c:f>
              <c:strCache>
                <c:ptCount val="1"/>
                <c:pt idx="0">
                  <c:v>TrendData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TrendAndSeasChopraBook!$A$3:$A$30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TrendAndSeasChopraBook!$B$3:$B$30</c:f>
              <c:numCache>
                <c:formatCode>General</c:formatCode>
                <c:ptCount val="28"/>
                <c:pt idx="0">
                  <c:v>8000</c:v>
                </c:pt>
                <c:pt idx="1">
                  <c:v>13000</c:v>
                </c:pt>
                <c:pt idx="2">
                  <c:v>23000</c:v>
                </c:pt>
                <c:pt idx="3">
                  <c:v>34000</c:v>
                </c:pt>
                <c:pt idx="4">
                  <c:v>10000</c:v>
                </c:pt>
                <c:pt idx="5">
                  <c:v>18000</c:v>
                </c:pt>
                <c:pt idx="6">
                  <c:v>23000</c:v>
                </c:pt>
                <c:pt idx="7">
                  <c:v>38000</c:v>
                </c:pt>
                <c:pt idx="8">
                  <c:v>12000</c:v>
                </c:pt>
                <c:pt idx="9">
                  <c:v>13000</c:v>
                </c:pt>
                <c:pt idx="10">
                  <c:v>32000</c:v>
                </c:pt>
                <c:pt idx="11">
                  <c:v>41000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62-4F8C-94D7-8AC28A960991}"/>
            </c:ext>
          </c:extLst>
        </c:ser>
        <c:ser>
          <c:idx val="0"/>
          <c:order val="1"/>
          <c:tx>
            <c:strRef>
              <c:f>TrendAndSeasChopraBook!$M$1</c:f>
              <c:strCache>
                <c:ptCount val="1"/>
                <c:pt idx="0">
                  <c:v>Ft(TrSeasAdjExpSmoo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TrendAndSeasChopraBook!$A$3:$A$34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TrendAndSeasChopraBook!$M$3:$M$18</c:f>
              <c:numCache>
                <c:formatCode>0.0000</c:formatCode>
                <c:ptCount val="16"/>
                <c:pt idx="0">
                  <c:v>8966.3233717127368</c:v>
                </c:pt>
                <c:pt idx="1">
                  <c:v>13609.735442881156</c:v>
                </c:pt>
                <c:pt idx="2">
                  <c:v>23897.321943273386</c:v>
                </c:pt>
                <c:pt idx="3">
                  <c:v>34828.043037682626</c:v>
                </c:pt>
                <c:pt idx="4">
                  <c:v>10015.272708869217</c:v>
                </c:pt>
                <c:pt idx="5">
                  <c:v>15174.266436441609</c:v>
                </c:pt>
                <c:pt idx="6">
                  <c:v>26476.956904982584</c:v>
                </c:pt>
                <c:pt idx="7">
                  <c:v>38588.416503408538</c:v>
                </c:pt>
                <c:pt idx="8">
                  <c:v>11153.162711683479</c:v>
                </c:pt>
                <c:pt idx="9">
                  <c:v>16812.154065218456</c:v>
                </c:pt>
                <c:pt idx="10">
                  <c:v>28668.678237399676</c:v>
                </c:pt>
                <c:pt idx="11">
                  <c:v>42194.989557426314</c:v>
                </c:pt>
                <c:pt idx="12">
                  <c:v>11973.423559735484</c:v>
                </c:pt>
                <c:pt idx="13">
                  <c:v>17646.463281136883</c:v>
                </c:pt>
                <c:pt idx="14">
                  <c:v>30949.702417485096</c:v>
                </c:pt>
                <c:pt idx="15">
                  <c:v>44808.514306899138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62-4F8C-94D7-8AC28A960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'1.Trend&amp;Season'!$B$4:$B$78</c:f>
              <c:numCache>
                <c:formatCode>0</c:formatCode>
                <c:ptCount val="75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B-4B2B-8C2E-46AAA498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'1.Trend&amp;Season'!$C$3</c:f>
          <c:strCache>
            <c:ptCount val="1"/>
            <c:pt idx="0">
              <c:v>Centered-MA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'1.Trend&amp;Season'!$A$6:$A$29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</c:numCache>
            </c:numRef>
          </c:xVal>
          <c:yVal>
            <c:numRef>
              <c:f>'1.Trend&amp;Season'!$C$6:$C$29</c:f>
              <c:numCache>
                <c:formatCode>0</c:formatCode>
                <c:ptCount val="24"/>
                <c:pt idx="0">
                  <c:v>35</c:v>
                </c:pt>
                <c:pt idx="1">
                  <c:v>36.25</c:v>
                </c:pt>
                <c:pt idx="2">
                  <c:v>38.75</c:v>
                </c:pt>
                <c:pt idx="3">
                  <c:v>40.75</c:v>
                </c:pt>
                <c:pt idx="4">
                  <c:v>44.375</c:v>
                </c:pt>
                <c:pt idx="5">
                  <c:v>45.375</c:v>
                </c:pt>
                <c:pt idx="6">
                  <c:v>47.25</c:v>
                </c:pt>
                <c:pt idx="7">
                  <c:v>48.625</c:v>
                </c:pt>
                <c:pt idx="8">
                  <c:v>47.75</c:v>
                </c:pt>
                <c:pt idx="9">
                  <c:v>47.375</c:v>
                </c:pt>
                <c:pt idx="10">
                  <c:v>46.5</c:v>
                </c:pt>
                <c:pt idx="11">
                  <c:v>49</c:v>
                </c:pt>
                <c:pt idx="12">
                  <c:v>51.125</c:v>
                </c:pt>
                <c:pt idx="13">
                  <c:v>54</c:v>
                </c:pt>
                <c:pt idx="14">
                  <c:v>56.625</c:v>
                </c:pt>
                <c:pt idx="15">
                  <c:v>56</c:v>
                </c:pt>
                <c:pt idx="16">
                  <c:v>57.875</c:v>
                </c:pt>
                <c:pt idx="17">
                  <c:v>60.25</c:v>
                </c:pt>
                <c:pt idx="18">
                  <c:v>62.625</c:v>
                </c:pt>
                <c:pt idx="19">
                  <c:v>63</c:v>
                </c:pt>
                <c:pt idx="20">
                  <c:v>60.375</c:v>
                </c:pt>
                <c:pt idx="21">
                  <c:v>58.25</c:v>
                </c:pt>
                <c:pt idx="22">
                  <c:v>58.25</c:v>
                </c:pt>
                <c:pt idx="23">
                  <c:v>62.125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30-476E-8EDD-D223B7303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'1.Trend&amp;Season'!$D$3</c:f>
          <c:strCache>
            <c:ptCount val="1"/>
            <c:pt idx="0">
              <c:v>Reg-Cen-MA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'1.Trend&amp;Season'!$C$3</c:f>
              <c:strCache>
                <c:ptCount val="1"/>
                <c:pt idx="0">
                  <c:v>Centered-MA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'1.Trend&amp;Season'!$C$4:$C$31</c:f>
              <c:numCache>
                <c:formatCode>General</c:formatCode>
                <c:ptCount val="28"/>
                <c:pt idx="2" formatCode="0">
                  <c:v>35</c:v>
                </c:pt>
                <c:pt idx="3" formatCode="0">
                  <c:v>36.25</c:v>
                </c:pt>
                <c:pt idx="4" formatCode="0">
                  <c:v>38.75</c:v>
                </c:pt>
                <c:pt idx="5" formatCode="0">
                  <c:v>40.75</c:v>
                </c:pt>
                <c:pt idx="6" formatCode="0">
                  <c:v>44.375</c:v>
                </c:pt>
                <c:pt idx="7" formatCode="0">
                  <c:v>45.375</c:v>
                </c:pt>
                <c:pt idx="8" formatCode="0">
                  <c:v>47.25</c:v>
                </c:pt>
                <c:pt idx="9" formatCode="0">
                  <c:v>48.625</c:v>
                </c:pt>
                <c:pt idx="10" formatCode="0">
                  <c:v>47.75</c:v>
                </c:pt>
                <c:pt idx="11" formatCode="0">
                  <c:v>47.375</c:v>
                </c:pt>
                <c:pt idx="12" formatCode="0">
                  <c:v>46.5</c:v>
                </c:pt>
                <c:pt idx="13" formatCode="0">
                  <c:v>49</c:v>
                </c:pt>
                <c:pt idx="14" formatCode="0">
                  <c:v>51.125</c:v>
                </c:pt>
                <c:pt idx="15" formatCode="0">
                  <c:v>54</c:v>
                </c:pt>
                <c:pt idx="16" formatCode="0">
                  <c:v>56.625</c:v>
                </c:pt>
                <c:pt idx="17" formatCode="0">
                  <c:v>56</c:v>
                </c:pt>
                <c:pt idx="18" formatCode="0">
                  <c:v>57.875</c:v>
                </c:pt>
                <c:pt idx="19" formatCode="0">
                  <c:v>60.25</c:v>
                </c:pt>
                <c:pt idx="20" formatCode="0">
                  <c:v>62.625</c:v>
                </c:pt>
                <c:pt idx="21" formatCode="0">
                  <c:v>63</c:v>
                </c:pt>
                <c:pt idx="22" formatCode="0">
                  <c:v>60.375</c:v>
                </c:pt>
                <c:pt idx="23" formatCode="0">
                  <c:v>58.25</c:v>
                </c:pt>
                <c:pt idx="24" formatCode="0">
                  <c:v>58.25</c:v>
                </c:pt>
                <c:pt idx="25" formatCode="0">
                  <c:v>62.125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20-4FA6-9237-F53EFA30D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'1.Trend&amp;Season'!$A$4:$A$31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'1.Trend&amp;Season'!$D$4:$D$31</c:f>
              <c:numCache>
                <c:formatCode>0.0</c:formatCode>
                <c:ptCount val="28"/>
                <c:pt idx="0">
                  <c:v>35.600289855072468</c:v>
                </c:pt>
                <c:pt idx="1">
                  <c:v>36.751811594202898</c:v>
                </c:pt>
                <c:pt idx="2">
                  <c:v>37.903333333333336</c:v>
                </c:pt>
                <c:pt idx="3">
                  <c:v>39.054855072463766</c:v>
                </c:pt>
                <c:pt idx="4">
                  <c:v>40.206376811594204</c:v>
                </c:pt>
                <c:pt idx="5">
                  <c:v>41.357898550724641</c:v>
                </c:pt>
                <c:pt idx="6">
                  <c:v>42.509420289855072</c:v>
                </c:pt>
                <c:pt idx="7">
                  <c:v>43.660942028985509</c:v>
                </c:pt>
                <c:pt idx="8">
                  <c:v>44.812463768115947</c:v>
                </c:pt>
                <c:pt idx="9">
                  <c:v>45.963985507246377</c:v>
                </c:pt>
                <c:pt idx="10">
                  <c:v>47.115507246376815</c:v>
                </c:pt>
                <c:pt idx="11">
                  <c:v>48.267028985507253</c:v>
                </c:pt>
                <c:pt idx="12">
                  <c:v>49.418550724637683</c:v>
                </c:pt>
                <c:pt idx="13">
                  <c:v>50.57007246376812</c:v>
                </c:pt>
                <c:pt idx="14">
                  <c:v>51.721594202898558</c:v>
                </c:pt>
                <c:pt idx="15">
                  <c:v>52.873115942028988</c:v>
                </c:pt>
                <c:pt idx="16">
                  <c:v>54.024637681159419</c:v>
                </c:pt>
                <c:pt idx="17">
                  <c:v>55.176159420289856</c:v>
                </c:pt>
                <c:pt idx="18">
                  <c:v>56.327681159420294</c:v>
                </c:pt>
                <c:pt idx="19">
                  <c:v>57.479202898550724</c:v>
                </c:pt>
                <c:pt idx="20">
                  <c:v>58.630724637681162</c:v>
                </c:pt>
                <c:pt idx="21">
                  <c:v>59.782246376811599</c:v>
                </c:pt>
                <c:pt idx="22">
                  <c:v>60.93376811594203</c:v>
                </c:pt>
                <c:pt idx="23">
                  <c:v>62.085289855072467</c:v>
                </c:pt>
                <c:pt idx="24">
                  <c:v>63.236811594202905</c:v>
                </c:pt>
                <c:pt idx="25">
                  <c:v>64.388333333333335</c:v>
                </c:pt>
                <c:pt idx="26">
                  <c:v>65.53985507246378</c:v>
                </c:pt>
                <c:pt idx="27">
                  <c:v>66.69137681159421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50E-48C3-8172-89A05CB1E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'1.Trend&amp;Season'!$G$3</c:f>
          <c:strCache>
            <c:ptCount val="1"/>
            <c:pt idx="0">
              <c:v>Forecast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xVal>
            <c:numRef>
              <c:f>'1.Trend&amp;Season'!$A$4:$A$31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'1.Trend&amp;Season'!$B$4:$B$31</c:f>
              <c:numCache>
                <c:formatCode>0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9-4A19-9B27-DCA2BF4C70F0}"/>
            </c:ext>
          </c:extLst>
        </c:ser>
        <c:ser>
          <c:idx val="1"/>
          <c:order val="1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'1.Trend&amp;Season'!$G$4:$G$83</c:f>
              <c:numCache>
                <c:formatCode>0.00</c:formatCode>
                <c:ptCount val="80"/>
                <c:pt idx="0">
                  <c:v>29.361217268185175</c:v>
                </c:pt>
                <c:pt idx="1">
                  <c:v>38.146208938257594</c:v>
                </c:pt>
                <c:pt idx="2">
                  <c:v>50.064698089078732</c:v>
                </c:pt>
                <c:pt idx="3">
                  <c:v>31.886742168009778</c:v>
                </c:pt>
                <c:pt idx="4">
                  <c:v>33.160071727998485</c:v>
                </c:pt>
                <c:pt idx="5">
                  <c:v>42.927055046507029</c:v>
                </c:pt>
                <c:pt idx="6">
                  <c:v>56.148657798435096</c:v>
                </c:pt>
                <c:pt idx="7">
                  <c:v>35.647429716677621</c:v>
                </c:pt>
                <c:pt idx="8">
                  <c:v>36.958926187811798</c:v>
                </c:pt>
                <c:pt idx="9">
                  <c:v>47.707901154756456</c:v>
                </c:pt>
                <c:pt idx="10">
                  <c:v>62.232617507791474</c:v>
                </c:pt>
                <c:pt idx="11">
                  <c:v>39.408117265345467</c:v>
                </c:pt>
                <c:pt idx="12">
                  <c:v>40.757780647625104</c:v>
                </c:pt>
                <c:pt idx="13">
                  <c:v>52.488747263005891</c:v>
                </c:pt>
                <c:pt idx="14">
                  <c:v>68.316577217147852</c:v>
                </c:pt>
                <c:pt idx="15">
                  <c:v>43.168804814013306</c:v>
                </c:pt>
                <c:pt idx="16">
                  <c:v>44.55663510743841</c:v>
                </c:pt>
                <c:pt idx="17">
                  <c:v>57.269593371255318</c:v>
                </c:pt>
                <c:pt idx="18">
                  <c:v>74.400536926504216</c:v>
                </c:pt>
                <c:pt idx="19">
                  <c:v>46.929492362681145</c:v>
                </c:pt>
                <c:pt idx="20">
                  <c:v>48.355489567251723</c:v>
                </c:pt>
                <c:pt idx="21">
                  <c:v>62.050439479504753</c:v>
                </c:pt>
                <c:pt idx="22">
                  <c:v>80.484496635860594</c:v>
                </c:pt>
                <c:pt idx="23">
                  <c:v>50.690179911348991</c:v>
                </c:pt>
                <c:pt idx="24">
                  <c:v>52.154344027065036</c:v>
                </c:pt>
                <c:pt idx="25">
                  <c:v>66.831285587754181</c:v>
                </c:pt>
                <c:pt idx="26">
                  <c:v>86.568456345216973</c:v>
                </c:pt>
                <c:pt idx="27">
                  <c:v>54.450867460016838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9-4A19-9B27-DCA2BF4C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MultiRefSeas!#REF!</c:f>
          <c:strCache>
            <c:ptCount val="1"/>
            <c:pt idx="0">
              <c:v>#REF!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MultiRefSeas!$A$4:$A$31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MultiRefSeas!$F$4:$F$31</c:f>
              <c:numCache>
                <c:formatCode>General</c:formatCode>
                <c:ptCount val="28"/>
                <c:pt idx="0">
                  <c:v>33</c:v>
                </c:pt>
                <c:pt idx="1">
                  <c:v>35</c:v>
                </c:pt>
                <c:pt idx="2">
                  <c:v>48</c:v>
                </c:pt>
                <c:pt idx="3">
                  <c:v>28</c:v>
                </c:pt>
                <c:pt idx="4">
                  <c:v>25</c:v>
                </c:pt>
                <c:pt idx="5">
                  <c:v>53</c:v>
                </c:pt>
                <c:pt idx="6">
                  <c:v>50</c:v>
                </c:pt>
                <c:pt idx="7">
                  <c:v>42</c:v>
                </c:pt>
                <c:pt idx="8">
                  <c:v>40</c:v>
                </c:pt>
                <c:pt idx="9">
                  <c:v>46</c:v>
                </c:pt>
                <c:pt idx="10">
                  <c:v>72</c:v>
                </c:pt>
                <c:pt idx="11">
                  <c:v>31</c:v>
                </c:pt>
                <c:pt idx="12">
                  <c:v>44</c:v>
                </c:pt>
                <c:pt idx="13">
                  <c:v>39</c:v>
                </c:pt>
                <c:pt idx="14">
                  <c:v>72</c:v>
                </c:pt>
                <c:pt idx="15">
                  <c:v>51</c:v>
                </c:pt>
                <c:pt idx="16">
                  <c:v>41</c:v>
                </c:pt>
                <c:pt idx="17">
                  <c:v>65</c:v>
                </c:pt>
                <c:pt idx="18">
                  <c:v>67</c:v>
                </c:pt>
                <c:pt idx="19">
                  <c:v>51</c:v>
                </c:pt>
                <c:pt idx="20">
                  <c:v>56</c:v>
                </c:pt>
                <c:pt idx="21">
                  <c:v>69</c:v>
                </c:pt>
                <c:pt idx="22">
                  <c:v>82</c:v>
                </c:pt>
                <c:pt idx="23">
                  <c:v>39</c:v>
                </c:pt>
                <c:pt idx="24">
                  <c:v>47</c:v>
                </c:pt>
                <c:pt idx="25">
                  <c:v>61</c:v>
                </c:pt>
                <c:pt idx="26">
                  <c:v>90</c:v>
                </c:pt>
                <c:pt idx="27">
                  <c:v>62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MultiRefSeas!#REF!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8F7-4A09-8629-BC88CDEFF4FD}"/>
            </c:ext>
          </c:extLst>
        </c:ser>
        <c:ser>
          <c:idx val="0"/>
          <c:order val="1"/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MultiRefSeas!$A$4:$A$32</c:f>
              <c:numCache>
                <c:formatCode>General</c:formatCode>
                <c:ptCount val="2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</c:numCache>
            </c:numRef>
          </c:xVal>
          <c:yVal>
            <c:numRef>
              <c:f>MultiRefSeas!$G$4:$G$32</c:f>
              <c:numCache>
                <c:formatCode>0.000000</c:formatCode>
                <c:ptCount val="29"/>
                <c:pt idx="0">
                  <c:v>26.526785714285719</c:v>
                </c:pt>
                <c:pt idx="1">
                  <c:v>38.241071428571431</c:v>
                </c:pt>
                <c:pt idx="2">
                  <c:v>54.383928571428562</c:v>
                </c:pt>
                <c:pt idx="3">
                  <c:v>29.098214285714285</c:v>
                </c:pt>
                <c:pt idx="4">
                  <c:v>31.303571428571434</c:v>
                </c:pt>
                <c:pt idx="5">
                  <c:v>43.017857142857139</c:v>
                </c:pt>
                <c:pt idx="6">
                  <c:v>59.160714285714278</c:v>
                </c:pt>
                <c:pt idx="7">
                  <c:v>33.875</c:v>
                </c:pt>
                <c:pt idx="8">
                  <c:v>36.080357142857146</c:v>
                </c:pt>
                <c:pt idx="9">
                  <c:v>47.794642857142861</c:v>
                </c:pt>
                <c:pt idx="10">
                  <c:v>63.937499999999986</c:v>
                </c:pt>
                <c:pt idx="11">
                  <c:v>38.651785714285715</c:v>
                </c:pt>
                <c:pt idx="12">
                  <c:v>40.857142857142854</c:v>
                </c:pt>
                <c:pt idx="13">
                  <c:v>52.571428571428569</c:v>
                </c:pt>
                <c:pt idx="14">
                  <c:v>68.714285714285708</c:v>
                </c:pt>
                <c:pt idx="15">
                  <c:v>43.428571428571431</c:v>
                </c:pt>
                <c:pt idx="16">
                  <c:v>45.633928571428569</c:v>
                </c:pt>
                <c:pt idx="17">
                  <c:v>57.348214285714278</c:v>
                </c:pt>
                <c:pt idx="18">
                  <c:v>73.491071428571416</c:v>
                </c:pt>
                <c:pt idx="19">
                  <c:v>48.205357142857139</c:v>
                </c:pt>
                <c:pt idx="20">
                  <c:v>50.410714285714285</c:v>
                </c:pt>
                <c:pt idx="21">
                  <c:v>62.125</c:v>
                </c:pt>
                <c:pt idx="22">
                  <c:v>78.267857142857139</c:v>
                </c:pt>
                <c:pt idx="23">
                  <c:v>52.982142857142854</c:v>
                </c:pt>
                <c:pt idx="24">
                  <c:v>55.187499999999993</c:v>
                </c:pt>
                <c:pt idx="25">
                  <c:v>66.901785714285708</c:v>
                </c:pt>
                <c:pt idx="26">
                  <c:v>83.044642857142847</c:v>
                </c:pt>
                <c:pt idx="27">
                  <c:v>57.758928571428569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MultiRefSeas!#REF!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8F7-4A09-8629-BC88CDEFF4FD}"/>
            </c:ext>
          </c:extLst>
        </c:ser>
        <c:ser>
          <c:idx val="2"/>
          <c:order val="2"/>
          <c:xVal>
            <c:numRef>
              <c:f>MultiRefSeas!$A$4:$A$31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MultiRefSeas!$G$4:$G$31</c:f>
              <c:numCache>
                <c:formatCode>0.000000</c:formatCode>
                <c:ptCount val="28"/>
                <c:pt idx="0">
                  <c:v>26.526785714285719</c:v>
                </c:pt>
                <c:pt idx="1">
                  <c:v>38.241071428571431</c:v>
                </c:pt>
                <c:pt idx="2">
                  <c:v>54.383928571428562</c:v>
                </c:pt>
                <c:pt idx="3">
                  <c:v>29.098214285714285</c:v>
                </c:pt>
                <c:pt idx="4">
                  <c:v>31.303571428571434</c:v>
                </c:pt>
                <c:pt idx="5">
                  <c:v>43.017857142857139</c:v>
                </c:pt>
                <c:pt idx="6">
                  <c:v>59.160714285714278</c:v>
                </c:pt>
                <c:pt idx="7">
                  <c:v>33.875</c:v>
                </c:pt>
                <c:pt idx="8">
                  <c:v>36.080357142857146</c:v>
                </c:pt>
                <c:pt idx="9">
                  <c:v>47.794642857142861</c:v>
                </c:pt>
                <c:pt idx="10">
                  <c:v>63.937499999999986</c:v>
                </c:pt>
                <c:pt idx="11">
                  <c:v>38.651785714285715</c:v>
                </c:pt>
                <c:pt idx="12">
                  <c:v>40.857142857142854</c:v>
                </c:pt>
                <c:pt idx="13">
                  <c:v>52.571428571428569</c:v>
                </c:pt>
                <c:pt idx="14">
                  <c:v>68.714285714285708</c:v>
                </c:pt>
                <c:pt idx="15">
                  <c:v>43.428571428571431</c:v>
                </c:pt>
                <c:pt idx="16">
                  <c:v>45.633928571428569</c:v>
                </c:pt>
                <c:pt idx="17">
                  <c:v>57.348214285714278</c:v>
                </c:pt>
                <c:pt idx="18">
                  <c:v>73.491071428571416</c:v>
                </c:pt>
                <c:pt idx="19">
                  <c:v>48.205357142857139</c:v>
                </c:pt>
                <c:pt idx="20">
                  <c:v>50.410714285714285</c:v>
                </c:pt>
                <c:pt idx="21">
                  <c:v>62.125</c:v>
                </c:pt>
                <c:pt idx="22">
                  <c:v>78.267857142857139</c:v>
                </c:pt>
                <c:pt idx="23">
                  <c:v>52.982142857142854</c:v>
                </c:pt>
                <c:pt idx="24">
                  <c:v>55.187499999999993</c:v>
                </c:pt>
                <c:pt idx="25">
                  <c:v>66.901785714285708</c:v>
                </c:pt>
                <c:pt idx="26">
                  <c:v>83.044642857142847</c:v>
                </c:pt>
                <c:pt idx="27">
                  <c:v>57.758928571428569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F7-4A09-8629-BC88CDEFF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TrAdES!$N$1</c:f>
          <c:strCache>
            <c:ptCount val="1"/>
            <c:pt idx="0">
              <c:v> F(next) ~ N ( 11080, 664)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TrAdES!$B$1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TrAdES!$B$3:$B$77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40-46CB-A65E-433752E86294}"/>
            </c:ext>
          </c:extLst>
        </c:ser>
        <c:ser>
          <c:idx val="1"/>
          <c:order val="1"/>
          <c:tx>
            <c:strRef>
              <c:f>TrAdES!$E$1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TrAdES!$E$3:$E$78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40-46CB-A65E-433752E8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6776"/>
        <c:axId val="663237168"/>
      </c:scatterChart>
      <c:valAx>
        <c:axId val="66323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7168"/>
        <c:crosses val="autoZero"/>
        <c:crossBetween val="midCat"/>
      </c:valAx>
      <c:valAx>
        <c:axId val="66323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67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TrAdES!$I$1:$I$2</c:f>
          <c:strCache>
            <c:ptCount val="2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TrAdES!$I$3:$I$77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C-4675-A789-DF4C2D05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7952"/>
        <c:axId val="663238344"/>
      </c:scatterChart>
      <c:valAx>
        <c:axId val="6632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344"/>
        <c:crosses val="autoZero"/>
        <c:crossBetween val="midCat"/>
      </c:valAx>
      <c:valAx>
        <c:axId val="66323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4" Type="http://schemas.openxmlformats.org/officeDocument/2006/relationships/chart" Target="../charts/chart4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chart" Target="../charts/chart41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2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4" Type="http://schemas.openxmlformats.org/officeDocument/2006/relationships/chart" Target="../charts/chart5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135374</xdr:colOff>
      <xdr:row>17</xdr:row>
      <xdr:rowOff>70229</xdr:rowOff>
    </xdr:from>
    <xdr:to>
      <xdr:col>12</xdr:col>
      <xdr:colOff>553284</xdr:colOff>
      <xdr:row>30</xdr:row>
      <xdr:rowOff>103565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20F49A-E213-4FB6-99DB-D2413577B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210079</xdr:colOff>
      <xdr:row>17</xdr:row>
      <xdr:rowOff>116358</xdr:rowOff>
    </xdr:from>
    <xdr:to>
      <xdr:col>18</xdr:col>
      <xdr:colOff>572614</xdr:colOff>
      <xdr:row>30</xdr:row>
      <xdr:rowOff>144933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CF18DF-16D7-4B83-B050-F338EA791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50574</xdr:colOff>
      <xdr:row>17</xdr:row>
      <xdr:rowOff>133195</xdr:rowOff>
    </xdr:from>
    <xdr:to>
      <xdr:col>25</xdr:col>
      <xdr:colOff>567543</xdr:colOff>
      <xdr:row>30</xdr:row>
      <xdr:rowOff>147482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1644A8-33A1-4561-B49A-F64CFC509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77208</xdr:colOff>
      <xdr:row>31</xdr:row>
      <xdr:rowOff>190464</xdr:rowOff>
    </xdr:from>
    <xdr:to>
      <xdr:col>13</xdr:col>
      <xdr:colOff>22798</xdr:colOff>
      <xdr:row>47</xdr:row>
      <xdr:rowOff>82270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BEE3F32-9F18-4285-AC65-B9F1F96F4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220312</xdr:colOff>
      <xdr:row>31</xdr:row>
      <xdr:rowOff>145058</xdr:rowOff>
    </xdr:from>
    <xdr:to>
      <xdr:col>18</xdr:col>
      <xdr:colOff>569797</xdr:colOff>
      <xdr:row>47</xdr:row>
      <xdr:rowOff>47404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AE20FC-428E-43F8-83D6-7B43A12A00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153217</xdr:colOff>
      <xdr:row>31</xdr:row>
      <xdr:rowOff>178239</xdr:rowOff>
    </xdr:from>
    <xdr:to>
      <xdr:col>26</xdr:col>
      <xdr:colOff>79704</xdr:colOff>
      <xdr:row>47</xdr:row>
      <xdr:rowOff>87776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2F23B1E-55B9-4144-9B2F-63561CEE36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347741</xdr:colOff>
      <xdr:row>31</xdr:row>
      <xdr:rowOff>200727</xdr:rowOff>
    </xdr:from>
    <xdr:to>
      <xdr:col>33</xdr:col>
      <xdr:colOff>241536</xdr:colOff>
      <xdr:row>47</xdr:row>
      <xdr:rowOff>92532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4A7571-B516-4DC0-B3C7-12FED4F1E0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73269</xdr:colOff>
      <xdr:row>17</xdr:row>
      <xdr:rowOff>134327</xdr:rowOff>
    </xdr:from>
    <xdr:to>
      <xdr:col>33</xdr:col>
      <xdr:colOff>16295</xdr:colOff>
      <xdr:row>30</xdr:row>
      <xdr:rowOff>148614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E6DFDF4-575E-4F00-9130-EA84D1E205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26233</xdr:colOff>
      <xdr:row>16</xdr:row>
      <xdr:rowOff>30543</xdr:rowOff>
    </xdr:from>
    <xdr:to>
      <xdr:col>11</xdr:col>
      <xdr:colOff>602892</xdr:colOff>
      <xdr:row>29</xdr:row>
      <xdr:rowOff>63879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47D539-FFD0-46FA-8767-F61927EC7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178595</xdr:colOff>
      <xdr:row>16</xdr:row>
      <xdr:rowOff>19844</xdr:rowOff>
    </xdr:from>
    <xdr:to>
      <xdr:col>17</xdr:col>
      <xdr:colOff>348457</xdr:colOff>
      <xdr:row>29</xdr:row>
      <xdr:rowOff>33336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AC4173-17A7-424F-8FB3-2DCE42F97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595316</xdr:colOff>
      <xdr:row>16</xdr:row>
      <xdr:rowOff>9920</xdr:rowOff>
    </xdr:from>
    <xdr:to>
      <xdr:col>24</xdr:col>
      <xdr:colOff>169865</xdr:colOff>
      <xdr:row>29</xdr:row>
      <xdr:rowOff>23412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8CEBA9-4000-48B9-B49C-4DF5692EC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49438</xdr:colOff>
      <xdr:row>3</xdr:row>
      <xdr:rowOff>203558</xdr:rowOff>
    </xdr:from>
    <xdr:to>
      <xdr:col>26</xdr:col>
      <xdr:colOff>127221</xdr:colOff>
      <xdr:row>47</xdr:row>
      <xdr:rowOff>182096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E9DBF8-ACEB-45F9-876C-33C814754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504265</xdr:colOff>
      <xdr:row>2</xdr:row>
      <xdr:rowOff>182096</xdr:rowOff>
    </xdr:from>
    <xdr:to>
      <xdr:col>6</xdr:col>
      <xdr:colOff>420221</xdr:colOff>
      <xdr:row>3</xdr:row>
      <xdr:rowOff>98050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2464C60-9323-4C07-98E6-4B4AEB5948A9}"/>
            </a:ext>
          </a:extLst>
        </xdr:cNvPr>
        <xdr:cNvCxnSpPr/>
      </xdr:nvCxnSpPr>
      <xdr:spPr>
        <a:xfrm flipH="1">
          <a:off x="1799665" y="591671"/>
          <a:ext cx="1287556" cy="125504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542925</xdr:colOff>
      <xdr:row>4</xdr:row>
      <xdr:rowOff>57150</xdr:rowOff>
    </xdr:from>
    <xdr:to>
      <xdr:col>21</xdr:col>
      <xdr:colOff>533400</xdr:colOff>
      <xdr:row>45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DA8A42-B01E-4DC9-BC32-F81037C91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426244</xdr:colOff>
      <xdr:row>29</xdr:row>
      <xdr:rowOff>83343</xdr:rowOff>
    </xdr:from>
    <xdr:to>
      <xdr:col>14</xdr:col>
      <xdr:colOff>340519</xdr:colOff>
      <xdr:row>42</xdr:row>
      <xdr:rowOff>102393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918C6DA-5B13-4157-BCB7-3601516ED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488157</xdr:colOff>
      <xdr:row>29</xdr:row>
      <xdr:rowOff>107157</xdr:rowOff>
    </xdr:from>
    <xdr:to>
      <xdr:col>19</xdr:col>
      <xdr:colOff>1235869</xdr:colOff>
      <xdr:row>42</xdr:row>
      <xdr:rowOff>126207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BD4A95-A42D-4723-97EE-B6DEBE3E0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1333500</xdr:colOff>
      <xdr:row>29</xdr:row>
      <xdr:rowOff>154782</xdr:rowOff>
    </xdr:from>
    <xdr:to>
      <xdr:col>24</xdr:col>
      <xdr:colOff>116681</xdr:colOff>
      <xdr:row>42</xdr:row>
      <xdr:rowOff>173832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D01E6B-260D-4703-A1D6-2F2119D34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160733</xdr:colOff>
      <xdr:row>6</xdr:row>
      <xdr:rowOff>63103</xdr:rowOff>
    </xdr:from>
    <xdr:to>
      <xdr:col>19</xdr:col>
      <xdr:colOff>89296</xdr:colOff>
      <xdr:row>19</xdr:row>
      <xdr:rowOff>20240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0AE64C4-9532-4D8E-8528-F79652D9D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447675</xdr:colOff>
      <xdr:row>21</xdr:row>
      <xdr:rowOff>176212</xdr:rowOff>
    </xdr:from>
    <xdr:to>
      <xdr:col>22</xdr:col>
      <xdr:colOff>142875</xdr:colOff>
      <xdr:row>36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AD1482-0F40-4539-BE7E-6B81DDCE7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361950</xdr:colOff>
      <xdr:row>3</xdr:row>
      <xdr:rowOff>123825</xdr:rowOff>
    </xdr:from>
    <xdr:to>
      <xdr:col>14</xdr:col>
      <xdr:colOff>57150</xdr:colOff>
      <xdr:row>18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7E08924-F456-4E6F-B77C-57A48EC61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14</xdr:col>
      <xdr:colOff>304800</xdr:colOff>
      <xdr:row>36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4ECE62-99CB-4E64-9C94-B81891BA7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219075</xdr:colOff>
      <xdr:row>3</xdr:row>
      <xdr:rowOff>66675</xdr:rowOff>
    </xdr:from>
    <xdr:to>
      <xdr:col>21</xdr:col>
      <xdr:colOff>523875</xdr:colOff>
      <xdr:row>17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274B83-270C-4020-8910-3EFFEB19D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2</xdr:row>
      <xdr:rowOff>128587</xdr:rowOff>
    </xdr:from>
    <xdr:to>
      <xdr:col>4</xdr:col>
      <xdr:colOff>5210175</xdr:colOff>
      <xdr:row>15</xdr:row>
      <xdr:rowOff>147637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B96B808-C4C1-410A-8496-D2303A5324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583224</xdr:colOff>
      <xdr:row>3</xdr:row>
      <xdr:rowOff>160697</xdr:rowOff>
    </xdr:from>
    <xdr:to>
      <xdr:col>20</xdr:col>
      <xdr:colOff>241079</xdr:colOff>
      <xdr:row>19</xdr:row>
      <xdr:rowOff>12816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7BF11A3-D03F-4F83-9B60-FFD470448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344349</xdr:colOff>
      <xdr:row>8</xdr:row>
      <xdr:rowOff>148906</xdr:rowOff>
    </xdr:from>
    <xdr:to>
      <xdr:col>22</xdr:col>
      <xdr:colOff>181548</xdr:colOff>
      <xdr:row>24</xdr:row>
      <xdr:rowOff>6641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1610A1-562F-4722-8907-CBCF19E2A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449293</xdr:colOff>
      <xdr:row>8</xdr:row>
      <xdr:rowOff>161746</xdr:rowOff>
    </xdr:from>
    <xdr:to>
      <xdr:col>29</xdr:col>
      <xdr:colOff>286492</xdr:colOff>
      <xdr:row>24</xdr:row>
      <xdr:rowOff>19481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340A042-748B-472C-A54B-90519C777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781661</xdr:colOff>
      <xdr:row>5</xdr:row>
      <xdr:rowOff>200382</xdr:rowOff>
    </xdr:from>
    <xdr:to>
      <xdr:col>10</xdr:col>
      <xdr:colOff>667720</xdr:colOff>
      <xdr:row>21</xdr:row>
      <xdr:rowOff>52502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223EA-0220-4D8C-9C6B-F2A70E094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1148771</xdr:colOff>
      <xdr:row>9</xdr:row>
      <xdr:rowOff>71399</xdr:rowOff>
    </xdr:from>
    <xdr:to>
      <xdr:col>12</xdr:col>
      <xdr:colOff>102173</xdr:colOff>
      <xdr:row>24</xdr:row>
      <xdr:rowOff>131878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1A4095-3EA3-43C8-B4F6-16EAD540A9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1122522</xdr:colOff>
      <xdr:row>18</xdr:row>
      <xdr:rowOff>205914</xdr:rowOff>
    </xdr:from>
    <xdr:to>
      <xdr:col>6</xdr:col>
      <xdr:colOff>648297</xdr:colOff>
      <xdr:row>33</xdr:row>
      <xdr:rowOff>150602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361314-E0FD-4785-ABE5-341651F59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480152</xdr:colOff>
      <xdr:row>0</xdr:row>
      <xdr:rowOff>195362</xdr:rowOff>
    </xdr:from>
    <xdr:to>
      <xdr:col>7</xdr:col>
      <xdr:colOff>107025</xdr:colOff>
      <xdr:row>15</xdr:row>
      <xdr:rowOff>68513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781FB6-D904-4419-8AF7-546D9EEB6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326384</xdr:colOff>
      <xdr:row>0</xdr:row>
      <xdr:rowOff>197573</xdr:rowOff>
    </xdr:from>
    <xdr:to>
      <xdr:col>15</xdr:col>
      <xdr:colOff>423511</xdr:colOff>
      <xdr:row>15</xdr:row>
      <xdr:rowOff>89912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4F55CD6-4908-471D-849F-05B42D292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490352</xdr:colOff>
      <xdr:row>15</xdr:row>
      <xdr:rowOff>185468</xdr:rowOff>
    </xdr:from>
    <xdr:to>
      <xdr:col>7</xdr:col>
      <xdr:colOff>117225</xdr:colOff>
      <xdr:row>30</xdr:row>
      <xdr:rowOff>18197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D55E9D6-D5F1-4E6F-967F-6DBCC72CE8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313990</xdr:colOff>
      <xdr:row>15</xdr:row>
      <xdr:rowOff>203790</xdr:rowOff>
    </xdr:from>
    <xdr:to>
      <xdr:col>15</xdr:col>
      <xdr:colOff>430167</xdr:colOff>
      <xdr:row>30</xdr:row>
      <xdr:rowOff>42291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00400E9-1FF2-4FB3-A114-7E736FD0B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157162</xdr:rowOff>
    </xdr:from>
    <xdr:to>
      <xdr:col>3</xdr:col>
      <xdr:colOff>381000</xdr:colOff>
      <xdr:row>23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4336A8-F810-4EE0-8850-B0E8D8AD2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542925</xdr:colOff>
      <xdr:row>8</xdr:row>
      <xdr:rowOff>190500</xdr:rowOff>
    </xdr:from>
    <xdr:to>
      <xdr:col>11</xdr:col>
      <xdr:colOff>238125</xdr:colOff>
      <xdr:row>23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8A7107-7614-4689-A0AE-EAA310E4B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26</xdr:row>
      <xdr:rowOff>19050</xdr:rowOff>
    </xdr:from>
    <xdr:to>
      <xdr:col>3</xdr:col>
      <xdr:colOff>438150</xdr:colOff>
      <xdr:row>40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89DEBD9-E181-4B79-B17A-A2CC8BE45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38100</xdr:colOff>
      <xdr:row>26</xdr:row>
      <xdr:rowOff>19050</xdr:rowOff>
    </xdr:from>
    <xdr:to>
      <xdr:col>11</xdr:col>
      <xdr:colOff>342900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02D00E-CDFE-4AE3-9207-67913C85B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328612</xdr:colOff>
      <xdr:row>11</xdr:row>
      <xdr:rowOff>128587</xdr:rowOff>
    </xdr:from>
    <xdr:to>
      <xdr:col>17</xdr:col>
      <xdr:colOff>23812</xdr:colOff>
      <xdr:row>24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220E31-FBEF-4E84-98C9-69CF7BCFEA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104775</xdr:colOff>
      <xdr:row>11</xdr:row>
      <xdr:rowOff>123825</xdr:rowOff>
    </xdr:from>
    <xdr:to>
      <xdr:col>24</xdr:col>
      <xdr:colOff>409575</xdr:colOff>
      <xdr:row>24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EA72BF4-66EC-4801-BF64-3E83AD896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304800</xdr:colOff>
      <xdr:row>25</xdr:row>
      <xdr:rowOff>142875</xdr:rowOff>
    </xdr:from>
    <xdr:to>
      <xdr:col>17</xdr:col>
      <xdr:colOff>0</xdr:colOff>
      <xdr:row>38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C33EC15-80F6-4106-A85E-D2E46AAA7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95250</xdr:colOff>
      <xdr:row>25</xdr:row>
      <xdr:rowOff>171450</xdr:rowOff>
    </xdr:from>
    <xdr:to>
      <xdr:col>24</xdr:col>
      <xdr:colOff>400050</xdr:colOff>
      <xdr:row>38</xdr:row>
      <xdr:rowOff>190500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23C3006-431E-46F0-A3B3-6A724D33A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383715</xdr:colOff>
      <xdr:row>18</xdr:row>
      <xdr:rowOff>126675</xdr:rowOff>
    </xdr:from>
    <xdr:to>
      <xdr:col>2</xdr:col>
      <xdr:colOff>384075</xdr:colOff>
      <xdr:row>18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13</xdr:col>
      <xdr:colOff>477243</xdr:colOff>
      <xdr:row>0</xdr:row>
      <xdr:rowOff>151405</xdr:rowOff>
    </xdr:from>
    <xdr:to>
      <xdr:col>21</xdr:col>
      <xdr:colOff>238124</xdr:colOff>
      <xdr:row>19</xdr:row>
      <xdr:rowOff>19844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12911</xdr:colOff>
      <xdr:row>10</xdr:row>
      <xdr:rowOff>179971</xdr:rowOff>
    </xdr:from>
    <xdr:to>
      <xdr:col>14</xdr:col>
      <xdr:colOff>153907</xdr:colOff>
      <xdr:row>24</xdr:row>
      <xdr:rowOff>34714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75410A-9F11-408A-B5DD-CA7489A30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5</xdr:col>
      <xdr:colOff>370974</xdr:colOff>
      <xdr:row>38</xdr:row>
      <xdr:rowOff>40105</xdr:rowOff>
    </xdr:from>
    <xdr:ext cx="5547584" cy="2594233"/>
    <xdr:pic>
      <xdr:nvPicPr>
        <xdr:cNvPr id="3" name="Picture 2">
          <a:extLst>
            <a:ext uri="{FF2B5EF4-FFF2-40B4-BE49-F238E27FC236}">
              <a16:creationId xmlns:a16="http://schemas.microsoft.com/office/drawing/2014/main" id="{10A4F2FF-7C1C-4F1D-AB45-01A7C8F06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8974" y="7279105"/>
          <a:ext cx="5547584" cy="2594233"/>
        </a:xfrm>
        <a:prstGeom prst="rect">
          <a:avLst/>
        </a:prstGeom>
      </xdr:spPr>
    </xdr:pic>
    <xdr:clientData/>
  </xdr:oneCellAnchor>
  <xdr:oneCellAnchor>
    <xdr:from>
      <xdr:col>10</xdr:col>
      <xdr:colOff>381000</xdr:colOff>
      <xdr:row>38</xdr:row>
      <xdr:rowOff>145774</xdr:rowOff>
    </xdr:from>
    <xdr:ext cx="4682290" cy="2444965"/>
    <xdr:pic>
      <xdr:nvPicPr>
        <xdr:cNvPr id="4" name="Picture 3">
          <a:extLst>
            <a:ext uri="{FF2B5EF4-FFF2-40B4-BE49-F238E27FC236}">
              <a16:creationId xmlns:a16="http://schemas.microsoft.com/office/drawing/2014/main" id="{08D52791-516A-4054-B87D-B4AE7A15B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0" y="7384774"/>
          <a:ext cx="4682290" cy="2444965"/>
        </a:xfrm>
        <a:prstGeom prst="rect">
          <a:avLst/>
        </a:prstGeom>
      </xdr:spPr>
    </xdr:pic>
    <xdr:clientData/>
  </xdr:oneCellAnchor>
  <xdr:oneCellAnchor>
    <xdr:from>
      <xdr:col>0</xdr:col>
      <xdr:colOff>260685</xdr:colOff>
      <xdr:row>38</xdr:row>
      <xdr:rowOff>30810</xdr:rowOff>
    </xdr:from>
    <xdr:ext cx="4952999" cy="2818557"/>
    <xdr:pic>
      <xdr:nvPicPr>
        <xdr:cNvPr id="5" name="Picture 4">
          <a:extLst>
            <a:ext uri="{FF2B5EF4-FFF2-40B4-BE49-F238E27FC236}">
              <a16:creationId xmlns:a16="http://schemas.microsoft.com/office/drawing/2014/main" id="{5BCDBB49-46EF-4C8B-B5A4-C7E2EBAE1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0685" y="7269810"/>
          <a:ext cx="4952999" cy="2818557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770945</xdr:colOff>
      <xdr:row>4</xdr:row>
      <xdr:rowOff>122200</xdr:rowOff>
    </xdr:from>
    <xdr:to>
      <xdr:col>23</xdr:col>
      <xdr:colOff>129160</xdr:colOff>
      <xdr:row>19</xdr:row>
      <xdr:rowOff>182680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0FBAE6-0808-4C51-9B03-B313D49BE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685800</xdr:colOff>
      <xdr:row>26</xdr:row>
      <xdr:rowOff>114300</xdr:rowOff>
    </xdr:from>
    <xdr:to>
      <xdr:col>18</xdr:col>
      <xdr:colOff>132915</xdr:colOff>
      <xdr:row>42</xdr:row>
      <xdr:rowOff>162080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0B3E69-AA9F-4A58-ABEF-FB9EBF9E9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87453</xdr:colOff>
      <xdr:row>5</xdr:row>
      <xdr:rowOff>101600</xdr:rowOff>
    </xdr:from>
    <xdr:to>
      <xdr:col>22</xdr:col>
      <xdr:colOff>573660</xdr:colOff>
      <xdr:row>18</xdr:row>
      <xdr:rowOff>150091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F0210C6-304D-4D13-9609-A4AA46B56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275645</xdr:colOff>
      <xdr:row>5</xdr:row>
      <xdr:rowOff>71400</xdr:rowOff>
    </xdr:from>
    <xdr:to>
      <xdr:col>30</xdr:col>
      <xdr:colOff>141860</xdr:colOff>
      <xdr:row>20</xdr:row>
      <xdr:rowOff>131880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B1F4EA-C8D8-4808-933F-7451A5A53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16065</xdr:colOff>
      <xdr:row>9</xdr:row>
      <xdr:rowOff>39057</xdr:rowOff>
    </xdr:from>
    <xdr:to>
      <xdr:col>14</xdr:col>
      <xdr:colOff>480425</xdr:colOff>
      <xdr:row>24</xdr:row>
      <xdr:rowOff>160512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598488</xdr:colOff>
      <xdr:row>9</xdr:row>
      <xdr:rowOff>8316</xdr:rowOff>
    </xdr:from>
    <xdr:to>
      <xdr:col>23</xdr:col>
      <xdr:colOff>198627</xdr:colOff>
      <xdr:row>24</xdr:row>
      <xdr:rowOff>153656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134714</xdr:colOff>
      <xdr:row>26</xdr:row>
      <xdr:rowOff>130668</xdr:rowOff>
    </xdr:from>
    <xdr:to>
      <xdr:col>14</xdr:col>
      <xdr:colOff>602560</xdr:colOff>
      <xdr:row>42</xdr:row>
      <xdr:rowOff>41997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22558</xdr:colOff>
      <xdr:row>26</xdr:row>
      <xdr:rowOff>14006</xdr:rowOff>
    </xdr:from>
    <xdr:to>
      <xdr:col>23</xdr:col>
      <xdr:colOff>272143</xdr:colOff>
      <xdr:row>41</xdr:row>
      <xdr:rowOff>113394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146661</xdr:colOff>
      <xdr:row>0</xdr:row>
      <xdr:rowOff>71401</xdr:rowOff>
    </xdr:from>
    <xdr:to>
      <xdr:col>25</xdr:col>
      <xdr:colOff>22798</xdr:colOff>
      <xdr:row>15</xdr:row>
      <xdr:rowOff>141802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1559CB-E64E-47FC-B736-BE5F613CD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1610</xdr:colOff>
      <xdr:row>19</xdr:row>
      <xdr:rowOff>9496</xdr:rowOff>
    </xdr:from>
    <xdr:to>
      <xdr:col>30</xdr:col>
      <xdr:colOff>97194</xdr:colOff>
      <xdr:row>54</xdr:row>
      <xdr:rowOff>106913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153566</xdr:colOff>
      <xdr:row>2</xdr:row>
      <xdr:rowOff>3693</xdr:rowOff>
    </xdr:from>
    <xdr:to>
      <xdr:col>29</xdr:col>
      <xdr:colOff>439316</xdr:colOff>
      <xdr:row>18</xdr:row>
      <xdr:rowOff>103219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dAnaBase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public_html/CourseBase/Probability/S-Regression/BaseStatRegSe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Forecasting/Slides/Base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rdiData84Var"/>
      <sheetName val="2.ArdiData28Vari"/>
      <sheetName val="3.ArdiData28Fixed"/>
      <sheetName val="1.StatFitPoissNorm"/>
      <sheetName val="Stationary"/>
      <sheetName val="0.Regression"/>
      <sheetName val="Trend"/>
      <sheetName val="TrendAdj"/>
      <sheetName val="1.Trend&amp;Season"/>
      <sheetName val="TrendAndSeas"/>
      <sheetName val="TrendAndSeas (2)"/>
      <sheetName val="TrAdES"/>
      <sheetName val="TrAdES2"/>
      <sheetName val="Sheet1"/>
      <sheetName val="3b.ArdiData28Fixed"/>
      <sheetName val="3c.ArdiData28Fixed"/>
      <sheetName val="3d.ArdiData28Fixed"/>
      <sheetName val="3e.ArdiData28Fixed"/>
      <sheetName val="3f.ArdiData28Fixed)"/>
      <sheetName val="3g.ArdiData28Fixed"/>
      <sheetName val="3h.ArdiData28Fixed"/>
    </sheetNames>
    <sheetDataSet>
      <sheetData sheetId="0"/>
      <sheetData sheetId="1"/>
      <sheetData sheetId="2"/>
      <sheetData sheetId="3">
        <row r="1">
          <cell r="B1" t="str">
            <v>Historical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Trend&amp;Season"/>
    </sheetNames>
    <sheetDataSet>
      <sheetData sheetId="0" refreshError="1">
        <row r="2">
          <cell r="A2" t="str">
            <v>Per.</v>
          </cell>
          <cell r="D2" t="str">
            <v>Trend&amp;S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Set2ESTR"/>
      <sheetName val="ESTAES"/>
    </sheetNames>
    <sheetDataSet>
      <sheetData sheetId="0">
        <row r="2">
          <cell r="A2" t="str">
            <v>Per.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  <sheetData sheetId="2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6:44:18.663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GICffBJLrs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BD57B-3593-4D0D-8887-F55694E3D162}">
  <dimension ref="A1:BK307"/>
  <sheetViews>
    <sheetView topLeftCell="A29" zoomScale="96" zoomScaleNormal="96" workbookViewId="0">
      <selection activeCell="A35" sqref="A35:E63"/>
    </sheetView>
  </sheetViews>
  <sheetFormatPr defaultColWidth="9.140625" defaultRowHeight="13.5" x14ac:dyDescent="0.25"/>
  <cols>
    <col min="1" max="1" width="4.5703125" style="57" bestFit="1" customWidth="1"/>
    <col min="2" max="2" width="9.7109375" style="57" bestFit="1" customWidth="1"/>
    <col min="3" max="3" width="6.7109375" style="57" bestFit="1" customWidth="1"/>
    <col min="4" max="4" width="11.7109375" style="57" bestFit="1" customWidth="1"/>
    <col min="5" max="5" width="14.140625" style="65" bestFit="1" customWidth="1"/>
    <col min="6" max="6" width="13" style="57" customWidth="1"/>
    <col min="7" max="8" width="5.85546875" style="57" customWidth="1"/>
    <col min="9" max="9" width="11.140625" style="57" customWidth="1"/>
    <col min="10" max="10" width="6.85546875" style="57" customWidth="1"/>
    <col min="11" max="11" width="4.85546875" style="57" bestFit="1" customWidth="1"/>
    <col min="12" max="12" width="8.7109375" style="57" bestFit="1" customWidth="1"/>
    <col min="13" max="13" width="9.140625" style="57"/>
    <col min="14" max="14" width="12.140625" style="57" bestFit="1" customWidth="1"/>
    <col min="15" max="15" width="13.85546875" style="57" bestFit="1" customWidth="1"/>
    <col min="16" max="16" width="12.42578125" style="57" bestFit="1" customWidth="1"/>
    <col min="17" max="17" width="12.140625" style="57" bestFit="1" customWidth="1"/>
    <col min="18" max="21" width="9.28515625" style="57" bestFit="1" customWidth="1"/>
    <col min="22" max="23" width="9.140625" style="57"/>
    <col min="24" max="24" width="9.28515625" style="57" bestFit="1" customWidth="1"/>
    <col min="25" max="35" width="9.140625" style="57"/>
    <col min="36" max="36" width="9.140625" style="57" customWidth="1"/>
    <col min="37" max="39" width="9.140625" style="57"/>
    <col min="40" max="40" width="9.28515625" style="57" bestFit="1" customWidth="1"/>
    <col min="41" max="41" width="14" style="57" customWidth="1"/>
    <col min="42" max="42" width="12.28515625" style="57" customWidth="1"/>
    <col min="43" max="43" width="10.140625" style="57" bestFit="1" customWidth="1"/>
    <col min="44" max="44" width="10.140625" style="57" customWidth="1"/>
    <col min="45" max="47" width="9.28515625" style="57" customWidth="1"/>
    <col min="48" max="48" width="9.28515625" style="57" bestFit="1" customWidth="1"/>
    <col min="49" max="49" width="12.28515625" style="57" bestFit="1" customWidth="1"/>
    <col min="50" max="16384" width="9.140625" style="57"/>
  </cols>
  <sheetData>
    <row r="1" spans="1:55" ht="17.25" thickBot="1" x14ac:dyDescent="0.35">
      <c r="A1" s="50" t="s">
        <v>17</v>
      </c>
      <c r="B1" s="51"/>
      <c r="C1" s="52"/>
      <c r="D1" s="51"/>
      <c r="E1" s="53"/>
      <c r="F1" s="54" t="s">
        <v>5</v>
      </c>
      <c r="G1" s="54" t="s">
        <v>6</v>
      </c>
      <c r="H1" s="55" t="s">
        <v>7</v>
      </c>
      <c r="I1" s="115" t="s">
        <v>8</v>
      </c>
      <c r="J1" s="56" t="s">
        <v>9</v>
      </c>
      <c r="K1" s="56" t="s">
        <v>10</v>
      </c>
      <c r="L1" s="56" t="s">
        <v>11</v>
      </c>
      <c r="N1" s="93" t="s">
        <v>68</v>
      </c>
      <c r="O1" s="95" t="s">
        <v>69</v>
      </c>
      <c r="P1" s="94" t="s">
        <v>70</v>
      </c>
      <c r="Q1" s="94" t="s">
        <v>71</v>
      </c>
      <c r="R1" s="94" t="s">
        <v>101</v>
      </c>
      <c r="S1" s="58" t="s">
        <v>23</v>
      </c>
      <c r="AN1" s="59" t="s">
        <v>18</v>
      </c>
      <c r="AO1" s="59"/>
      <c r="AP1" s="59"/>
      <c r="AQ1" s="60">
        <v>25</v>
      </c>
      <c r="AR1" s="60"/>
      <c r="AS1" s="60">
        <v>5</v>
      </c>
      <c r="AT1" s="60"/>
      <c r="AU1" s="60"/>
      <c r="AW1" s="60"/>
      <c r="AX1" s="49"/>
    </row>
    <row r="2" spans="1:55" ht="17.25" thickBot="1" x14ac:dyDescent="0.35">
      <c r="A2" s="61" t="s">
        <v>4</v>
      </c>
      <c r="B2" s="62" t="s">
        <v>103</v>
      </c>
      <c r="C2" s="142" t="s">
        <v>19</v>
      </c>
      <c r="D2" s="138" t="s">
        <v>22</v>
      </c>
      <c r="E2" s="140" t="s">
        <v>104</v>
      </c>
      <c r="F2" s="66" t="str">
        <f>G2&amp;" - "&amp;H2</f>
        <v>21 - 28</v>
      </c>
      <c r="G2" s="67">
        <f>Y5</f>
        <v>21</v>
      </c>
      <c r="H2" s="68">
        <f t="shared" ref="H2:H14" si="0">G2+$Y$3</f>
        <v>28</v>
      </c>
      <c r="I2" s="116">
        <f t="shared" ref="I2:I14" si="1">COUNTIF($B$3:$B$34, "&lt;"&amp;H2)</f>
        <v>1</v>
      </c>
      <c r="J2" s="69">
        <f>I2</f>
        <v>1</v>
      </c>
      <c r="K2" s="70">
        <f t="shared" ref="K2:K14" si="2">J2/$J$15</f>
        <v>3.5714285714285712E-2</v>
      </c>
      <c r="L2" s="71">
        <f t="shared" ref="L2:L14" si="3">I2/$J$15</f>
        <v>3.5714285714285712E-2</v>
      </c>
      <c r="N2" s="90" t="s">
        <v>12</v>
      </c>
      <c r="O2" s="317">
        <f>AVERAGE($B$3:$B$30)</f>
        <v>51.392857142857146</v>
      </c>
      <c r="P2" s="317">
        <f t="shared" ref="P2:R2" si="4">AVERAGE($B$3:$B$30)</f>
        <v>51.392857142857146</v>
      </c>
      <c r="Q2" s="317">
        <f t="shared" si="4"/>
        <v>51.392857142857146</v>
      </c>
      <c r="R2" s="317">
        <f t="shared" si="4"/>
        <v>51.392857142857146</v>
      </c>
      <c r="V2" s="57" t="s">
        <v>83</v>
      </c>
      <c r="Y2" s="57">
        <f>ROUND(O6/10,0)</f>
        <v>7</v>
      </c>
      <c r="AN2" s="60"/>
      <c r="AO2" s="60" t="s">
        <v>96</v>
      </c>
      <c r="AP2" s="60" t="s">
        <v>97</v>
      </c>
      <c r="AQ2" s="49" t="s">
        <v>20</v>
      </c>
      <c r="AR2" s="49" t="s">
        <v>107</v>
      </c>
      <c r="AS2" s="64" t="s">
        <v>105</v>
      </c>
      <c r="AT2" s="49" t="s">
        <v>99</v>
      </c>
      <c r="AU2" s="62" t="s">
        <v>100</v>
      </c>
      <c r="AV2" s="63" t="s">
        <v>19</v>
      </c>
      <c r="AW2" s="57" t="s">
        <v>102</v>
      </c>
    </row>
    <row r="3" spans="1:55" ht="17.25" thickBot="1" x14ac:dyDescent="0.35">
      <c r="A3" s="5">
        <v>1</v>
      </c>
      <c r="B3" s="72">
        <v>50</v>
      </c>
      <c r="C3" s="73">
        <v>25</v>
      </c>
      <c r="D3" s="139">
        <v>33</v>
      </c>
      <c r="E3" s="141">
        <v>39</v>
      </c>
      <c r="F3" s="75" t="str">
        <f t="shared" ref="F3:F14" si="5">G3&amp;" - "&amp;H3</f>
        <v>28 - 35</v>
      </c>
      <c r="G3" s="76">
        <f>H2</f>
        <v>28</v>
      </c>
      <c r="H3" s="77">
        <f t="shared" si="0"/>
        <v>35</v>
      </c>
      <c r="I3" s="116">
        <f t="shared" si="1"/>
        <v>4</v>
      </c>
      <c r="J3" s="78">
        <f>I3-I2</f>
        <v>3</v>
      </c>
      <c r="K3" s="79">
        <f t="shared" si="2"/>
        <v>0.10714285714285714</v>
      </c>
      <c r="L3" s="80">
        <f t="shared" si="3"/>
        <v>0.14285714285714285</v>
      </c>
      <c r="N3" s="110" t="s">
        <v>80</v>
      </c>
      <c r="O3" s="318">
        <f>MEDIAN(B$3:B$30)</f>
        <v>49</v>
      </c>
      <c r="P3" s="318">
        <f t="shared" ref="P3:R3" si="6">MEDIAN(C$3:C$30)</f>
        <v>49</v>
      </c>
      <c r="Q3" s="318">
        <f t="shared" si="6"/>
        <v>49</v>
      </c>
      <c r="R3" s="318">
        <f t="shared" si="6"/>
        <v>49</v>
      </c>
      <c r="V3" s="57" t="s">
        <v>84</v>
      </c>
      <c r="Y3" s="57">
        <f>ROUND(Y2,-LEN(Y2)+1)</f>
        <v>7</v>
      </c>
      <c r="AN3" s="60">
        <v>1</v>
      </c>
      <c r="AO3" s="60">
        <f ca="1">ABS(_xlfn.NORM.INV(RAND(),$AQ$1,$AS$1))</f>
        <v>24.272320235770501</v>
      </c>
      <c r="AP3" s="60">
        <f ca="1">SMALL($AO$3:$AO$30,ROWS(AO$3:AO3))</f>
        <v>10.448402062562604</v>
      </c>
      <c r="AQ3" s="81">
        <f ca="1">AR3+RAND()</f>
        <v>1.1398581287899405</v>
      </c>
      <c r="AR3" s="81">
        <v>1</v>
      </c>
      <c r="AS3" s="49">
        <f ca="1">ROUNDUP(AP3*AQ3,0)</f>
        <v>12</v>
      </c>
      <c r="AT3" s="49">
        <f ca="1">RAND()</f>
        <v>0.13212016484466249</v>
      </c>
      <c r="AU3" s="49">
        <f ca="1">INDEX($AS$3:$AS$30,MATCH(SMALL($AT$3:$AT$30,ROWS(AT$3:AT3)),$AT$3:$AT$30,0))</f>
        <v>38</v>
      </c>
      <c r="AV3" s="49">
        <f ca="1">SMALL($AS$3:$AS$30,ROWS(AV$3:AV3))</f>
        <v>12</v>
      </c>
      <c r="AW3" s="57">
        <f ca="1">VLOOKUP(SMALL($BB$3:$BB$16,AX3),$BB$3:$BC$30,2,0)</f>
        <v>39</v>
      </c>
      <c r="AX3" s="57">
        <v>1</v>
      </c>
      <c r="BA3" s="57">
        <v>1</v>
      </c>
      <c r="BB3" s="57">
        <f ca="1">RAND()</f>
        <v>0.86914861122138476</v>
      </c>
      <c r="BC3" s="57">
        <f ca="1">AV3</f>
        <v>12</v>
      </c>
    </row>
    <row r="4" spans="1:55" ht="17.25" thickBot="1" x14ac:dyDescent="0.35">
      <c r="A4" s="5">
        <v>2</v>
      </c>
      <c r="B4" s="72">
        <v>25</v>
      </c>
      <c r="C4" s="73">
        <v>28</v>
      </c>
      <c r="D4" s="139">
        <v>35</v>
      </c>
      <c r="E4" s="141">
        <v>67</v>
      </c>
      <c r="F4" s="75" t="str">
        <f t="shared" si="5"/>
        <v>35 - 42</v>
      </c>
      <c r="G4" s="76">
        <f t="shared" ref="G4:G13" si="7">H3</f>
        <v>35</v>
      </c>
      <c r="H4" s="77">
        <f t="shared" si="0"/>
        <v>42</v>
      </c>
      <c r="I4" s="116">
        <f t="shared" si="1"/>
        <v>9</v>
      </c>
      <c r="J4" s="78">
        <f t="shared" ref="J4:J14" si="8">I4-I3</f>
        <v>5</v>
      </c>
      <c r="K4" s="79">
        <f t="shared" si="2"/>
        <v>0.17857142857142858</v>
      </c>
      <c r="L4" s="80">
        <f t="shared" si="3"/>
        <v>0.32142857142857145</v>
      </c>
      <c r="N4" s="91" t="s">
        <v>13</v>
      </c>
      <c r="O4" s="319">
        <f>MAX(B$3:B$30)</f>
        <v>90</v>
      </c>
      <c r="P4" s="319">
        <f t="shared" ref="P4:R4" si="9">MAX(C$3:C$30)</f>
        <v>90</v>
      </c>
      <c r="Q4" s="319">
        <f t="shared" si="9"/>
        <v>90</v>
      </c>
      <c r="R4" s="319">
        <f t="shared" si="9"/>
        <v>90</v>
      </c>
      <c r="V4" s="57" t="s">
        <v>285</v>
      </c>
      <c r="Y4" s="57">
        <f>INT(O5/Y3)</f>
        <v>3</v>
      </c>
      <c r="AN4" s="60">
        <v>2</v>
      </c>
      <c r="AO4" s="60">
        <f t="shared" ref="AO4:AO30" ca="1" si="10">ABS(_xlfn.NORM.INV(RAND(),$AQ$1,$AS$1))</f>
        <v>24.774084505880147</v>
      </c>
      <c r="AP4" s="60">
        <f ca="1">SMALL($AO$3:$AO$30,ROWS(AO$3:AO4))</f>
        <v>16.298027666978996</v>
      </c>
      <c r="AQ4" s="81">
        <f t="shared" ref="AQ4:AQ30" ca="1" si="11">AR4+RAND()</f>
        <v>1.5784081020381437</v>
      </c>
      <c r="AR4" s="81">
        <v>1.5</v>
      </c>
      <c r="AS4" s="49">
        <f t="shared" ref="AS4:AS30" ca="1" si="12">ROUNDUP(AP4*AQ4,0)</f>
        <v>26</v>
      </c>
      <c r="AT4" s="49">
        <f t="shared" ref="AT4:AT30" ca="1" si="13">RAND()</f>
        <v>0.98181978775052536</v>
      </c>
      <c r="AU4" s="49">
        <f ca="1">INDEX($AS$3:$AS$30,MATCH(SMALL($AT$3:$AT$30,ROWS(AT$3:AT4)),$AT$3:$AT$30,0))</f>
        <v>32</v>
      </c>
      <c r="AV4" s="49">
        <f ca="1">SMALL($AS$3:$AS$30,ROWS(AV$3:AV4))</f>
        <v>26</v>
      </c>
      <c r="AW4" s="57">
        <f ca="1">VLOOKUP(SMALL($BB$17:$BB$30,AX4),$BB$17:$BC$30,2,0)</f>
        <v>51</v>
      </c>
      <c r="AX4" s="57">
        <v>1</v>
      </c>
      <c r="BA4" s="57">
        <v>2</v>
      </c>
      <c r="BB4" s="57">
        <f t="shared" ref="BB4:BB30" ca="1" si="14">RAND()</f>
        <v>0.21916265848648009</v>
      </c>
      <c r="BC4" s="57">
        <f t="shared" ref="BC4:BC30" ca="1" si="15">AV4</f>
        <v>26</v>
      </c>
    </row>
    <row r="5" spans="1:55" ht="17.25" thickBot="1" x14ac:dyDescent="0.35">
      <c r="A5" s="5">
        <v>3</v>
      </c>
      <c r="B5" s="72">
        <v>33</v>
      </c>
      <c r="C5" s="73">
        <v>31</v>
      </c>
      <c r="D5" s="139">
        <v>48</v>
      </c>
      <c r="E5" s="141">
        <v>50</v>
      </c>
      <c r="F5" s="75" t="str">
        <f t="shared" si="5"/>
        <v>42 - 49</v>
      </c>
      <c r="G5" s="76">
        <f t="shared" si="7"/>
        <v>42</v>
      </c>
      <c r="H5" s="77">
        <f t="shared" si="0"/>
        <v>49</v>
      </c>
      <c r="I5" s="116">
        <f t="shared" si="1"/>
        <v>14</v>
      </c>
      <c r="J5" s="78">
        <f t="shared" si="8"/>
        <v>5</v>
      </c>
      <c r="K5" s="79">
        <f t="shared" si="2"/>
        <v>0.17857142857142858</v>
      </c>
      <c r="L5" s="80">
        <f t="shared" si="3"/>
        <v>0.5</v>
      </c>
      <c r="N5" s="91" t="s">
        <v>14</v>
      </c>
      <c r="O5" s="319">
        <f>MIN(B$3:B$30)</f>
        <v>25</v>
      </c>
      <c r="P5" s="319">
        <f t="shared" ref="P5:R5" si="16">MIN(C$3:C$30)</f>
        <v>25</v>
      </c>
      <c r="Q5" s="319">
        <f t="shared" si="16"/>
        <v>25</v>
      </c>
      <c r="R5" s="319">
        <f t="shared" si="16"/>
        <v>25</v>
      </c>
      <c r="V5" s="57" t="s">
        <v>85</v>
      </c>
      <c r="Y5" s="57">
        <f>Y3*Y4</f>
        <v>21</v>
      </c>
      <c r="AN5" s="60">
        <v>3</v>
      </c>
      <c r="AO5" s="60">
        <f t="shared" ca="1" si="10"/>
        <v>25.459771759275657</v>
      </c>
      <c r="AP5" s="60">
        <f ca="1">SMALL($AO$3:$AO$30,ROWS(AO$3:AO5))</f>
        <v>18.377698748407532</v>
      </c>
      <c r="AQ5" s="81">
        <f t="shared" ca="1" si="11"/>
        <v>2.8705662565268861</v>
      </c>
      <c r="AR5" s="81">
        <v>2</v>
      </c>
      <c r="AS5" s="49">
        <f t="shared" ca="1" si="12"/>
        <v>53</v>
      </c>
      <c r="AT5" s="49">
        <f t="shared" ca="1" si="13"/>
        <v>0.48308389657297424</v>
      </c>
      <c r="AU5" s="49">
        <f ca="1">INDEX($AS$3:$AS$30,MATCH(SMALL($AT$3:$AT$30,ROWS(AT$3:AT5)),$AT$3:$AT$30,0))</f>
        <v>12</v>
      </c>
      <c r="AV5" s="49">
        <f ca="1">SMALL($AS$3:$AS$30,ROWS(AV$3:AV5))</f>
        <v>26</v>
      </c>
      <c r="AW5" s="57">
        <f ca="1">VLOOKUP(SMALL($BB$17:$BB$30,AX5),$BB$17:$BC$30,2,0)</f>
        <v>51</v>
      </c>
      <c r="AX5" s="57">
        <v>2</v>
      </c>
      <c r="BA5" s="57">
        <v>3</v>
      </c>
      <c r="BB5" s="57">
        <f t="shared" ca="1" si="14"/>
        <v>0.42775048059690213</v>
      </c>
      <c r="BC5" s="57">
        <f t="shared" ca="1" si="15"/>
        <v>26</v>
      </c>
    </row>
    <row r="6" spans="1:55" ht="17.25" thickBot="1" x14ac:dyDescent="0.35">
      <c r="A6" s="5">
        <v>4</v>
      </c>
      <c r="B6" s="72">
        <v>72</v>
      </c>
      <c r="C6" s="73">
        <v>33</v>
      </c>
      <c r="D6" s="139">
        <v>28</v>
      </c>
      <c r="E6" s="141">
        <v>35</v>
      </c>
      <c r="F6" s="75" t="str">
        <f t="shared" si="5"/>
        <v>49 - 56</v>
      </c>
      <c r="G6" s="76">
        <f t="shared" si="7"/>
        <v>49</v>
      </c>
      <c r="H6" s="77">
        <f t="shared" si="0"/>
        <v>56</v>
      </c>
      <c r="I6" s="116">
        <f t="shared" si="1"/>
        <v>18</v>
      </c>
      <c r="J6" s="78">
        <f t="shared" si="8"/>
        <v>4</v>
      </c>
      <c r="K6" s="79">
        <f t="shared" si="2"/>
        <v>0.14285714285714285</v>
      </c>
      <c r="L6" s="80">
        <f t="shared" si="3"/>
        <v>0.6428571428571429</v>
      </c>
      <c r="N6" s="91" t="s">
        <v>5</v>
      </c>
      <c r="O6" s="319">
        <f>O4-O5</f>
        <v>65</v>
      </c>
      <c r="P6" s="319">
        <f t="shared" ref="P6:R6" si="17">P4-P5</f>
        <v>65</v>
      </c>
      <c r="Q6" s="319">
        <f t="shared" si="17"/>
        <v>65</v>
      </c>
      <c r="R6" s="319">
        <f t="shared" si="17"/>
        <v>65</v>
      </c>
      <c r="V6" s="57" t="s">
        <v>82</v>
      </c>
      <c r="Y6" s="57">
        <f>ROUNDUP(O4/Y3,0)</f>
        <v>13</v>
      </c>
      <c r="AN6" s="60">
        <v>4</v>
      </c>
      <c r="AO6" s="60">
        <f t="shared" ca="1" si="10"/>
        <v>19.045760796360565</v>
      </c>
      <c r="AP6" s="60">
        <f ca="1">SMALL($AO$3:$AO$30,ROWS(AO$3:AO6))</f>
        <v>18.686086537792789</v>
      </c>
      <c r="AQ6" s="81">
        <f t="shared" ca="1" si="11"/>
        <v>1.6960686310935964</v>
      </c>
      <c r="AR6" s="81">
        <v>1</v>
      </c>
      <c r="AS6" s="49">
        <f t="shared" ca="1" si="12"/>
        <v>32</v>
      </c>
      <c r="AT6" s="49">
        <f t="shared" ca="1" si="13"/>
        <v>2.4364670273820943E-2</v>
      </c>
      <c r="AU6" s="49">
        <f ca="1">INDEX($AS$3:$AS$30,MATCH(SMALL($AT$3:$AT$30,ROWS(AT$3:AT6)),$AT$3:$AT$30,0))</f>
        <v>28</v>
      </c>
      <c r="AV6" s="49">
        <f ca="1">SMALL($AS$3:$AS$30,ROWS(AV$3:AV6))</f>
        <v>28</v>
      </c>
      <c r="AW6" s="57">
        <f ca="1">VLOOKUP(SMALL($BB$3:$BB$16,AX6),$BB$3:$BC$30,2,0)</f>
        <v>38</v>
      </c>
      <c r="AX6" s="57">
        <v>2</v>
      </c>
      <c r="BA6" s="57">
        <v>4</v>
      </c>
      <c r="BB6" s="57">
        <f t="shared" ca="1" si="14"/>
        <v>0.43243114959529527</v>
      </c>
      <c r="BC6" s="57">
        <f t="shared" ca="1" si="15"/>
        <v>28</v>
      </c>
    </row>
    <row r="7" spans="1:55" ht="17.25" thickBot="1" x14ac:dyDescent="0.35">
      <c r="A7" s="5">
        <v>5</v>
      </c>
      <c r="B7" s="72">
        <v>67</v>
      </c>
      <c r="C7" s="73">
        <v>35</v>
      </c>
      <c r="D7" s="139">
        <v>25</v>
      </c>
      <c r="E7" s="141">
        <v>28</v>
      </c>
      <c r="F7" s="75" t="str">
        <f t="shared" si="5"/>
        <v>56 - 63</v>
      </c>
      <c r="G7" s="76">
        <f t="shared" si="7"/>
        <v>56</v>
      </c>
      <c r="H7" s="77">
        <f t="shared" si="0"/>
        <v>63</v>
      </c>
      <c r="I7" s="116">
        <f t="shared" si="1"/>
        <v>21</v>
      </c>
      <c r="J7" s="78">
        <f t="shared" si="8"/>
        <v>3</v>
      </c>
      <c r="K7" s="79">
        <f t="shared" si="2"/>
        <v>0.10714285714285714</v>
      </c>
      <c r="L7" s="80">
        <f t="shared" si="3"/>
        <v>0.75</v>
      </c>
      <c r="N7" s="91" t="s">
        <v>15</v>
      </c>
      <c r="O7" s="319">
        <f>_xlfn.STDEV.S(B$3:B$30)</f>
        <v>16.398598146305705</v>
      </c>
      <c r="P7" s="319">
        <f t="shared" ref="P7:R7" si="18">_xlfn.STDEV.S(C$3:C$30)</f>
        <v>16.398598146305705</v>
      </c>
      <c r="Q7" s="319">
        <f t="shared" si="18"/>
        <v>16.398598146305705</v>
      </c>
      <c r="R7" s="319">
        <f t="shared" si="18"/>
        <v>16.398598146305705</v>
      </c>
      <c r="V7" s="65" t="s">
        <v>86</v>
      </c>
      <c r="W7" s="65"/>
      <c r="X7" s="65"/>
      <c r="Y7" s="57">
        <f>Y6*Y3</f>
        <v>91</v>
      </c>
      <c r="AN7" s="60">
        <v>5</v>
      </c>
      <c r="AO7" s="60">
        <f t="shared" ca="1" si="10"/>
        <v>26.797647074389275</v>
      </c>
      <c r="AP7" s="60">
        <f ca="1">SMALL($AO$3:$AO$30,ROWS(AO$3:AO7))</f>
        <v>18.709776261125288</v>
      </c>
      <c r="AQ7" s="81">
        <f t="shared" ca="1" si="11"/>
        <v>1.3863878788853174</v>
      </c>
      <c r="AR7" s="81">
        <f>AR3</f>
        <v>1</v>
      </c>
      <c r="AS7" s="49">
        <f t="shared" ca="1" si="12"/>
        <v>26</v>
      </c>
      <c r="AT7" s="49">
        <f t="shared" ca="1" si="13"/>
        <v>0.92454383844698607</v>
      </c>
      <c r="AU7" s="49">
        <f ca="1">INDEX($AS$3:$AS$30,MATCH(SMALL($AT$3:$AT$30,ROWS(AT$3:AT7)),$AT$3:$AT$30,0))</f>
        <v>51</v>
      </c>
      <c r="AV7" s="49">
        <f ca="1">SMALL($AS$3:$AS$30,ROWS(AV$3:AV7))</f>
        <v>30</v>
      </c>
      <c r="AW7" s="57">
        <f ca="1">VLOOKUP(SMALL($BB$3:$BB$16,AX7),$BB$3:$BC$30,2,0)</f>
        <v>37</v>
      </c>
      <c r="AX7" s="57">
        <f>2+AX3</f>
        <v>3</v>
      </c>
      <c r="BA7" s="57">
        <v>5</v>
      </c>
      <c r="BB7" s="57">
        <f t="shared" ca="1" si="14"/>
        <v>0.66704895319854696</v>
      </c>
      <c r="BC7" s="57">
        <f t="shared" ca="1" si="15"/>
        <v>30</v>
      </c>
    </row>
    <row r="8" spans="1:55" ht="17.25" thickBot="1" x14ac:dyDescent="0.35">
      <c r="A8" s="5">
        <v>6</v>
      </c>
      <c r="B8" s="72">
        <v>35</v>
      </c>
      <c r="C8" s="73">
        <v>39</v>
      </c>
      <c r="D8" s="139">
        <v>53</v>
      </c>
      <c r="E8" s="141">
        <v>61</v>
      </c>
      <c r="F8" s="75" t="str">
        <f t="shared" si="5"/>
        <v>63 - 70</v>
      </c>
      <c r="G8" s="76">
        <f t="shared" si="7"/>
        <v>63</v>
      </c>
      <c r="H8" s="77">
        <f t="shared" si="0"/>
        <v>70</v>
      </c>
      <c r="I8" s="116">
        <f t="shared" si="1"/>
        <v>24</v>
      </c>
      <c r="J8" s="78">
        <f t="shared" si="8"/>
        <v>3</v>
      </c>
      <c r="K8" s="79">
        <f t="shared" si="2"/>
        <v>0.10714285714285714</v>
      </c>
      <c r="L8" s="80">
        <f t="shared" si="3"/>
        <v>0.8571428571428571</v>
      </c>
      <c r="N8" s="91" t="s">
        <v>16</v>
      </c>
      <c r="O8" s="319">
        <f>O7/O2</f>
        <v>0.3190832161894091</v>
      </c>
      <c r="P8" s="319">
        <f t="shared" ref="P8:R8" si="19">P7/P2</f>
        <v>0.3190832161894091</v>
      </c>
      <c r="Q8" s="319">
        <f t="shared" si="19"/>
        <v>0.3190832161894091</v>
      </c>
      <c r="R8" s="319">
        <f t="shared" si="19"/>
        <v>0.3190832161894091</v>
      </c>
      <c r="V8" s="57" t="s">
        <v>87</v>
      </c>
      <c r="Y8" s="57">
        <v>4</v>
      </c>
      <c r="AN8" s="60">
        <v>6</v>
      </c>
      <c r="AO8" s="60">
        <f t="shared" ca="1" si="10"/>
        <v>16.298027666978996</v>
      </c>
      <c r="AP8" s="60">
        <f ca="1">SMALL($AO$3:$AO$30,ROWS(AO$3:AO8))</f>
        <v>19.045760796360565</v>
      </c>
      <c r="AQ8" s="81">
        <f t="shared" ca="1" si="11"/>
        <v>2.0387869886498682</v>
      </c>
      <c r="AR8" s="81">
        <f t="shared" ref="AR8:AR30" si="20">AR4</f>
        <v>1.5</v>
      </c>
      <c r="AS8" s="49">
        <f t="shared" ca="1" si="12"/>
        <v>39</v>
      </c>
      <c r="AT8" s="49">
        <f t="shared" ca="1" si="13"/>
        <v>0.98908753575353436</v>
      </c>
      <c r="AU8" s="49">
        <f ca="1">INDEX($AS$3:$AS$30,MATCH(SMALL($AT$3:$AT$30,ROWS(AT$3:AT8)),$AT$3:$AT$30,0))</f>
        <v>63</v>
      </c>
      <c r="AV8" s="49">
        <f ca="1">SMALL($AS$3:$AS$30,ROWS(AV$3:AV8))</f>
        <v>32</v>
      </c>
      <c r="AW8" s="57">
        <f ca="1">VLOOKUP(SMALL($BB$17:$BB$30,AX8),$BB$17:$BC$30,2,0)</f>
        <v>51</v>
      </c>
      <c r="AX8" s="57">
        <f>2+AX4</f>
        <v>3</v>
      </c>
      <c r="BA8" s="57">
        <v>6</v>
      </c>
      <c r="BB8" s="57">
        <f t="shared" ca="1" si="14"/>
        <v>0.743101763872835</v>
      </c>
      <c r="BC8" s="57">
        <f t="shared" ca="1" si="15"/>
        <v>32</v>
      </c>
    </row>
    <row r="9" spans="1:55" ht="17.25" thickBot="1" x14ac:dyDescent="0.35">
      <c r="A9" s="5">
        <v>7</v>
      </c>
      <c r="B9" s="72">
        <v>42</v>
      </c>
      <c r="C9" s="73">
        <v>39</v>
      </c>
      <c r="D9" s="139">
        <v>50</v>
      </c>
      <c r="E9" s="141">
        <v>51</v>
      </c>
      <c r="F9" s="75" t="str">
        <f t="shared" si="5"/>
        <v>70 - 77</v>
      </c>
      <c r="G9" s="76">
        <f t="shared" si="7"/>
        <v>70</v>
      </c>
      <c r="H9" s="77">
        <f t="shared" si="0"/>
        <v>77</v>
      </c>
      <c r="I9" s="116">
        <f t="shared" si="1"/>
        <v>26</v>
      </c>
      <c r="J9" s="78">
        <f t="shared" si="8"/>
        <v>2</v>
      </c>
      <c r="K9" s="79">
        <f t="shared" si="2"/>
        <v>7.1428571428571425E-2</v>
      </c>
      <c r="L9" s="80">
        <f t="shared" si="3"/>
        <v>0.9285714285714286</v>
      </c>
      <c r="N9" s="110" t="s">
        <v>81</v>
      </c>
      <c r="O9" s="318">
        <f>O2/O3</f>
        <v>1.0488338192419826</v>
      </c>
      <c r="P9" s="318">
        <f t="shared" ref="P9:R9" si="21">P2/P3</f>
        <v>1.0488338192419826</v>
      </c>
      <c r="Q9" s="318">
        <f t="shared" si="21"/>
        <v>1.0488338192419826</v>
      </c>
      <c r="R9" s="318">
        <f t="shared" si="21"/>
        <v>1.0488338192419826</v>
      </c>
      <c r="AN9" s="60">
        <v>8</v>
      </c>
      <c r="AO9" s="60">
        <f t="shared" ca="1" si="10"/>
        <v>20.47996664004366</v>
      </c>
      <c r="AP9" s="60">
        <f ca="1">SMALL($AO$3:$AO$30,ROWS(AO$3:AO9))</f>
        <v>19.144042530716341</v>
      </c>
      <c r="AQ9" s="81">
        <f t="shared" ca="1" si="11"/>
        <v>2.6141599200424679</v>
      </c>
      <c r="AR9" s="81">
        <f t="shared" si="20"/>
        <v>2</v>
      </c>
      <c r="AS9" s="49">
        <f t="shared" ca="1" si="12"/>
        <v>51</v>
      </c>
      <c r="AT9" s="49">
        <f t="shared" ca="1" si="13"/>
        <v>0.83270077985706281</v>
      </c>
      <c r="AU9" s="49">
        <f ca="1">INDEX($AS$3:$AS$30,MATCH(SMALL($AT$3:$AT$30,ROWS(AT$3:AT9)),$AT$3:$AT$30,0))</f>
        <v>36</v>
      </c>
      <c r="AV9" s="49">
        <f ca="1">SMALL($AS$3:$AS$30,ROWS(AV$3:AV9))</f>
        <v>34</v>
      </c>
      <c r="AW9" s="57">
        <f ca="1">VLOOKUP(SMALL($BB$17:$BB$30,AX9),$BB$17:$BC$30,2,0)</f>
        <v>42</v>
      </c>
      <c r="AX9" s="57">
        <f>2+AX5</f>
        <v>4</v>
      </c>
      <c r="BA9" s="57">
        <v>7</v>
      </c>
      <c r="BB9" s="57">
        <f t="shared" ca="1" si="14"/>
        <v>0.20897730757040067</v>
      </c>
      <c r="BC9" s="57">
        <f t="shared" ca="1" si="15"/>
        <v>34</v>
      </c>
    </row>
    <row r="10" spans="1:55" ht="17.25" thickBot="1" x14ac:dyDescent="0.35">
      <c r="A10" s="5">
        <v>8</v>
      </c>
      <c r="B10" s="72">
        <v>44</v>
      </c>
      <c r="C10" s="73">
        <v>40</v>
      </c>
      <c r="D10" s="139">
        <v>42</v>
      </c>
      <c r="E10" s="141">
        <v>46</v>
      </c>
      <c r="F10" s="75" t="str">
        <f t="shared" si="5"/>
        <v>77 - 84</v>
      </c>
      <c r="G10" s="76">
        <f t="shared" si="7"/>
        <v>77</v>
      </c>
      <c r="H10" s="77">
        <f t="shared" si="0"/>
        <v>84</v>
      </c>
      <c r="I10" s="116">
        <f t="shared" si="1"/>
        <v>27</v>
      </c>
      <c r="J10" s="78">
        <f t="shared" si="8"/>
        <v>1</v>
      </c>
      <c r="K10" s="79">
        <f t="shared" si="2"/>
        <v>3.5714285714285712E-2</v>
      </c>
      <c r="L10" s="80">
        <f t="shared" si="3"/>
        <v>0.9642857142857143</v>
      </c>
      <c r="N10" s="92" t="s">
        <v>72</v>
      </c>
      <c r="O10" s="320">
        <f>O6/O2</f>
        <v>1.2647671994440584</v>
      </c>
      <c r="P10" s="320">
        <f t="shared" ref="P10:R10" si="22">P6/P2</f>
        <v>1.2647671994440584</v>
      </c>
      <c r="Q10" s="320">
        <f t="shared" si="22"/>
        <v>1.2647671994440584</v>
      </c>
      <c r="R10" s="320">
        <f t="shared" si="22"/>
        <v>1.2647671994440584</v>
      </c>
      <c r="AN10" s="60">
        <v>7</v>
      </c>
      <c r="AO10" s="60">
        <f t="shared" ca="1" si="10"/>
        <v>23.504994941742023</v>
      </c>
      <c r="AP10" s="60">
        <f ca="1">SMALL($AO$3:$AO$30,ROWS(AO$3:AO10))</f>
        <v>19.47241072338873</v>
      </c>
      <c r="AQ10" s="81">
        <f t="shared" ca="1" si="11"/>
        <v>1.851083313823696</v>
      </c>
      <c r="AR10" s="81">
        <f t="shared" si="20"/>
        <v>1</v>
      </c>
      <c r="AS10" s="49">
        <f t="shared" ca="1" si="12"/>
        <v>37</v>
      </c>
      <c r="AT10" s="49">
        <f t="shared" ca="1" si="13"/>
        <v>0.6655997898493724</v>
      </c>
      <c r="AU10" s="49">
        <f ca="1">INDEX($AS$3:$AS$30,MATCH(SMALL($AT$3:$AT$30,ROWS(AT$3:AT10)),$AT$3:$AT$30,0))</f>
        <v>49</v>
      </c>
      <c r="AV10" s="49">
        <f ca="1">SMALL($AS$3:$AS$30,ROWS(AV$3:AV10))</f>
        <v>36</v>
      </c>
      <c r="AW10" s="57">
        <f ca="1">VLOOKUP(SMALL($BB$3:$BB$16,AX10),$BB$3:$BC$30,2,0)</f>
        <v>34</v>
      </c>
      <c r="AX10" s="57">
        <f>2+AX6</f>
        <v>4</v>
      </c>
      <c r="BA10" s="57">
        <v>8</v>
      </c>
      <c r="BB10" s="57">
        <f t="shared" ca="1" si="14"/>
        <v>0.91287839701278473</v>
      </c>
      <c r="BC10" s="57">
        <f t="shared" ca="1" si="15"/>
        <v>36</v>
      </c>
    </row>
    <row r="11" spans="1:55" ht="17.25" thickBot="1" x14ac:dyDescent="0.35">
      <c r="A11" s="5">
        <v>9</v>
      </c>
      <c r="B11" s="72">
        <v>51</v>
      </c>
      <c r="C11" s="73">
        <v>41</v>
      </c>
      <c r="D11" s="139">
        <v>40</v>
      </c>
      <c r="E11" s="141">
        <v>48</v>
      </c>
      <c r="F11" s="75" t="str">
        <f t="shared" si="5"/>
        <v>84 - 91</v>
      </c>
      <c r="G11" s="76">
        <f t="shared" si="7"/>
        <v>84</v>
      </c>
      <c r="H11" s="77">
        <f t="shared" si="0"/>
        <v>91</v>
      </c>
      <c r="I11" s="116">
        <f t="shared" si="1"/>
        <v>28</v>
      </c>
      <c r="J11" s="78">
        <f t="shared" si="8"/>
        <v>1</v>
      </c>
      <c r="K11" s="79">
        <f t="shared" si="2"/>
        <v>3.5714285714285712E-2</v>
      </c>
      <c r="L11" s="80">
        <f t="shared" si="3"/>
        <v>1</v>
      </c>
      <c r="AN11" s="60">
        <v>12</v>
      </c>
      <c r="AO11" s="60">
        <f t="shared" ca="1" si="10"/>
        <v>31.460917798266514</v>
      </c>
      <c r="AP11" s="60">
        <f ca="1">SMALL($AO$3:$AO$30,ROWS(AO$3:AO11))</f>
        <v>20.47996664004366</v>
      </c>
      <c r="AQ11" s="81">
        <f t="shared" ca="1" si="11"/>
        <v>1.4539484922231281</v>
      </c>
      <c r="AR11" s="81">
        <f t="shared" si="20"/>
        <v>1</v>
      </c>
      <c r="AS11" s="49">
        <f t="shared" ca="1" si="12"/>
        <v>30</v>
      </c>
      <c r="AT11" s="49">
        <f t="shared" ca="1" si="13"/>
        <v>0.48974742853740927</v>
      </c>
      <c r="AU11" s="49">
        <f ca="1">INDEX($AS$3:$AS$30,MATCH(SMALL($AT$3:$AT$30,ROWS(AT$3:AT11)),$AT$3:$AT$30,0))</f>
        <v>40</v>
      </c>
      <c r="AV11" s="49">
        <f ca="1">SMALL($AS$3:$AS$30,ROWS(AV$3:AV11))</f>
        <v>37</v>
      </c>
      <c r="AW11" s="57">
        <f ca="1">VLOOKUP(SMALL($BB$3:$BB$16,AX11),$BB$3:$BC$30,2,0)</f>
        <v>26</v>
      </c>
      <c r="AX11" s="57">
        <f t="shared" ref="AX11:AX30" si="23">2+AX7</f>
        <v>5</v>
      </c>
      <c r="BA11" s="57">
        <v>9</v>
      </c>
      <c r="BB11" s="57">
        <f t="shared" ca="1" si="14"/>
        <v>0.16246023532019305</v>
      </c>
      <c r="BC11" s="57">
        <f t="shared" ca="1" si="15"/>
        <v>37</v>
      </c>
    </row>
    <row r="12" spans="1:55" ht="17.25" thickBot="1" x14ac:dyDescent="0.35">
      <c r="A12" s="5">
        <v>10</v>
      </c>
      <c r="B12" s="72">
        <v>39</v>
      </c>
      <c r="C12" s="73">
        <v>42</v>
      </c>
      <c r="D12" s="139">
        <v>46</v>
      </c>
      <c r="E12" s="141">
        <v>56</v>
      </c>
      <c r="F12" s="75" t="str">
        <f t="shared" si="5"/>
        <v>91 - 98</v>
      </c>
      <c r="G12" s="76">
        <f t="shared" si="7"/>
        <v>91</v>
      </c>
      <c r="H12" s="77">
        <f t="shared" si="0"/>
        <v>98</v>
      </c>
      <c r="I12" s="116">
        <f t="shared" si="1"/>
        <v>28</v>
      </c>
      <c r="J12" s="78">
        <f t="shared" si="8"/>
        <v>0</v>
      </c>
      <c r="K12" s="79">
        <f t="shared" si="2"/>
        <v>0</v>
      </c>
      <c r="L12" s="80">
        <f t="shared" si="3"/>
        <v>1</v>
      </c>
      <c r="AN12" s="60">
        <v>9</v>
      </c>
      <c r="AO12" s="60">
        <f t="shared" ca="1" si="10"/>
        <v>22.788531394351285</v>
      </c>
      <c r="AP12" s="60">
        <f ca="1">SMALL($AO$3:$AO$30,ROWS(AO$3:AO12))</f>
        <v>20.517466102486402</v>
      </c>
      <c r="AQ12" s="81">
        <f t="shared" ca="1" si="11"/>
        <v>1.6225489719162896</v>
      </c>
      <c r="AR12" s="81">
        <f t="shared" si="20"/>
        <v>1.5</v>
      </c>
      <c r="AS12" s="49">
        <f t="shared" ca="1" si="12"/>
        <v>34</v>
      </c>
      <c r="AT12" s="49">
        <f t="shared" ca="1" si="13"/>
        <v>0.80126989307961971</v>
      </c>
      <c r="AU12" s="49">
        <f ca="1">INDEX($AS$3:$AS$30,MATCH(SMALL($AT$3:$AT$30,ROWS(AT$3:AT12)),$AT$3:$AT$30,0))</f>
        <v>49</v>
      </c>
      <c r="AV12" s="49">
        <f ca="1">SMALL($AS$3:$AS$30,ROWS(AV$3:AV12))</f>
        <v>38</v>
      </c>
      <c r="AW12" s="57">
        <f ca="1">VLOOKUP(SMALL($BB$17:$BB$30,AX12),$BB$17:$BC$30,2,0)</f>
        <v>68</v>
      </c>
      <c r="AX12" s="57">
        <f t="shared" si="23"/>
        <v>5</v>
      </c>
      <c r="BA12" s="57">
        <v>10</v>
      </c>
      <c r="BB12" s="57">
        <f t="shared" ca="1" si="14"/>
        <v>9.3106647425606592E-2</v>
      </c>
      <c r="BC12" s="57">
        <f t="shared" ca="1" si="15"/>
        <v>38</v>
      </c>
    </row>
    <row r="13" spans="1:55" ht="17.25" thickBot="1" x14ac:dyDescent="0.35">
      <c r="A13" s="5">
        <v>11</v>
      </c>
      <c r="B13" s="72">
        <v>46</v>
      </c>
      <c r="C13" s="73">
        <v>44</v>
      </c>
      <c r="D13" s="139">
        <v>72</v>
      </c>
      <c r="E13" s="141">
        <v>72</v>
      </c>
      <c r="F13" s="75" t="str">
        <f t="shared" si="5"/>
        <v>98 - 105</v>
      </c>
      <c r="G13" s="76">
        <f t="shared" si="7"/>
        <v>98</v>
      </c>
      <c r="H13" s="77">
        <f t="shared" si="0"/>
        <v>105</v>
      </c>
      <c r="I13" s="116">
        <f t="shared" si="1"/>
        <v>28</v>
      </c>
      <c r="J13" s="78">
        <f t="shared" si="8"/>
        <v>0</v>
      </c>
      <c r="K13" s="79">
        <f t="shared" si="2"/>
        <v>0</v>
      </c>
      <c r="L13" s="80">
        <f t="shared" si="3"/>
        <v>1</v>
      </c>
      <c r="AN13" s="60">
        <v>10</v>
      </c>
      <c r="AO13" s="60">
        <f t="shared" ca="1" si="10"/>
        <v>20.517466102486402</v>
      </c>
      <c r="AP13" s="60">
        <f ca="1">SMALL($AO$3:$AO$30,ROWS(AO$3:AO13))</f>
        <v>21.093127006124721</v>
      </c>
      <c r="AQ13" s="81">
        <f t="shared" ca="1" si="11"/>
        <v>2.4147268801370654</v>
      </c>
      <c r="AR13" s="81">
        <f t="shared" si="20"/>
        <v>2</v>
      </c>
      <c r="AS13" s="49">
        <f t="shared" ca="1" si="12"/>
        <v>51</v>
      </c>
      <c r="AT13" s="49">
        <f t="shared" ca="1" si="13"/>
        <v>0.4353670205391218</v>
      </c>
      <c r="AU13" s="49">
        <f ca="1">INDEX($AS$3:$AS$30,MATCH(SMALL($AT$3:$AT$30,ROWS(AT$3:AT13)),$AT$3:$AT$30,0))</f>
        <v>51</v>
      </c>
      <c r="AV13" s="49">
        <f ca="1">SMALL($AS$3:$AS$30,ROWS(AV$3:AV13))</f>
        <v>39</v>
      </c>
      <c r="AW13" s="57">
        <f ca="1">VLOOKUP(SMALL($BB$17:$BB$30,AX13),$BB$17:$BC$30,2,0)</f>
        <v>51</v>
      </c>
      <c r="AX13" s="57">
        <f t="shared" si="23"/>
        <v>6</v>
      </c>
      <c r="BA13" s="57">
        <v>11</v>
      </c>
      <c r="BB13" s="57">
        <f t="shared" ca="1" si="14"/>
        <v>8.4274711782813427E-2</v>
      </c>
      <c r="BC13" s="57">
        <f t="shared" ca="1" si="15"/>
        <v>39</v>
      </c>
    </row>
    <row r="14" spans="1:55" ht="17.25" thickBot="1" x14ac:dyDescent="0.35">
      <c r="A14" s="5">
        <v>12</v>
      </c>
      <c r="B14" s="72">
        <v>41</v>
      </c>
      <c r="C14" s="73">
        <v>46</v>
      </c>
      <c r="D14" s="139">
        <v>31</v>
      </c>
      <c r="E14" s="141">
        <v>40</v>
      </c>
      <c r="F14" s="82" t="str">
        <f t="shared" si="5"/>
        <v>105 - 112</v>
      </c>
      <c r="G14" s="83">
        <f>H13</f>
        <v>105</v>
      </c>
      <c r="H14" s="84">
        <f t="shared" si="0"/>
        <v>112</v>
      </c>
      <c r="I14" s="117">
        <f t="shared" si="1"/>
        <v>28</v>
      </c>
      <c r="J14" s="85">
        <f t="shared" si="8"/>
        <v>0</v>
      </c>
      <c r="K14" s="86">
        <f t="shared" si="2"/>
        <v>0</v>
      </c>
      <c r="L14" s="87">
        <f t="shared" si="3"/>
        <v>1</v>
      </c>
      <c r="AN14" s="60">
        <v>11</v>
      </c>
      <c r="AO14" s="60">
        <f t="shared" ca="1" si="10"/>
        <v>18.709776261125288</v>
      </c>
      <c r="AP14" s="60">
        <f ca="1">SMALL($AO$3:$AO$30,ROWS(AO$3:AO14))</f>
        <v>22.040934939839268</v>
      </c>
      <c r="AQ14" s="81">
        <f t="shared" ca="1" si="11"/>
        <v>1.2461526541453629</v>
      </c>
      <c r="AR14" s="81">
        <f t="shared" si="20"/>
        <v>1</v>
      </c>
      <c r="AS14" s="49">
        <f t="shared" ca="1" si="12"/>
        <v>28</v>
      </c>
      <c r="AT14" s="49">
        <f t="shared" ca="1" si="13"/>
        <v>0.14593932394638698</v>
      </c>
      <c r="AU14" s="49">
        <f ca="1">INDEX($AS$3:$AS$30,MATCH(SMALL($AT$3:$AT$30,ROWS(AT$3:AT14)),$AT$3:$AT$30,0))</f>
        <v>53</v>
      </c>
      <c r="AV14" s="49">
        <f ca="1">SMALL($AS$3:$AS$30,ROWS(AV$3:AV14))</f>
        <v>40</v>
      </c>
      <c r="AW14" s="57">
        <f ca="1">VLOOKUP(SMALL($BB$3:$BB$16,AX14),$BB$3:$BC$30,2,0)</f>
        <v>40</v>
      </c>
      <c r="AX14" s="57">
        <f t="shared" si="23"/>
        <v>6</v>
      </c>
      <c r="BA14" s="57">
        <v>12</v>
      </c>
      <c r="BB14" s="57">
        <f t="shared" ca="1" si="14"/>
        <v>0.54942378308149498</v>
      </c>
      <c r="BC14" s="57">
        <f t="shared" ca="1" si="15"/>
        <v>40</v>
      </c>
    </row>
    <row r="15" spans="1:55" ht="16.5" x14ac:dyDescent="0.3">
      <c r="A15" s="5">
        <v>13</v>
      </c>
      <c r="B15" s="72">
        <v>69</v>
      </c>
      <c r="C15" s="73">
        <v>47</v>
      </c>
      <c r="D15" s="139">
        <v>44</v>
      </c>
      <c r="E15" s="141">
        <v>42</v>
      </c>
      <c r="F15" s="88"/>
      <c r="G15" s="78"/>
      <c r="H15" s="78"/>
      <c r="I15" s="78"/>
      <c r="J15" s="78">
        <f>SUM(J2:J14)</f>
        <v>28</v>
      </c>
      <c r="K15" s="79">
        <f>SUM(K2:K14)</f>
        <v>0.99999999999999978</v>
      </c>
      <c r="L15" s="79"/>
      <c r="AN15" s="60">
        <v>14</v>
      </c>
      <c r="AO15" s="60">
        <f t="shared" ca="1" si="10"/>
        <v>10.448402062562604</v>
      </c>
      <c r="AP15" s="60">
        <f ca="1">SMALL($AO$3:$AO$30,ROWS(AO$3:AO15))</f>
        <v>22.226088509153193</v>
      </c>
      <c r="AQ15" s="81">
        <f t="shared" ca="1" si="11"/>
        <v>1.5812381024939248</v>
      </c>
      <c r="AR15" s="81">
        <f t="shared" si="20"/>
        <v>1</v>
      </c>
      <c r="AS15" s="49">
        <f t="shared" ca="1" si="12"/>
        <v>36</v>
      </c>
      <c r="AT15" s="49">
        <f t="shared" ca="1" si="13"/>
        <v>0.26405907111367921</v>
      </c>
      <c r="AU15" s="49">
        <f ca="1">INDEX($AS$3:$AS$30,MATCH(SMALL($AT$3:$AT$30,ROWS(AT$3:AT15)),$AT$3:$AT$30,0))</f>
        <v>53</v>
      </c>
      <c r="AV15" s="49">
        <f ca="1">SMALL($AS$3:$AS$30,ROWS(AV$3:AV15))</f>
        <v>40</v>
      </c>
      <c r="AW15" s="57">
        <f ca="1">VLOOKUP(SMALL($BB$3:$BB$16,AX15),$BB$3:$BC$30,2,0)</f>
        <v>26</v>
      </c>
      <c r="AX15" s="57">
        <f t="shared" si="23"/>
        <v>7</v>
      </c>
      <c r="BA15" s="57">
        <v>13</v>
      </c>
      <c r="BB15" s="57">
        <f t="shared" ca="1" si="14"/>
        <v>0.3939419140771524</v>
      </c>
      <c r="BC15" s="57">
        <f t="shared" ca="1" si="15"/>
        <v>40</v>
      </c>
    </row>
    <row r="16" spans="1:55" ht="16.5" x14ac:dyDescent="0.3">
      <c r="A16" s="5">
        <v>14</v>
      </c>
      <c r="B16" s="72">
        <v>28</v>
      </c>
      <c r="C16" s="73">
        <v>48</v>
      </c>
      <c r="D16" s="139">
        <v>39</v>
      </c>
      <c r="E16" s="141">
        <v>72</v>
      </c>
      <c r="F16" s="108"/>
      <c r="G16" s="108"/>
      <c r="H16" s="108"/>
      <c r="I16" s="108"/>
      <c r="J16" s="65"/>
      <c r="K16" s="65"/>
      <c r="L16" s="108"/>
      <c r="M16" s="65"/>
      <c r="N16" s="65"/>
      <c r="Q16" s="65"/>
      <c r="R16" s="65"/>
      <c r="S16" s="65"/>
      <c r="T16" s="65"/>
      <c r="Y16" s="65"/>
      <c r="Z16" s="65"/>
      <c r="AN16" s="60">
        <v>16</v>
      </c>
      <c r="AO16" s="60">
        <f t="shared" ca="1" si="10"/>
        <v>18.377698748407532</v>
      </c>
      <c r="AP16" s="60">
        <f ca="1">SMALL($AO$3:$AO$30,ROWS(AO$3:AO16))</f>
        <v>22.788531394351285</v>
      </c>
      <c r="AQ16" s="81">
        <f t="shared" ca="1" si="11"/>
        <v>1.8407546242117911</v>
      </c>
      <c r="AR16" s="81">
        <f t="shared" si="20"/>
        <v>1.5</v>
      </c>
      <c r="AS16" s="49">
        <f t="shared" ca="1" si="12"/>
        <v>42</v>
      </c>
      <c r="AT16" s="49">
        <f t="shared" ca="1" si="13"/>
        <v>0.80048395827660157</v>
      </c>
      <c r="AU16" s="49">
        <f ca="1">INDEX($AS$3:$AS$30,MATCH(SMALL($AT$3:$AT$30,ROWS(AT$3:AT16)),$AT$3:$AT$30,0))</f>
        <v>30</v>
      </c>
      <c r="AV16" s="49">
        <f ca="1">SMALL($AS$3:$AS$30,ROWS(AV$3:AV16))</f>
        <v>40</v>
      </c>
      <c r="AW16" s="57">
        <f ca="1">VLOOKUP(SMALL($BB$17:$BB$30,AX16),$BB$17:$BC$30,2,0)</f>
        <v>49</v>
      </c>
      <c r="AX16" s="57">
        <f t="shared" si="23"/>
        <v>7</v>
      </c>
      <c r="BA16" s="57">
        <v>14</v>
      </c>
      <c r="BB16" s="57">
        <f t="shared" ca="1" si="14"/>
        <v>0.94519484814440169</v>
      </c>
      <c r="BC16" s="57">
        <f t="shared" ca="1" si="15"/>
        <v>40</v>
      </c>
    </row>
    <row r="17" spans="1:63" ht="16.5" x14ac:dyDescent="0.3">
      <c r="A17" s="5">
        <v>15</v>
      </c>
      <c r="B17" s="72">
        <v>82</v>
      </c>
      <c r="C17" s="73">
        <v>50</v>
      </c>
      <c r="D17" s="139">
        <v>72</v>
      </c>
      <c r="E17" s="141">
        <v>53</v>
      </c>
      <c r="F17" s="65"/>
      <c r="G17" s="65"/>
      <c r="H17" s="65"/>
      <c r="I17" s="65"/>
      <c r="J17" s="109"/>
      <c r="K17" s="109"/>
      <c r="L17" s="65"/>
      <c r="M17" s="65"/>
      <c r="N17" s="65"/>
      <c r="Q17" s="65"/>
      <c r="R17" s="65"/>
      <c r="S17" s="65"/>
      <c r="T17" s="65"/>
      <c r="Y17" s="65"/>
      <c r="Z17" s="65"/>
      <c r="AN17" s="60">
        <v>18</v>
      </c>
      <c r="AO17" s="60">
        <f t="shared" ca="1" si="10"/>
        <v>23.530377211236114</v>
      </c>
      <c r="AP17" s="60">
        <f ca="1">SMALL($AO$3:$AO$30,ROWS(AO$3:AO17))</f>
        <v>23.504994941742023</v>
      </c>
      <c r="AQ17" s="81">
        <f t="shared" ca="1" si="11"/>
        <v>2.6397006918051975</v>
      </c>
      <c r="AR17" s="81">
        <f t="shared" si="20"/>
        <v>2</v>
      </c>
      <c r="AS17" s="49">
        <f t="shared" ca="1" si="12"/>
        <v>63</v>
      </c>
      <c r="AT17" s="49">
        <f t="shared" ca="1" si="13"/>
        <v>0.23988110012558095</v>
      </c>
      <c r="AU17" s="49">
        <f ca="1">INDEX($AS$3:$AS$30,MATCH(SMALL($AT$3:$AT$30,ROWS(AT$3:AT17)),$AT$3:$AT$30,0))</f>
        <v>40</v>
      </c>
      <c r="AV17" s="49">
        <f ca="1">SMALL($AS$3:$AS$30,ROWS(AV$3:AV17))</f>
        <v>41</v>
      </c>
      <c r="AW17" s="57">
        <f ca="1">VLOOKUP(SMALL($BB$17:$BB$30,AX17),$BB$17:$BC$30,2,0)</f>
        <v>82</v>
      </c>
      <c r="AX17" s="57">
        <f t="shared" si="23"/>
        <v>8</v>
      </c>
      <c r="BA17" s="57">
        <v>15</v>
      </c>
      <c r="BB17" s="57">
        <f t="shared" ca="1" si="14"/>
        <v>0.95243209877870605</v>
      </c>
      <c r="BC17" s="57">
        <f t="shared" ca="1" si="15"/>
        <v>41</v>
      </c>
    </row>
    <row r="18" spans="1:63" ht="16.5" x14ac:dyDescent="0.3">
      <c r="A18" s="5">
        <v>16</v>
      </c>
      <c r="B18" s="72">
        <v>65</v>
      </c>
      <c r="C18" s="73">
        <v>51</v>
      </c>
      <c r="D18" s="139">
        <v>51</v>
      </c>
      <c r="E18" s="141">
        <v>41</v>
      </c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N18" s="60">
        <v>13</v>
      </c>
      <c r="AO18" s="60">
        <f t="shared" ca="1" si="10"/>
        <v>27.114192801002972</v>
      </c>
      <c r="AP18" s="60">
        <f ca="1">SMALL($AO$3:$AO$30,ROWS(AO$3:AO18))</f>
        <v>23.530377211236114</v>
      </c>
      <c r="AQ18" s="81">
        <f t="shared" ca="1" si="11"/>
        <v>1.7006904909107778</v>
      </c>
      <c r="AR18" s="81">
        <f t="shared" si="20"/>
        <v>1</v>
      </c>
      <c r="AS18" s="49">
        <f t="shared" ca="1" si="12"/>
        <v>41</v>
      </c>
      <c r="AT18" s="49">
        <f t="shared" ca="1" si="13"/>
        <v>0.79818542251320712</v>
      </c>
      <c r="AU18" s="49">
        <f ca="1">INDEX($AS$3:$AS$30,MATCH(SMALL($AT$3:$AT$30,ROWS(AT$3:AT18)),$AT$3:$AT$30,0))</f>
        <v>40</v>
      </c>
      <c r="AV18" s="49">
        <f ca="1">SMALL($AS$3:$AS$30,ROWS(AV$3:AV18))</f>
        <v>42</v>
      </c>
      <c r="AW18" s="57">
        <f ca="1">VLOOKUP(SMALL($BB$3:$BB$16,AX18),$BB$3:$BC$30,2,0)</f>
        <v>28</v>
      </c>
      <c r="AX18" s="57">
        <f t="shared" si="23"/>
        <v>8</v>
      </c>
      <c r="BA18" s="57">
        <v>16</v>
      </c>
      <c r="BB18" s="57">
        <f t="shared" ca="1" si="14"/>
        <v>0.36780802350073594</v>
      </c>
      <c r="BC18" s="57">
        <f t="shared" ca="1" si="15"/>
        <v>42</v>
      </c>
    </row>
    <row r="19" spans="1:63" ht="16.5" x14ac:dyDescent="0.3">
      <c r="A19" s="5">
        <v>17</v>
      </c>
      <c r="B19" s="72">
        <v>47</v>
      </c>
      <c r="C19" s="73">
        <v>51</v>
      </c>
      <c r="D19" s="139">
        <v>41</v>
      </c>
      <c r="E19" s="141">
        <v>25</v>
      </c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N19" s="60">
        <v>17</v>
      </c>
      <c r="AO19" s="60">
        <f t="shared" ca="1" si="10"/>
        <v>22.040934939839268</v>
      </c>
      <c r="AP19" s="60">
        <f ca="1">SMALL($AO$3:$AO$30,ROWS(AO$3:AO19))</f>
        <v>24.272320235770501</v>
      </c>
      <c r="AQ19" s="81">
        <f t="shared" ca="1" si="11"/>
        <v>1.5483506009357999</v>
      </c>
      <c r="AR19" s="81">
        <f t="shared" si="20"/>
        <v>1</v>
      </c>
      <c r="AS19" s="49">
        <f t="shared" ca="1" si="12"/>
        <v>38</v>
      </c>
      <c r="AT19" s="49">
        <f t="shared" ca="1" si="13"/>
        <v>1.5084323126312582E-2</v>
      </c>
      <c r="AU19" s="49">
        <f ca="1">INDEX($AS$3:$AS$30,MATCH(SMALL($AT$3:$AT$30,ROWS(AT$3:AT19)),$AT$3:$AT$30,0))</f>
        <v>37</v>
      </c>
      <c r="AV19" s="49">
        <f ca="1">SMALL($AS$3:$AS$30,ROWS(AV$3:AV19))</f>
        <v>45</v>
      </c>
      <c r="AW19" s="57">
        <f ca="1">VLOOKUP(SMALL($BB$3:$BB$16,AX19),$BB$3:$BC$30,2,0)</f>
        <v>40</v>
      </c>
      <c r="AX19" s="57">
        <f t="shared" si="23"/>
        <v>9</v>
      </c>
      <c r="BA19" s="57">
        <v>17</v>
      </c>
      <c r="BB19" s="57">
        <f t="shared" ca="1" si="14"/>
        <v>0.66737150061447015</v>
      </c>
      <c r="BC19" s="57">
        <f t="shared" ca="1" si="15"/>
        <v>45</v>
      </c>
    </row>
    <row r="20" spans="1:63" ht="16.5" x14ac:dyDescent="0.3">
      <c r="A20" s="5">
        <v>18</v>
      </c>
      <c r="B20" s="72">
        <v>53</v>
      </c>
      <c r="C20" s="73">
        <v>53</v>
      </c>
      <c r="D20" s="139">
        <v>65</v>
      </c>
      <c r="E20" s="141">
        <v>69</v>
      </c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N20" s="60">
        <v>15</v>
      </c>
      <c r="AO20" s="60">
        <f t="shared" ca="1" si="10"/>
        <v>30.586158740320229</v>
      </c>
      <c r="AP20" s="60">
        <f ca="1">SMALL($AO$3:$AO$30,ROWS(AO$3:AO20))</f>
        <v>24.774084505880147</v>
      </c>
      <c r="AQ20" s="81">
        <f t="shared" ca="1" si="11"/>
        <v>1.6095830536896869</v>
      </c>
      <c r="AR20" s="81">
        <f t="shared" si="20"/>
        <v>1.5</v>
      </c>
      <c r="AS20" s="49">
        <f t="shared" ca="1" si="12"/>
        <v>40</v>
      </c>
      <c r="AT20" s="49">
        <f t="shared" ca="1" si="13"/>
        <v>0.62679481952908234</v>
      </c>
      <c r="AU20" s="49">
        <f ca="1">INDEX($AS$3:$AS$30,MATCH(SMALL($AT$3:$AT$30,ROWS(AT$3:AT20)),$AT$3:$AT$30,0))</f>
        <v>41</v>
      </c>
      <c r="AV20" s="49">
        <f ca="1">SMALL($AS$3:$AS$30,ROWS(AV$3:AV20))</f>
        <v>49</v>
      </c>
      <c r="AW20" s="57">
        <f ca="1">VLOOKUP(SMALL($BB$17:$BB$30,AX20),$BB$17:$BC$30,2,0)</f>
        <v>45</v>
      </c>
      <c r="AX20" s="57">
        <f t="shared" si="23"/>
        <v>9</v>
      </c>
      <c r="BA20" s="57">
        <v>18</v>
      </c>
      <c r="BB20" s="57">
        <f t="shared" ca="1" si="14"/>
        <v>0.82294376347448239</v>
      </c>
      <c r="BC20" s="57">
        <f t="shared" ca="1" si="15"/>
        <v>49</v>
      </c>
    </row>
    <row r="21" spans="1:63" ht="16.5" x14ac:dyDescent="0.3">
      <c r="A21" s="5">
        <v>19</v>
      </c>
      <c r="B21" s="72">
        <v>90</v>
      </c>
      <c r="C21" s="73">
        <v>56</v>
      </c>
      <c r="D21" s="139">
        <v>67</v>
      </c>
      <c r="E21" s="141">
        <v>90</v>
      </c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N21" s="60">
        <v>19</v>
      </c>
      <c r="AO21" s="60">
        <f t="shared" ca="1" si="10"/>
        <v>21.093127006124721</v>
      </c>
      <c r="AP21" s="60">
        <f ca="1">SMALL($AO$3:$AO$30,ROWS(AO$3:AO21))</f>
        <v>24.789356683835106</v>
      </c>
      <c r="AQ21" s="81">
        <f t="shared" ca="1" si="11"/>
        <v>2.1090033405606916</v>
      </c>
      <c r="AR21" s="81">
        <f t="shared" si="20"/>
        <v>2</v>
      </c>
      <c r="AS21" s="49">
        <f t="shared" ca="1" si="12"/>
        <v>53</v>
      </c>
      <c r="AT21" s="49">
        <f t="shared" ca="1" si="13"/>
        <v>0.44023473289567694</v>
      </c>
      <c r="AU21" s="49">
        <f ca="1">INDEX($AS$3:$AS$30,MATCH(SMALL($AT$3:$AT$30,ROWS(AT$3:AT21)),$AT$3:$AT$30,0))</f>
        <v>42</v>
      </c>
      <c r="AV21" s="49">
        <f ca="1">SMALL($AS$3:$AS$30,ROWS(AV$3:AV21))</f>
        <v>49</v>
      </c>
      <c r="AW21" s="57">
        <f ca="1">VLOOKUP(SMALL($BB$17:$BB$30,AX21),$BB$17:$BC$30,2,0)</f>
        <v>63</v>
      </c>
      <c r="AX21" s="57">
        <f t="shared" si="23"/>
        <v>10</v>
      </c>
      <c r="BA21" s="57">
        <v>19</v>
      </c>
      <c r="BB21" s="57">
        <f t="shared" ca="1" si="14"/>
        <v>0.61680775924468789</v>
      </c>
      <c r="BC21" s="57">
        <f t="shared" ca="1" si="15"/>
        <v>49</v>
      </c>
    </row>
    <row r="22" spans="1:63" ht="16.5" x14ac:dyDescent="0.3">
      <c r="A22" s="5">
        <v>20</v>
      </c>
      <c r="B22" s="72">
        <v>56</v>
      </c>
      <c r="C22" s="73">
        <v>61</v>
      </c>
      <c r="D22" s="139">
        <v>51</v>
      </c>
      <c r="E22" s="141">
        <v>33</v>
      </c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N22" s="60">
        <v>20</v>
      </c>
      <c r="AO22" s="60">
        <f t="shared" ca="1" si="10"/>
        <v>27.449826808882705</v>
      </c>
      <c r="AP22" s="60">
        <f ca="1">SMALL($AO$3:$AO$30,ROWS(AO$3:AO22))</f>
        <v>25.459771759275657</v>
      </c>
      <c r="AQ22" s="81">
        <f t="shared" ca="1" si="11"/>
        <v>1.5482769862393013</v>
      </c>
      <c r="AR22" s="81">
        <f t="shared" si="20"/>
        <v>1</v>
      </c>
      <c r="AS22" s="49">
        <f t="shared" ca="1" si="12"/>
        <v>40</v>
      </c>
      <c r="AT22" s="49">
        <f t="shared" ca="1" si="13"/>
        <v>0.37522851431682747</v>
      </c>
      <c r="AU22" s="49">
        <f ca="1">INDEX($AS$3:$AS$30,MATCH(SMALL($AT$3:$AT$30,ROWS(AT$3:AT22)),$AT$3:$AT$30,0))</f>
        <v>34</v>
      </c>
      <c r="AV22" s="49">
        <f ca="1">SMALL($AS$3:$AS$30,ROWS(AV$3:AV22))</f>
        <v>51</v>
      </c>
      <c r="AW22" s="57">
        <f ca="1">VLOOKUP(SMALL($BB$3:$BB$16,AX22),$BB$3:$BC$30,2,0)</f>
        <v>30</v>
      </c>
      <c r="AX22" s="57">
        <f t="shared" si="23"/>
        <v>10</v>
      </c>
      <c r="BA22" s="57">
        <v>20</v>
      </c>
      <c r="BB22" s="57">
        <f t="shared" ca="1" si="14"/>
        <v>0.2198644406075565</v>
      </c>
      <c r="BC22" s="57">
        <f t="shared" ca="1" si="15"/>
        <v>51</v>
      </c>
    </row>
    <row r="23" spans="1:63" ht="16.5" x14ac:dyDescent="0.3">
      <c r="A23" s="5">
        <v>21</v>
      </c>
      <c r="B23" s="72">
        <v>51</v>
      </c>
      <c r="C23" s="73">
        <v>62</v>
      </c>
      <c r="D23" s="139">
        <v>56</v>
      </c>
      <c r="E23" s="141">
        <v>31</v>
      </c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N23" s="60">
        <v>24</v>
      </c>
      <c r="AO23" s="60">
        <f t="shared" ca="1" si="10"/>
        <v>22.226088509153193</v>
      </c>
      <c r="AP23" s="60">
        <f ca="1">SMALL($AO$3:$AO$30,ROWS(AO$3:AO23))</f>
        <v>26.797647074389275</v>
      </c>
      <c r="AQ23" s="81">
        <f t="shared" ca="1" si="11"/>
        <v>1.8260763026153457</v>
      </c>
      <c r="AR23" s="81">
        <f t="shared" si="20"/>
        <v>1</v>
      </c>
      <c r="AS23" s="49">
        <f t="shared" ca="1" si="12"/>
        <v>49</v>
      </c>
      <c r="AT23" s="49">
        <f t="shared" ca="1" si="13"/>
        <v>0.27760720595163524</v>
      </c>
      <c r="AU23" s="49">
        <f ca="1">INDEX($AS$3:$AS$30,MATCH(SMALL($AT$3:$AT$30,ROWS(AT$3:AT23)),$AT$3:$AT$30,0))</f>
        <v>68</v>
      </c>
      <c r="AV23" s="49">
        <f ca="1">SMALL($AS$3:$AS$30,ROWS(AV$3:AV23))</f>
        <v>51</v>
      </c>
      <c r="AW23" s="57">
        <f ca="1">VLOOKUP(SMALL($BB$3:$BB$16,AX23),$BB$3:$BC$30,2,0)</f>
        <v>32</v>
      </c>
      <c r="AX23" s="57">
        <f t="shared" si="23"/>
        <v>11</v>
      </c>
      <c r="BA23" s="57">
        <v>21</v>
      </c>
      <c r="BB23" s="57">
        <f t="shared" ca="1" si="14"/>
        <v>3.4095996059713141E-4</v>
      </c>
      <c r="BC23" s="57">
        <f t="shared" ca="1" si="15"/>
        <v>51</v>
      </c>
    </row>
    <row r="24" spans="1:63" ht="16.5" x14ac:dyDescent="0.3">
      <c r="A24" s="5">
        <v>22</v>
      </c>
      <c r="B24" s="72">
        <v>40</v>
      </c>
      <c r="C24" s="73">
        <v>65</v>
      </c>
      <c r="D24" s="139">
        <v>69</v>
      </c>
      <c r="E24" s="141">
        <v>82</v>
      </c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N24" s="60">
        <v>22</v>
      </c>
      <c r="AO24" s="60">
        <f t="shared" ca="1" si="10"/>
        <v>30.621768375711888</v>
      </c>
      <c r="AP24" s="60">
        <f ca="1">SMALL($AO$3:$AO$30,ROWS(AO$3:AO24))</f>
        <v>27.114192801002972</v>
      </c>
      <c r="AQ24" s="81">
        <f t="shared" ca="1" si="11"/>
        <v>1.8642935925863688</v>
      </c>
      <c r="AR24" s="81">
        <f t="shared" si="20"/>
        <v>1.5</v>
      </c>
      <c r="AS24" s="49">
        <f t="shared" ca="1" si="12"/>
        <v>51</v>
      </c>
      <c r="AT24" s="49">
        <f t="shared" ca="1" si="13"/>
        <v>0.16225079419964561</v>
      </c>
      <c r="AU24" s="49">
        <f ca="1">INDEX($AS$3:$AS$30,MATCH(SMALL($AT$3:$AT$30,ROWS(AT$3:AT24)),$AT$3:$AT$30,0))</f>
        <v>82</v>
      </c>
      <c r="AV24" s="49">
        <f ca="1">SMALL($AS$3:$AS$30,ROWS(AV$3:AV24))</f>
        <v>51</v>
      </c>
      <c r="AW24" s="57">
        <f ca="1">VLOOKUP(SMALL($BB$17:$BB$30,AX24),$BB$17:$BC$30,2,0)</f>
        <v>49</v>
      </c>
      <c r="AX24" s="57">
        <f t="shared" si="23"/>
        <v>11</v>
      </c>
      <c r="BA24" s="57">
        <v>22</v>
      </c>
      <c r="BB24" s="57">
        <f t="shared" ca="1" si="14"/>
        <v>0.13779413649231853</v>
      </c>
      <c r="BC24" s="57">
        <f t="shared" ca="1" si="15"/>
        <v>51</v>
      </c>
    </row>
    <row r="25" spans="1:63" ht="16.5" x14ac:dyDescent="0.3">
      <c r="A25" s="5">
        <v>23</v>
      </c>
      <c r="B25" s="72">
        <v>61</v>
      </c>
      <c r="C25" s="73">
        <v>67</v>
      </c>
      <c r="D25" s="139">
        <v>82</v>
      </c>
      <c r="E25" s="141">
        <v>62</v>
      </c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N25" s="60">
        <v>23</v>
      </c>
      <c r="AO25" s="60">
        <f t="shared" ca="1" si="10"/>
        <v>19.47241072338873</v>
      </c>
      <c r="AP25" s="60">
        <f ca="1">SMALL($AO$3:$AO$30,ROWS(AO$3:AO25))</f>
        <v>27.449826808882705</v>
      </c>
      <c r="AQ25" s="81">
        <f t="shared" ca="1" si="11"/>
        <v>2.4432639131526876</v>
      </c>
      <c r="AR25" s="81">
        <f t="shared" si="20"/>
        <v>2</v>
      </c>
      <c r="AS25" s="49">
        <f t="shared" ca="1" si="12"/>
        <v>68</v>
      </c>
      <c r="AT25" s="49">
        <f t="shared" ca="1" si="13"/>
        <v>0.81936227114098015</v>
      </c>
      <c r="AU25" s="49">
        <f ca="1">INDEX($AS$3:$AS$30,MATCH(SMALL($AT$3:$AT$30,ROWS(AT$3:AT25)),$AT$3:$AT$30,0))</f>
        <v>51</v>
      </c>
      <c r="AV25" s="49">
        <f ca="1">SMALL($AS$3:$AS$30,ROWS(AV$3:AV25))</f>
        <v>51</v>
      </c>
      <c r="AW25" s="57">
        <f ca="1">VLOOKUP(SMALL($BB$17:$BB$30,AX25),$BB$17:$BC$30,2,0)</f>
        <v>53</v>
      </c>
      <c r="AX25" s="57">
        <f t="shared" si="23"/>
        <v>12</v>
      </c>
      <c r="BA25" s="57">
        <v>23</v>
      </c>
      <c r="BB25" s="57">
        <f t="shared" ca="1" si="14"/>
        <v>0.44958046895785153</v>
      </c>
      <c r="BC25" s="57">
        <f t="shared" ca="1" si="15"/>
        <v>51</v>
      </c>
    </row>
    <row r="26" spans="1:63" ht="16.5" x14ac:dyDescent="0.3">
      <c r="A26" s="5">
        <v>24</v>
      </c>
      <c r="B26" s="72">
        <v>72</v>
      </c>
      <c r="C26" s="73">
        <v>69</v>
      </c>
      <c r="D26" s="139">
        <v>39</v>
      </c>
      <c r="E26" s="141">
        <v>47</v>
      </c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N26" s="60">
        <v>25</v>
      </c>
      <c r="AO26" s="60">
        <f t="shared" ca="1" si="10"/>
        <v>24.789356683835106</v>
      </c>
      <c r="AP26" s="60">
        <f ca="1">SMALL($AO$3:$AO$30,ROWS(AO$3:AO26))</f>
        <v>29.53422824749758</v>
      </c>
      <c r="AQ26" s="81">
        <f t="shared" ca="1" si="11"/>
        <v>1.5118451633154373</v>
      </c>
      <c r="AR26" s="81">
        <f t="shared" si="20"/>
        <v>1</v>
      </c>
      <c r="AS26" s="49">
        <f t="shared" ca="1" si="12"/>
        <v>45</v>
      </c>
      <c r="AT26" s="49">
        <f t="shared" ca="1" si="13"/>
        <v>0.92245359044574526</v>
      </c>
      <c r="AU26" s="49">
        <f ca="1">INDEX($AS$3:$AS$30,MATCH(SMALL($AT$3:$AT$30,ROWS(AT$3:AT26)),$AT$3:$AT$30,0))</f>
        <v>51</v>
      </c>
      <c r="AV26" s="49">
        <f ca="1">SMALL($AS$3:$AS$30,ROWS(AV$3:AV26))</f>
        <v>53</v>
      </c>
      <c r="AW26" s="57">
        <f ca="1">VLOOKUP(SMALL($BB$3:$BB$16,AX26),$BB$3:$BC$30,2,0)</f>
        <v>12</v>
      </c>
      <c r="AX26" s="57">
        <f t="shared" si="23"/>
        <v>12</v>
      </c>
      <c r="BA26" s="57">
        <v>24</v>
      </c>
      <c r="BB26" s="57">
        <f t="shared" ca="1" si="14"/>
        <v>0.88360364159011395</v>
      </c>
      <c r="BC26" s="57">
        <f t="shared" ca="1" si="15"/>
        <v>53</v>
      </c>
    </row>
    <row r="27" spans="1:63" ht="16.5" x14ac:dyDescent="0.3">
      <c r="A27" s="5">
        <v>25</v>
      </c>
      <c r="B27" s="72">
        <v>39</v>
      </c>
      <c r="C27" s="73">
        <v>72</v>
      </c>
      <c r="D27" s="139">
        <v>47</v>
      </c>
      <c r="E27" s="141">
        <v>39</v>
      </c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60">
        <v>21</v>
      </c>
      <c r="AO27" s="60">
        <f t="shared" ca="1" si="10"/>
        <v>19.144042530716341</v>
      </c>
      <c r="AP27" s="60">
        <f ca="1">SMALL($AO$3:$AO$30,ROWS(AO$3:AO27))</f>
        <v>30.586158740320229</v>
      </c>
      <c r="AQ27" s="81">
        <f t="shared" ca="1" si="11"/>
        <v>1.3065619493939096</v>
      </c>
      <c r="AR27" s="81">
        <f t="shared" si="20"/>
        <v>1</v>
      </c>
      <c r="AS27" s="49">
        <f t="shared" ca="1" si="12"/>
        <v>40</v>
      </c>
      <c r="AT27" s="49">
        <f t="shared" ca="1" si="13"/>
        <v>0.50040238013747629</v>
      </c>
      <c r="AU27" s="49">
        <f ca="1">INDEX($AS$3:$AS$30,MATCH(SMALL($AT$3:$AT$30,ROWS(AT$3:AT27)),$AT$3:$AT$30,0))</f>
        <v>45</v>
      </c>
      <c r="AV27" s="49">
        <f ca="1">SMALL($AS$3:$AS$30,ROWS(AV$3:AV27))</f>
        <v>53</v>
      </c>
      <c r="AW27" s="57">
        <f ca="1">VLOOKUP(SMALL($BB$3:$BB$16,AX27),$BB$3:$BC$30,2,0)</f>
        <v>36</v>
      </c>
      <c r="AX27" s="57">
        <f t="shared" si="23"/>
        <v>13</v>
      </c>
      <c r="BA27" s="57">
        <v>25</v>
      </c>
      <c r="BB27" s="57">
        <f t="shared" ca="1" si="14"/>
        <v>0.96083706471972707</v>
      </c>
      <c r="BC27" s="57">
        <f t="shared" ca="1" si="15"/>
        <v>53</v>
      </c>
    </row>
    <row r="28" spans="1:63" ht="16.5" x14ac:dyDescent="0.3">
      <c r="A28" s="5">
        <v>26</v>
      </c>
      <c r="B28" s="72">
        <v>31</v>
      </c>
      <c r="C28" s="73">
        <v>72</v>
      </c>
      <c r="D28" s="139">
        <v>61</v>
      </c>
      <c r="E28" s="141">
        <v>51</v>
      </c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60">
        <v>27</v>
      </c>
      <c r="AO28" s="60">
        <f t="shared" ca="1" si="10"/>
        <v>29.53422824749758</v>
      </c>
      <c r="AP28" s="60">
        <f ca="1">SMALL($AO$3:$AO$30,ROWS(AO$3:AO28))</f>
        <v>30.621768375711888</v>
      </c>
      <c r="AQ28" s="81">
        <f t="shared" ca="1" si="11"/>
        <v>1.637644301728002</v>
      </c>
      <c r="AR28" s="81">
        <f t="shared" si="20"/>
        <v>1.5</v>
      </c>
      <c r="AS28" s="49">
        <f t="shared" ca="1" si="12"/>
        <v>51</v>
      </c>
      <c r="AT28" s="49">
        <f t="shared" ca="1" si="13"/>
        <v>0.88698251158699049</v>
      </c>
      <c r="AU28" s="49">
        <f ca="1">INDEX($AS$3:$AS$30,MATCH(SMALL($AT$3:$AT$30,ROWS(AT$3:AT28)),$AT$3:$AT$30,0))</f>
        <v>26</v>
      </c>
      <c r="AV28" s="49">
        <f ca="1">SMALL($AS$3:$AS$30,ROWS(AV$3:AV28))</f>
        <v>63</v>
      </c>
      <c r="AW28" s="57">
        <f ca="1">VLOOKUP(SMALL($BB$17:$BB$30,AX28),$BB$17:$BC$30,2,0)</f>
        <v>41</v>
      </c>
      <c r="AX28" s="57">
        <f t="shared" si="23"/>
        <v>13</v>
      </c>
      <c r="BA28" s="57">
        <v>26</v>
      </c>
      <c r="BB28" s="57">
        <f t="shared" ca="1" si="14"/>
        <v>0.81653839080998536</v>
      </c>
      <c r="BC28" s="57">
        <f t="shared" ca="1" si="15"/>
        <v>63</v>
      </c>
    </row>
    <row r="29" spans="1:63" ht="16.5" x14ac:dyDescent="0.3">
      <c r="A29" s="5">
        <v>27</v>
      </c>
      <c r="B29" s="72">
        <v>62</v>
      </c>
      <c r="C29" s="73">
        <v>82</v>
      </c>
      <c r="D29" s="139">
        <v>90</v>
      </c>
      <c r="E29" s="141">
        <v>65</v>
      </c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60">
        <v>26</v>
      </c>
      <c r="AO29" s="60">
        <f t="shared" ca="1" si="10"/>
        <v>18.686086537792789</v>
      </c>
      <c r="AP29" s="60">
        <f ca="1">SMALL($AO$3:$AO$30,ROWS(AO$3:AO29))</f>
        <v>31.460917798266514</v>
      </c>
      <c r="AQ29" s="81">
        <f t="shared" ca="1" si="11"/>
        <v>2.5768172818428585</v>
      </c>
      <c r="AR29" s="81">
        <f t="shared" si="20"/>
        <v>2</v>
      </c>
      <c r="AS29" s="49">
        <f t="shared" ca="1" si="12"/>
        <v>82</v>
      </c>
      <c r="AT29" s="49">
        <f t="shared" ca="1" si="13"/>
        <v>0.82428553919682013</v>
      </c>
      <c r="AU29" s="49">
        <f ca="1">INDEX($AS$3:$AS$30,MATCH(SMALL($AT$3:$AT$30,ROWS(AT$3:AT29)),$AT$3:$AT$30,0))</f>
        <v>26</v>
      </c>
      <c r="AV29" s="49">
        <f ca="1">SMALL($AS$3:$AS$30,ROWS(AV$3:AV29))</f>
        <v>68</v>
      </c>
      <c r="AW29" s="57">
        <f ca="1">VLOOKUP(SMALL($BB$17:$BB$30,AX29),$BB$17:$BC$30,2,0)</f>
        <v>53</v>
      </c>
      <c r="AX29" s="57">
        <f t="shared" si="23"/>
        <v>14</v>
      </c>
      <c r="BA29" s="57">
        <v>27</v>
      </c>
      <c r="BB29" s="57">
        <f t="shared" ca="1" si="14"/>
        <v>0.4396239021142464</v>
      </c>
      <c r="BC29" s="57">
        <f t="shared" ca="1" si="15"/>
        <v>68</v>
      </c>
    </row>
    <row r="30" spans="1:63" ht="16.5" x14ac:dyDescent="0.3">
      <c r="A30" s="5">
        <v>28</v>
      </c>
      <c r="B30" s="72">
        <v>48</v>
      </c>
      <c r="C30" s="73">
        <v>90</v>
      </c>
      <c r="D30" s="139">
        <v>62</v>
      </c>
      <c r="E30" s="141">
        <v>44</v>
      </c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60">
        <v>33</v>
      </c>
      <c r="AO30" s="60">
        <f t="shared" ca="1" si="10"/>
        <v>32.679569153917953</v>
      </c>
      <c r="AP30" s="60">
        <f ca="1">SMALL($AO$3:$AO$30,ROWS(AO$3:AO30))</f>
        <v>32.679569153917953</v>
      </c>
      <c r="AQ30" s="81">
        <f t="shared" ca="1" si="11"/>
        <v>1.4768783562009995</v>
      </c>
      <c r="AR30" s="81">
        <f t="shared" si="20"/>
        <v>1</v>
      </c>
      <c r="AS30" s="49">
        <f t="shared" ca="1" si="12"/>
        <v>49</v>
      </c>
      <c r="AT30" s="49">
        <f t="shared" ca="1" si="13"/>
        <v>0.42494823289607397</v>
      </c>
      <c r="AU30" s="49">
        <f ca="1">INDEX($AS$3:$AS$30,MATCH(SMALL($AT$3:$AT$30,ROWS(AT$3:AT30)),$AT$3:$AT$30,0))</f>
        <v>39</v>
      </c>
      <c r="AV30" s="49">
        <f ca="1">SMALL($AS$3:$AS$30,ROWS(AV$3:AV30))</f>
        <v>82</v>
      </c>
      <c r="AW30" s="57">
        <f ca="1">VLOOKUP(SMALL($BB$3:$BB$16,AX30),$BB$3:$BC$30,2,0)</f>
        <v>40</v>
      </c>
      <c r="AX30" s="57">
        <f t="shared" si="23"/>
        <v>14</v>
      </c>
      <c r="BA30" s="57">
        <v>28</v>
      </c>
      <c r="BB30" s="57">
        <f t="shared" ca="1" si="14"/>
        <v>0.66037502549751159</v>
      </c>
      <c r="BC30" s="57">
        <f t="shared" ca="1" si="15"/>
        <v>82</v>
      </c>
    </row>
    <row r="31" spans="1:63" ht="15" x14ac:dyDescent="0.25">
      <c r="A31"/>
      <c r="B31"/>
      <c r="C31"/>
      <c r="D31"/>
      <c r="E31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</row>
    <row r="32" spans="1:63" ht="16.5" x14ac:dyDescent="0.3">
      <c r="A32"/>
      <c r="B32"/>
      <c r="C32"/>
      <c r="D32"/>
      <c r="E32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/>
      <c r="AO32"/>
      <c r="AP32"/>
      <c r="AQ32"/>
      <c r="AR32"/>
      <c r="AS32" s="114">
        <f ca="1">SUM(AS3:AS30)</f>
        <v>1207</v>
      </c>
      <c r="AT32"/>
      <c r="AU32" s="114">
        <f ca="1">SUM(AU3:AU30)</f>
        <v>1207</v>
      </c>
      <c r="AV32" s="114">
        <f ca="1">SUM(AV3:AV30)</f>
        <v>1207</v>
      </c>
      <c r="AW32" s="114">
        <f ca="1">SUM(AW3:AW30)</f>
        <v>1207</v>
      </c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1:63" ht="15" x14ac:dyDescent="0.25">
      <c r="A33"/>
      <c r="B33"/>
      <c r="C33"/>
      <c r="D33"/>
      <c r="E33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1:63" ht="15" x14ac:dyDescent="0.25">
      <c r="A34"/>
      <c r="B34"/>
      <c r="C34"/>
      <c r="D34"/>
      <c r="E34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1:63" ht="16.5" x14ac:dyDescent="0.3">
      <c r="A35" s="41"/>
      <c r="B35" s="41"/>
      <c r="C35" s="41"/>
      <c r="D35" s="41"/>
      <c r="E35" s="41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1:63" ht="16.5" x14ac:dyDescent="0.3">
      <c r="A36" s="41"/>
      <c r="B36" s="41"/>
      <c r="C36" s="41"/>
      <c r="D36" s="41"/>
      <c r="E36" s="41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1:63" ht="16.5" x14ac:dyDescent="0.3">
      <c r="A37" s="41"/>
      <c r="B37" s="41"/>
      <c r="C37" s="41"/>
      <c r="D37" s="41"/>
      <c r="E37" s="41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1:63" ht="16.5" x14ac:dyDescent="0.3">
      <c r="A38" s="41"/>
      <c r="B38" s="41"/>
      <c r="C38" s="41"/>
      <c r="D38" s="41"/>
      <c r="E38" s="41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1:63" ht="16.5" x14ac:dyDescent="0.3">
      <c r="A39" s="41"/>
      <c r="B39" s="41"/>
      <c r="C39" s="41"/>
      <c r="D39" s="41"/>
      <c r="E39" s="41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1:63" ht="16.5" x14ac:dyDescent="0.3">
      <c r="A40" s="41"/>
      <c r="B40" s="41"/>
      <c r="C40" s="41"/>
      <c r="D40" s="41"/>
      <c r="E40" s="41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1:63" ht="16.5" x14ac:dyDescent="0.3">
      <c r="A41" s="41"/>
      <c r="B41" s="41"/>
      <c r="C41" s="41"/>
      <c r="D41" s="41"/>
      <c r="E41" s="41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1:63" ht="16.5" x14ac:dyDescent="0.3">
      <c r="A42" s="41"/>
      <c r="B42" s="41"/>
      <c r="C42" s="41"/>
      <c r="D42" s="41"/>
      <c r="E42" s="41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1:63" ht="16.5" x14ac:dyDescent="0.3">
      <c r="A43" s="41"/>
      <c r="B43" s="41"/>
      <c r="C43" s="41"/>
      <c r="D43" s="41"/>
      <c r="E43" s="41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63" ht="16.5" x14ac:dyDescent="0.3">
      <c r="A44" s="41"/>
      <c r="B44" s="41"/>
      <c r="C44" s="41"/>
      <c r="D44" s="41"/>
      <c r="E44" s="41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63" ht="16.5" x14ac:dyDescent="0.3">
      <c r="A45" s="41"/>
      <c r="B45" s="41"/>
      <c r="C45" s="41"/>
      <c r="D45" s="41"/>
      <c r="E45" s="41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63" ht="16.5" x14ac:dyDescent="0.3">
      <c r="A46" s="41"/>
      <c r="B46" s="41"/>
      <c r="C46" s="41"/>
      <c r="D46" s="41"/>
      <c r="E46" s="41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63" ht="16.5" x14ac:dyDescent="0.3">
      <c r="A47" s="41"/>
      <c r="B47" s="41"/>
      <c r="C47" s="41"/>
      <c r="D47" s="41"/>
      <c r="E47" s="41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1:63" ht="16.5" x14ac:dyDescent="0.3">
      <c r="A48" s="41"/>
      <c r="B48" s="41"/>
      <c r="C48" s="41"/>
      <c r="D48" s="41"/>
      <c r="E48" s="41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1:63" ht="16.5" x14ac:dyDescent="0.3">
      <c r="A49" s="41"/>
      <c r="B49" s="41"/>
      <c r="C49" s="41"/>
      <c r="D49" s="41"/>
      <c r="E49" s="41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1:63" ht="16.5" x14ac:dyDescent="0.3">
      <c r="A50" s="41"/>
      <c r="B50" s="41"/>
      <c r="C50" s="41"/>
      <c r="D50" s="41"/>
      <c r="E50" s="41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1:63" ht="16.5" x14ac:dyDescent="0.3">
      <c r="A51" s="41"/>
      <c r="B51" s="41"/>
      <c r="C51" s="41"/>
      <c r="D51" s="41"/>
      <c r="E51" s="41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1:63" ht="16.5" x14ac:dyDescent="0.3">
      <c r="A52" s="41"/>
      <c r="B52" s="41"/>
      <c r="C52" s="41"/>
      <c r="D52" s="41"/>
      <c r="E52" s="41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1:63" ht="16.5" x14ac:dyDescent="0.3">
      <c r="A53" s="41"/>
      <c r="B53" s="41"/>
      <c r="C53" s="41"/>
      <c r="D53" s="41"/>
      <c r="E53" s="41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1:63" ht="16.5" x14ac:dyDescent="0.3">
      <c r="A54" s="41"/>
      <c r="B54" s="41"/>
      <c r="C54" s="41"/>
      <c r="D54" s="41"/>
      <c r="E54" s="41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1:63" ht="16.5" x14ac:dyDescent="0.3">
      <c r="A55" s="41"/>
      <c r="B55" s="41"/>
      <c r="C55" s="41"/>
      <c r="D55" s="41"/>
      <c r="E55" s="41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1:63" ht="16.5" x14ac:dyDescent="0.3">
      <c r="A56" s="41"/>
      <c r="B56" s="41"/>
      <c r="C56" s="41"/>
      <c r="D56" s="41"/>
      <c r="E56" s="41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1:63" ht="16.5" x14ac:dyDescent="0.3">
      <c r="A57" s="41"/>
      <c r="B57" s="41"/>
      <c r="C57" s="41"/>
      <c r="D57" s="41"/>
      <c r="E57" s="41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1:63" ht="16.5" x14ac:dyDescent="0.3">
      <c r="A58" s="41"/>
      <c r="B58" s="41"/>
      <c r="C58" s="41"/>
      <c r="D58" s="41"/>
      <c r="E58" s="41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1:63" ht="16.5" x14ac:dyDescent="0.3">
      <c r="A59" s="41"/>
      <c r="B59" s="41"/>
      <c r="C59" s="41"/>
      <c r="D59" s="41"/>
      <c r="E59" s="41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1:63" ht="16.5" x14ac:dyDescent="0.3">
      <c r="A60" s="41"/>
      <c r="B60" s="41"/>
      <c r="C60" s="41"/>
      <c r="D60" s="41"/>
      <c r="E60" s="41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1:63" ht="16.5" x14ac:dyDescent="0.3">
      <c r="A61" s="41"/>
      <c r="B61" s="41"/>
      <c r="C61" s="41"/>
      <c r="D61" s="41"/>
      <c r="E61" s="4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1:63" ht="16.5" x14ac:dyDescent="0.3">
      <c r="A62" s="41"/>
      <c r="B62" s="41"/>
      <c r="C62" s="41"/>
      <c r="D62" s="41"/>
      <c r="E62" s="41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1:63" ht="15" x14ac:dyDescent="0.25"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1:63" ht="15" x14ac:dyDescent="0.25"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27:63" ht="15" x14ac:dyDescent="0.25"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27:63" ht="15" x14ac:dyDescent="0.25"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27:63" ht="15" x14ac:dyDescent="0.25"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  <row r="68" spans="27:63" ht="15" x14ac:dyDescent="0.25"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27:63" ht="15" x14ac:dyDescent="0.25"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</row>
    <row r="70" spans="27:63" ht="15" x14ac:dyDescent="0.25"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</row>
    <row r="71" spans="27:63" ht="15" x14ac:dyDescent="0.25"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</row>
    <row r="72" spans="27:63" ht="15" x14ac:dyDescent="0.25"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</row>
    <row r="73" spans="27:63" ht="15" x14ac:dyDescent="0.25"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</row>
    <row r="74" spans="27:63" ht="15" x14ac:dyDescent="0.25"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</row>
    <row r="75" spans="27:63" ht="15" x14ac:dyDescent="0.25"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</row>
    <row r="76" spans="27:63" ht="15" x14ac:dyDescent="0.25"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</row>
    <row r="77" spans="27:63" ht="15" x14ac:dyDescent="0.25"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</row>
    <row r="78" spans="27:63" ht="16.5" x14ac:dyDescent="0.3"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</row>
    <row r="79" spans="27:63" ht="16.5" x14ac:dyDescent="0.3"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</row>
    <row r="80" spans="27:63" ht="16.5" x14ac:dyDescent="0.3"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</row>
    <row r="81" spans="27:63" ht="16.5" x14ac:dyDescent="0.3"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</row>
    <row r="82" spans="27:63" ht="16.5" x14ac:dyDescent="0.3"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</row>
    <row r="83" spans="27:63" ht="16.5" x14ac:dyDescent="0.3"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</row>
    <row r="84" spans="27:63" ht="16.5" x14ac:dyDescent="0.3"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</row>
    <row r="85" spans="27:63" ht="16.5" x14ac:dyDescent="0.3"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</row>
    <row r="86" spans="27:63" ht="16.5" x14ac:dyDescent="0.3"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</row>
    <row r="87" spans="27:63" ht="16.5" x14ac:dyDescent="0.3"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/>
      <c r="AQ87"/>
      <c r="AR87"/>
      <c r="AS87"/>
      <c r="AT87"/>
      <c r="AU87"/>
      <c r="AV87" s="41"/>
      <c r="AX87"/>
    </row>
    <row r="88" spans="27:63" ht="17.25" thickBot="1" x14ac:dyDescent="0.35"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/>
      <c r="AQ88"/>
      <c r="AR88"/>
      <c r="AS88" s="114">
        <f ca="1">SUM(AS3:AS86)</f>
        <v>2414</v>
      </c>
      <c r="AT88" s="114">
        <f t="shared" ref="AT88:AW88" ca="1" si="24">SUM(AT3:AT86)</f>
        <v>15.283888596903815</v>
      </c>
      <c r="AU88" s="114">
        <f t="shared" ca="1" si="24"/>
        <v>2414</v>
      </c>
      <c r="AV88" s="114">
        <f t="shared" ca="1" si="24"/>
        <v>2414</v>
      </c>
      <c r="AW88" s="114">
        <f t="shared" ca="1" si="24"/>
        <v>2414</v>
      </c>
      <c r="AX88"/>
    </row>
    <row r="89" spans="27:63" ht="17.25" thickBot="1" x14ac:dyDescent="0.35"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/>
      <c r="AQ89"/>
      <c r="AR89"/>
      <c r="AS89" s="64" t="s">
        <v>98</v>
      </c>
      <c r="AT89" s="49" t="s">
        <v>99</v>
      </c>
      <c r="AU89" s="62" t="s">
        <v>100</v>
      </c>
      <c r="AV89" s="63" t="s">
        <v>19</v>
      </c>
      <c r="AW89" s="57" t="s">
        <v>106</v>
      </c>
      <c r="AX89"/>
    </row>
    <row r="90" spans="27:63" ht="15" x14ac:dyDescent="0.25">
      <c r="AP90"/>
      <c r="AQ90"/>
      <c r="AR90"/>
      <c r="AS90"/>
      <c r="AT90"/>
      <c r="AU90"/>
      <c r="AX90"/>
    </row>
    <row r="91" spans="27:63" ht="15" x14ac:dyDescent="0.25">
      <c r="AP91"/>
      <c r="AQ91"/>
      <c r="AR91"/>
      <c r="AS91"/>
      <c r="AT91"/>
      <c r="AU91"/>
      <c r="AX91"/>
    </row>
    <row r="92" spans="27:63" ht="15" x14ac:dyDescent="0.25">
      <c r="AP92"/>
      <c r="AQ92"/>
      <c r="AR92"/>
      <c r="AS92"/>
      <c r="AT92"/>
      <c r="AU92"/>
      <c r="AX92"/>
    </row>
    <row r="93" spans="27:63" ht="16.5" x14ac:dyDescent="0.3">
      <c r="AP93"/>
      <c r="AQ93" s="81"/>
      <c r="AR93" s="81"/>
      <c r="AS93"/>
      <c r="AT93"/>
      <c r="AU93"/>
      <c r="AX93"/>
    </row>
    <row r="94" spans="27:63" ht="16.5" x14ac:dyDescent="0.3">
      <c r="AP94"/>
      <c r="AQ94" s="81"/>
      <c r="AR94" s="81"/>
      <c r="AS94"/>
      <c r="AT94"/>
      <c r="AU94"/>
      <c r="AX94"/>
    </row>
    <row r="95" spans="27:63" ht="16.5" x14ac:dyDescent="0.3">
      <c r="AP95"/>
      <c r="AQ95" s="81"/>
      <c r="AR95" s="81"/>
      <c r="AS95"/>
      <c r="AT95"/>
      <c r="AU95"/>
      <c r="AX95"/>
    </row>
    <row r="96" spans="27:63" ht="16.5" x14ac:dyDescent="0.3">
      <c r="AP96"/>
      <c r="AQ96" s="81"/>
      <c r="AR96" s="81"/>
      <c r="AS96"/>
      <c r="AT96"/>
      <c r="AU96"/>
      <c r="AX96"/>
    </row>
    <row r="97" spans="42:50" ht="16.5" x14ac:dyDescent="0.3">
      <c r="AP97"/>
      <c r="AQ97" s="81"/>
      <c r="AR97" s="81"/>
      <c r="AS97"/>
      <c r="AT97"/>
      <c r="AU97"/>
      <c r="AX97"/>
    </row>
    <row r="98" spans="42:50" ht="16.5" x14ac:dyDescent="0.3">
      <c r="AP98"/>
      <c r="AQ98" s="81"/>
      <c r="AR98" s="81"/>
      <c r="AS98"/>
      <c r="AT98"/>
      <c r="AU98"/>
      <c r="AX98"/>
    </row>
    <row r="99" spans="42:50" ht="15" x14ac:dyDescent="0.25">
      <c r="AP99"/>
      <c r="AQ99"/>
      <c r="AR99"/>
      <c r="AS99"/>
      <c r="AT99"/>
      <c r="AU99"/>
    </row>
    <row r="100" spans="42:50" ht="15" x14ac:dyDescent="0.25">
      <c r="AP100"/>
      <c r="AQ100"/>
      <c r="AR100"/>
      <c r="AS100"/>
      <c r="AT100"/>
      <c r="AU100"/>
    </row>
    <row r="101" spans="42:50" ht="15" x14ac:dyDescent="0.25">
      <c r="AP101"/>
      <c r="AQ101"/>
      <c r="AR101"/>
      <c r="AS101"/>
      <c r="AT101"/>
      <c r="AU101"/>
    </row>
    <row r="102" spans="42:50" ht="15" x14ac:dyDescent="0.25">
      <c r="AP102"/>
      <c r="AQ102"/>
      <c r="AR102"/>
      <c r="AS102"/>
      <c r="AT102"/>
      <c r="AU102"/>
    </row>
    <row r="103" spans="42:50" ht="15" x14ac:dyDescent="0.25">
      <c r="AP103"/>
      <c r="AQ103"/>
      <c r="AR103"/>
      <c r="AS103"/>
      <c r="AT103"/>
      <c r="AU103"/>
    </row>
    <row r="104" spans="42:50" ht="15" x14ac:dyDescent="0.25">
      <c r="AP104"/>
      <c r="AQ104"/>
      <c r="AR104"/>
      <c r="AS104"/>
      <c r="AT104"/>
      <c r="AU104"/>
    </row>
    <row r="105" spans="42:50" ht="15" x14ac:dyDescent="0.25">
      <c r="AP105"/>
      <c r="AQ105"/>
      <c r="AR105"/>
      <c r="AS105"/>
      <c r="AT105"/>
      <c r="AU105"/>
    </row>
    <row r="106" spans="42:50" ht="15" x14ac:dyDescent="0.25">
      <c r="AP106"/>
      <c r="AQ106"/>
      <c r="AR106"/>
      <c r="AS106"/>
      <c r="AT106"/>
      <c r="AU106"/>
    </row>
    <row r="107" spans="42:50" ht="15" x14ac:dyDescent="0.25">
      <c r="AP107"/>
      <c r="AQ107"/>
      <c r="AR107"/>
      <c r="AS107"/>
      <c r="AT107"/>
      <c r="AU107"/>
    </row>
    <row r="108" spans="42:50" ht="15" x14ac:dyDescent="0.25">
      <c r="AP108"/>
      <c r="AQ108"/>
      <c r="AR108"/>
      <c r="AS108"/>
      <c r="AT108"/>
      <c r="AU108"/>
    </row>
    <row r="109" spans="42:50" ht="15" x14ac:dyDescent="0.25">
      <c r="AP109"/>
      <c r="AQ109"/>
      <c r="AR109"/>
      <c r="AS109"/>
      <c r="AT109"/>
      <c r="AU109"/>
    </row>
    <row r="110" spans="42:50" ht="15" x14ac:dyDescent="0.25">
      <c r="AP110"/>
      <c r="AQ110"/>
      <c r="AR110"/>
      <c r="AS110"/>
      <c r="AT110"/>
      <c r="AU110"/>
    </row>
    <row r="111" spans="42:50" ht="15" x14ac:dyDescent="0.25">
      <c r="AP111"/>
      <c r="AQ111"/>
      <c r="AR111"/>
      <c r="AS111"/>
      <c r="AT111"/>
      <c r="AU111"/>
    </row>
    <row r="112" spans="42:50" ht="15" x14ac:dyDescent="0.25">
      <c r="AP112"/>
      <c r="AQ112"/>
      <c r="AR112"/>
      <c r="AS112"/>
      <c r="AT112"/>
      <c r="AU112"/>
    </row>
    <row r="113" spans="1:47" ht="15" x14ac:dyDescent="0.25">
      <c r="AP113"/>
      <c r="AQ113"/>
      <c r="AR113"/>
      <c r="AS113"/>
      <c r="AT113"/>
      <c r="AU113"/>
    </row>
    <row r="114" spans="1:47" ht="15" x14ac:dyDescent="0.25">
      <c r="AP114"/>
      <c r="AQ114"/>
      <c r="AR114"/>
      <c r="AS114"/>
      <c r="AT114"/>
      <c r="AU114"/>
    </row>
    <row r="115" spans="1:47" ht="15" x14ac:dyDescent="0.25">
      <c r="AP115"/>
      <c r="AQ115"/>
      <c r="AR115"/>
      <c r="AS115"/>
      <c r="AT115"/>
      <c r="AU115"/>
    </row>
    <row r="116" spans="1:47" ht="15" x14ac:dyDescent="0.25">
      <c r="AP116"/>
      <c r="AQ116"/>
      <c r="AR116"/>
      <c r="AS116"/>
      <c r="AT116"/>
      <c r="AU116"/>
    </row>
    <row r="117" spans="1:47" ht="15" x14ac:dyDescent="0.25">
      <c r="AP117"/>
      <c r="AQ117"/>
      <c r="AR117"/>
      <c r="AS117"/>
      <c r="AT117"/>
      <c r="AU117"/>
    </row>
    <row r="118" spans="1:47" ht="15" x14ac:dyDescent="0.25">
      <c r="AP118"/>
      <c r="AQ118"/>
      <c r="AR118"/>
      <c r="AS118"/>
      <c r="AT118"/>
      <c r="AU118"/>
    </row>
    <row r="119" spans="1:47" ht="15" x14ac:dyDescent="0.25">
      <c r="AP119"/>
      <c r="AQ119"/>
      <c r="AR119"/>
      <c r="AS119"/>
      <c r="AT119"/>
      <c r="AU119"/>
    </row>
    <row r="120" spans="1:47" ht="15" x14ac:dyDescent="0.25">
      <c r="AP120"/>
      <c r="AQ120"/>
      <c r="AR120"/>
      <c r="AS120"/>
      <c r="AT120"/>
      <c r="AU120"/>
    </row>
    <row r="121" spans="1:47" ht="15" x14ac:dyDescent="0.25">
      <c r="AP121"/>
      <c r="AQ121"/>
      <c r="AR121"/>
      <c r="AS121"/>
      <c r="AT121"/>
      <c r="AU121"/>
    </row>
    <row r="122" spans="1:47" ht="15" x14ac:dyDescent="0.25">
      <c r="AP122"/>
      <c r="AQ122"/>
      <c r="AR122"/>
      <c r="AS122"/>
      <c r="AT122"/>
      <c r="AU122"/>
    </row>
    <row r="123" spans="1:47" ht="15" x14ac:dyDescent="0.25">
      <c r="AP123"/>
      <c r="AQ123"/>
      <c r="AR123"/>
      <c r="AS123"/>
      <c r="AT123"/>
      <c r="AU123"/>
    </row>
    <row r="124" spans="1:47" ht="15" x14ac:dyDescent="0.25">
      <c r="AP124"/>
      <c r="AQ124"/>
      <c r="AR124"/>
      <c r="AS124"/>
      <c r="AT124"/>
      <c r="AU124"/>
    </row>
    <row r="125" spans="1:47" ht="15" x14ac:dyDescent="0.25">
      <c r="AP125"/>
      <c r="AQ125"/>
      <c r="AR125"/>
      <c r="AS125"/>
      <c r="AT125"/>
      <c r="AU125"/>
    </row>
    <row r="126" spans="1:47" ht="16.5" x14ac:dyDescent="0.3">
      <c r="A126" s="41"/>
      <c r="B126" s="41"/>
      <c r="C126" s="41"/>
      <c r="D126" s="41"/>
      <c r="E126" s="41"/>
      <c r="AP126"/>
      <c r="AQ126"/>
      <c r="AR126"/>
      <c r="AS126"/>
      <c r="AT126"/>
      <c r="AU126"/>
    </row>
    <row r="127" spans="1:47" ht="16.5" x14ac:dyDescent="0.3">
      <c r="A127" s="41"/>
      <c r="B127" s="41"/>
      <c r="C127" s="41"/>
      <c r="D127" s="41"/>
      <c r="E127" s="41"/>
      <c r="AP127"/>
      <c r="AQ127"/>
      <c r="AR127"/>
      <c r="AS127"/>
      <c r="AT127"/>
      <c r="AU127"/>
    </row>
    <row r="128" spans="1:47" ht="16.5" x14ac:dyDescent="0.3">
      <c r="A128" s="41"/>
      <c r="B128" s="41"/>
      <c r="C128" s="41"/>
      <c r="D128" s="41"/>
      <c r="E128" s="41"/>
      <c r="AP128"/>
      <c r="AQ128"/>
      <c r="AR128"/>
      <c r="AS128"/>
      <c r="AT128"/>
      <c r="AU128"/>
    </row>
    <row r="129" spans="1:47" ht="16.5" x14ac:dyDescent="0.3">
      <c r="A129" s="41"/>
      <c r="B129" s="41"/>
      <c r="C129" s="41"/>
      <c r="D129" s="41"/>
      <c r="E129" s="41"/>
      <c r="AP129"/>
      <c r="AQ129"/>
      <c r="AR129"/>
      <c r="AS129"/>
      <c r="AT129"/>
      <c r="AU129"/>
    </row>
    <row r="130" spans="1:47" ht="16.5" x14ac:dyDescent="0.3">
      <c r="A130" s="41"/>
      <c r="B130" s="41"/>
      <c r="C130" s="41"/>
      <c r="D130" s="41"/>
      <c r="E130" s="41"/>
      <c r="AP130"/>
      <c r="AQ130"/>
      <c r="AR130"/>
      <c r="AS130"/>
      <c r="AT130"/>
      <c r="AU130"/>
    </row>
    <row r="131" spans="1:47" ht="16.5" x14ac:dyDescent="0.3">
      <c r="A131" s="41"/>
      <c r="B131" s="41"/>
      <c r="C131" s="41"/>
      <c r="D131" s="41"/>
      <c r="E131" s="41"/>
      <c r="AP131"/>
      <c r="AQ131"/>
      <c r="AR131"/>
      <c r="AS131"/>
      <c r="AT131"/>
      <c r="AU131"/>
    </row>
    <row r="132" spans="1:47" ht="16.5" x14ac:dyDescent="0.3">
      <c r="A132" s="41"/>
      <c r="B132" s="41"/>
      <c r="C132" s="41"/>
      <c r="D132" s="41"/>
      <c r="E132" s="41"/>
      <c r="AP132"/>
      <c r="AQ132"/>
      <c r="AR132"/>
      <c r="AS132"/>
      <c r="AT132"/>
      <c r="AU132"/>
    </row>
    <row r="133" spans="1:47" ht="16.5" x14ac:dyDescent="0.3">
      <c r="A133" s="41"/>
      <c r="B133" s="41"/>
      <c r="C133" s="41"/>
      <c r="D133" s="41"/>
      <c r="E133" s="41"/>
      <c r="AP133"/>
      <c r="AQ133"/>
      <c r="AR133"/>
      <c r="AS133"/>
      <c r="AT133"/>
      <c r="AU133"/>
    </row>
    <row r="134" spans="1:47" ht="16.5" x14ac:dyDescent="0.3">
      <c r="A134" s="41"/>
      <c r="B134" s="41"/>
      <c r="C134" s="41"/>
      <c r="D134" s="41"/>
      <c r="E134" s="41"/>
      <c r="AP134"/>
      <c r="AQ134"/>
      <c r="AR134"/>
      <c r="AS134"/>
      <c r="AT134"/>
      <c r="AU134"/>
    </row>
    <row r="135" spans="1:47" ht="16.5" x14ac:dyDescent="0.3">
      <c r="A135" s="41"/>
      <c r="B135" s="41"/>
      <c r="C135" s="41"/>
      <c r="D135" s="41"/>
      <c r="E135" s="41"/>
      <c r="AP135"/>
      <c r="AQ135"/>
      <c r="AR135"/>
      <c r="AS135"/>
      <c r="AT135"/>
      <c r="AU135"/>
    </row>
    <row r="136" spans="1:47" ht="16.5" x14ac:dyDescent="0.3">
      <c r="A136" s="41"/>
      <c r="B136" s="41"/>
      <c r="C136" s="41"/>
      <c r="D136" s="41"/>
      <c r="E136" s="41"/>
      <c r="AP136"/>
      <c r="AQ136"/>
      <c r="AR136"/>
      <c r="AS136"/>
      <c r="AT136"/>
      <c r="AU136"/>
    </row>
    <row r="137" spans="1:47" ht="16.5" x14ac:dyDescent="0.3">
      <c r="A137" s="41"/>
      <c r="B137" s="41"/>
      <c r="C137" s="41"/>
      <c r="D137" s="41"/>
      <c r="E137" s="41"/>
      <c r="AP137"/>
      <c r="AQ137"/>
      <c r="AR137"/>
      <c r="AS137"/>
      <c r="AT137"/>
      <c r="AU137"/>
    </row>
    <row r="138" spans="1:47" ht="16.5" x14ac:dyDescent="0.3">
      <c r="A138" s="41"/>
      <c r="B138" s="41"/>
      <c r="C138" s="41"/>
      <c r="D138" s="41"/>
      <c r="E138" s="41"/>
      <c r="AP138"/>
      <c r="AQ138"/>
      <c r="AR138"/>
      <c r="AS138"/>
      <c r="AT138"/>
      <c r="AU138"/>
    </row>
    <row r="139" spans="1:47" ht="16.5" x14ac:dyDescent="0.3">
      <c r="A139" s="41"/>
      <c r="B139" s="41"/>
      <c r="C139" s="41"/>
      <c r="D139" s="41"/>
      <c r="E139" s="41"/>
      <c r="AP139"/>
      <c r="AQ139"/>
      <c r="AR139"/>
      <c r="AS139"/>
      <c r="AT139"/>
      <c r="AU139"/>
    </row>
    <row r="140" spans="1:47" ht="16.5" x14ac:dyDescent="0.3">
      <c r="A140" s="41"/>
      <c r="B140" s="41"/>
      <c r="C140" s="41"/>
      <c r="D140" s="41"/>
      <c r="E140" s="41"/>
      <c r="AP140"/>
      <c r="AQ140"/>
      <c r="AR140"/>
      <c r="AS140"/>
      <c r="AT140"/>
      <c r="AU140"/>
    </row>
    <row r="141" spans="1:47" ht="16.5" x14ac:dyDescent="0.3">
      <c r="A141" s="41"/>
      <c r="B141" s="41"/>
      <c r="C141" s="41"/>
      <c r="D141" s="41"/>
      <c r="E141" s="41"/>
      <c r="AP141"/>
      <c r="AQ141"/>
      <c r="AR141"/>
      <c r="AS141"/>
      <c r="AT141"/>
      <c r="AU141"/>
    </row>
    <row r="142" spans="1:47" ht="16.5" x14ac:dyDescent="0.3">
      <c r="A142" s="41"/>
      <c r="B142" s="41"/>
      <c r="C142" s="41"/>
      <c r="D142" s="41"/>
      <c r="E142" s="41"/>
      <c r="AP142"/>
      <c r="AQ142"/>
      <c r="AR142"/>
      <c r="AS142"/>
      <c r="AT142"/>
      <c r="AU142"/>
    </row>
    <row r="143" spans="1:47" ht="16.5" x14ac:dyDescent="0.3">
      <c r="A143" s="41"/>
      <c r="B143" s="41"/>
      <c r="C143" s="41"/>
      <c r="D143" s="41"/>
      <c r="E143" s="41"/>
      <c r="AP143"/>
      <c r="AQ143"/>
      <c r="AR143"/>
      <c r="AS143"/>
      <c r="AT143"/>
      <c r="AU143"/>
    </row>
    <row r="144" spans="1:47" ht="16.5" x14ac:dyDescent="0.3">
      <c r="A144" s="41"/>
      <c r="B144" s="41"/>
      <c r="C144" s="41"/>
      <c r="D144" s="41"/>
      <c r="E144" s="41"/>
      <c r="AP144"/>
      <c r="AQ144"/>
      <c r="AR144"/>
      <c r="AS144"/>
      <c r="AT144"/>
      <c r="AU144"/>
    </row>
    <row r="145" spans="1:47" ht="16.5" x14ac:dyDescent="0.3">
      <c r="A145" s="41"/>
      <c r="B145" s="41"/>
      <c r="C145" s="41"/>
      <c r="D145" s="41"/>
      <c r="E145" s="41"/>
      <c r="AP145"/>
      <c r="AQ145"/>
      <c r="AR145"/>
      <c r="AS145"/>
      <c r="AT145"/>
      <c r="AU145"/>
    </row>
    <row r="146" spans="1:47" ht="16.5" x14ac:dyDescent="0.3">
      <c r="A146" s="41"/>
      <c r="B146" s="41"/>
      <c r="C146" s="41"/>
      <c r="D146" s="41"/>
      <c r="E146" s="41"/>
      <c r="AP146"/>
      <c r="AQ146"/>
      <c r="AR146"/>
      <c r="AS146"/>
      <c r="AT146"/>
      <c r="AU146"/>
    </row>
    <row r="147" spans="1:47" ht="16.5" x14ac:dyDescent="0.3">
      <c r="A147" s="41"/>
      <c r="B147" s="41"/>
      <c r="C147" s="41"/>
      <c r="D147" s="41"/>
      <c r="E147" s="41"/>
      <c r="AP147"/>
      <c r="AQ147"/>
      <c r="AR147"/>
      <c r="AS147"/>
      <c r="AT147"/>
      <c r="AU147"/>
    </row>
    <row r="148" spans="1:47" ht="16.5" x14ac:dyDescent="0.3">
      <c r="A148" s="41"/>
      <c r="B148" s="41"/>
      <c r="C148" s="41"/>
      <c r="D148" s="41"/>
      <c r="E148" s="41"/>
      <c r="AP148"/>
      <c r="AQ148"/>
      <c r="AR148"/>
      <c r="AS148"/>
      <c r="AT148"/>
      <c r="AU148"/>
    </row>
    <row r="149" spans="1:47" ht="16.5" x14ac:dyDescent="0.3">
      <c r="A149" s="41"/>
      <c r="B149" s="41"/>
      <c r="C149" s="41"/>
      <c r="D149" s="41"/>
      <c r="E149" s="41"/>
      <c r="AP149"/>
      <c r="AQ149"/>
      <c r="AR149"/>
      <c r="AS149"/>
      <c r="AT149"/>
      <c r="AU149"/>
    </row>
    <row r="150" spans="1:47" ht="16.5" x14ac:dyDescent="0.3">
      <c r="A150" s="41"/>
      <c r="B150" s="41"/>
      <c r="C150" s="41"/>
      <c r="D150" s="41"/>
      <c r="E150" s="41"/>
      <c r="AP150"/>
      <c r="AQ150"/>
      <c r="AR150"/>
      <c r="AS150"/>
      <c r="AT150"/>
      <c r="AU150"/>
    </row>
    <row r="151" spans="1:47" ht="16.5" x14ac:dyDescent="0.3">
      <c r="A151" s="41"/>
      <c r="B151" s="41"/>
      <c r="C151" s="41"/>
      <c r="D151" s="41"/>
      <c r="E151" s="41"/>
      <c r="AP151"/>
      <c r="AQ151"/>
      <c r="AR151"/>
      <c r="AS151"/>
      <c r="AT151"/>
      <c r="AU151"/>
    </row>
    <row r="152" spans="1:47" ht="16.5" x14ac:dyDescent="0.3">
      <c r="A152" s="41"/>
      <c r="B152" s="41"/>
      <c r="C152" s="41"/>
      <c r="D152" s="41"/>
      <c r="E152" s="41"/>
      <c r="AP152"/>
      <c r="AQ152"/>
      <c r="AR152"/>
      <c r="AS152"/>
      <c r="AT152"/>
      <c r="AU152"/>
    </row>
    <row r="153" spans="1:47" ht="16.5" x14ac:dyDescent="0.3">
      <c r="A153" s="41"/>
      <c r="B153" s="41"/>
      <c r="C153" s="41"/>
      <c r="D153" s="41"/>
      <c r="E153" s="41"/>
      <c r="AP153"/>
      <c r="AQ153"/>
      <c r="AR153"/>
      <c r="AS153"/>
      <c r="AT153"/>
      <c r="AU153"/>
    </row>
    <row r="154" spans="1:47" ht="16.5" x14ac:dyDescent="0.3">
      <c r="A154" s="41"/>
      <c r="B154" s="41"/>
      <c r="C154" s="41"/>
      <c r="D154" s="41"/>
      <c r="E154" s="41"/>
      <c r="AP154"/>
      <c r="AQ154"/>
      <c r="AR154"/>
      <c r="AS154"/>
      <c r="AT154"/>
      <c r="AU154"/>
    </row>
    <row r="155" spans="1:47" ht="16.5" x14ac:dyDescent="0.3">
      <c r="A155" s="41"/>
      <c r="B155" s="41"/>
      <c r="C155" s="41"/>
      <c r="D155" s="41"/>
      <c r="E155" s="41"/>
      <c r="AP155"/>
      <c r="AQ155"/>
      <c r="AR155"/>
      <c r="AS155"/>
      <c r="AT155"/>
      <c r="AU155"/>
    </row>
    <row r="156" spans="1:47" ht="16.5" x14ac:dyDescent="0.3">
      <c r="A156" s="41"/>
      <c r="B156" s="41"/>
      <c r="C156" s="41"/>
      <c r="D156" s="41"/>
      <c r="E156" s="41"/>
      <c r="AP156"/>
      <c r="AQ156"/>
      <c r="AR156"/>
      <c r="AS156"/>
      <c r="AT156"/>
      <c r="AU156"/>
    </row>
    <row r="157" spans="1:47" ht="16.5" x14ac:dyDescent="0.3">
      <c r="A157" s="41"/>
      <c r="B157" s="41"/>
      <c r="C157" s="41"/>
      <c r="D157" s="41"/>
      <c r="E157" s="41"/>
      <c r="AP157"/>
      <c r="AQ157"/>
      <c r="AR157"/>
      <c r="AS157"/>
      <c r="AT157"/>
      <c r="AU157"/>
    </row>
    <row r="158" spans="1:47" ht="16.5" x14ac:dyDescent="0.3">
      <c r="A158" s="41"/>
      <c r="B158" s="41"/>
      <c r="C158" s="41"/>
      <c r="D158" s="41"/>
      <c r="E158" s="41"/>
      <c r="AP158"/>
      <c r="AQ158"/>
      <c r="AR158"/>
      <c r="AS158"/>
      <c r="AT158"/>
      <c r="AU158"/>
    </row>
    <row r="159" spans="1:47" ht="16.5" x14ac:dyDescent="0.3">
      <c r="A159" s="41"/>
      <c r="B159" s="41"/>
      <c r="C159" s="41"/>
      <c r="D159" s="41"/>
      <c r="E159" s="41"/>
      <c r="AP159"/>
      <c r="AQ159"/>
      <c r="AR159"/>
      <c r="AS159"/>
      <c r="AT159"/>
      <c r="AU159"/>
    </row>
    <row r="160" spans="1:47" ht="16.5" x14ac:dyDescent="0.3">
      <c r="A160" s="41"/>
      <c r="B160" s="41"/>
      <c r="C160" s="41"/>
      <c r="D160" s="41"/>
      <c r="E160" s="41"/>
      <c r="AP160"/>
      <c r="AQ160"/>
      <c r="AR160"/>
      <c r="AS160"/>
      <c r="AT160"/>
      <c r="AU160"/>
    </row>
    <row r="161" spans="1:47" ht="16.5" x14ac:dyDescent="0.3">
      <c r="A161" s="41"/>
      <c r="B161" s="41"/>
      <c r="C161" s="41"/>
      <c r="D161" s="41"/>
      <c r="E161" s="41"/>
      <c r="AP161"/>
      <c r="AQ161"/>
      <c r="AR161"/>
      <c r="AS161"/>
      <c r="AT161"/>
      <c r="AU161"/>
    </row>
    <row r="162" spans="1:47" ht="16.5" x14ac:dyDescent="0.3">
      <c r="A162" s="41"/>
      <c r="B162" s="41"/>
      <c r="C162" s="41"/>
      <c r="D162" s="41"/>
      <c r="E162" s="41"/>
      <c r="AP162"/>
      <c r="AQ162"/>
      <c r="AR162"/>
      <c r="AS162"/>
      <c r="AT162"/>
      <c r="AU162"/>
    </row>
    <row r="163" spans="1:47" ht="16.5" x14ac:dyDescent="0.3">
      <c r="A163" s="41"/>
      <c r="B163" s="41"/>
      <c r="C163" s="41"/>
      <c r="D163" s="41"/>
      <c r="E163" s="41"/>
      <c r="AP163"/>
      <c r="AQ163"/>
      <c r="AR163"/>
      <c r="AS163"/>
      <c r="AT163"/>
      <c r="AU163"/>
    </row>
    <row r="164" spans="1:47" ht="16.5" x14ac:dyDescent="0.3">
      <c r="A164" s="41"/>
      <c r="B164" s="41"/>
      <c r="C164" s="41"/>
      <c r="D164" s="41"/>
      <c r="E164" s="41"/>
      <c r="AP164"/>
      <c r="AQ164"/>
      <c r="AR164"/>
      <c r="AS164"/>
      <c r="AT164"/>
      <c r="AU164"/>
    </row>
    <row r="165" spans="1:47" ht="16.5" x14ac:dyDescent="0.3">
      <c r="A165" s="41"/>
      <c r="B165" s="41"/>
      <c r="C165" s="41"/>
      <c r="D165" s="41"/>
      <c r="E165" s="41"/>
      <c r="AP165"/>
      <c r="AQ165"/>
      <c r="AR165"/>
      <c r="AS165"/>
      <c r="AT165"/>
      <c r="AU165"/>
    </row>
    <row r="166" spans="1:47" ht="16.5" x14ac:dyDescent="0.3">
      <c r="A166" s="41"/>
      <c r="B166" s="41"/>
      <c r="C166" s="41"/>
      <c r="D166" s="41"/>
      <c r="E166" s="41"/>
      <c r="AP166"/>
      <c r="AQ166"/>
      <c r="AR166"/>
      <c r="AS166"/>
      <c r="AT166"/>
      <c r="AU166"/>
    </row>
    <row r="167" spans="1:47" ht="16.5" x14ac:dyDescent="0.3">
      <c r="A167" s="41"/>
      <c r="B167" s="41"/>
      <c r="C167" s="41"/>
      <c r="D167" s="41"/>
      <c r="E167" s="41"/>
      <c r="AP167"/>
      <c r="AQ167"/>
      <c r="AR167"/>
      <c r="AS167"/>
      <c r="AT167"/>
      <c r="AU167"/>
    </row>
    <row r="168" spans="1:47" ht="16.5" x14ac:dyDescent="0.3">
      <c r="A168" s="41"/>
      <c r="B168" s="41"/>
      <c r="C168" s="41"/>
      <c r="D168" s="41"/>
      <c r="E168" s="41"/>
      <c r="AP168"/>
      <c r="AQ168"/>
      <c r="AR168"/>
      <c r="AS168"/>
      <c r="AT168"/>
      <c r="AU168"/>
    </row>
    <row r="169" spans="1:47" ht="16.5" x14ac:dyDescent="0.3">
      <c r="A169" s="41"/>
      <c r="B169" s="41"/>
      <c r="C169" s="41"/>
      <c r="D169" s="41"/>
      <c r="E169" s="41"/>
      <c r="AP169"/>
      <c r="AQ169"/>
      <c r="AR169"/>
      <c r="AS169"/>
      <c r="AT169"/>
      <c r="AU169"/>
    </row>
    <row r="170" spans="1:47" ht="16.5" x14ac:dyDescent="0.3">
      <c r="A170" s="41"/>
      <c r="B170" s="41"/>
      <c r="C170" s="41"/>
      <c r="D170" s="41"/>
      <c r="E170" s="41"/>
      <c r="AP170"/>
      <c r="AQ170"/>
      <c r="AR170"/>
      <c r="AS170"/>
      <c r="AT170"/>
      <c r="AU170"/>
    </row>
    <row r="171" spans="1:47" ht="16.5" x14ac:dyDescent="0.3">
      <c r="A171" s="41"/>
      <c r="B171" s="41"/>
      <c r="C171" s="41"/>
      <c r="D171" s="41"/>
      <c r="E171" s="41"/>
      <c r="AP171"/>
      <c r="AQ171"/>
      <c r="AR171"/>
      <c r="AS171"/>
      <c r="AT171"/>
      <c r="AU171"/>
    </row>
    <row r="172" spans="1:47" ht="16.5" x14ac:dyDescent="0.3">
      <c r="A172" s="41"/>
      <c r="B172" s="41"/>
      <c r="C172" s="41"/>
      <c r="D172" s="41"/>
      <c r="E172" s="41"/>
      <c r="AP172"/>
      <c r="AQ172"/>
      <c r="AR172"/>
      <c r="AS172"/>
      <c r="AT172"/>
      <c r="AU172"/>
    </row>
    <row r="173" spans="1:47" ht="16.5" x14ac:dyDescent="0.3">
      <c r="A173" s="41"/>
      <c r="B173" s="41"/>
      <c r="C173" s="41"/>
      <c r="D173" s="41"/>
      <c r="E173" s="41"/>
      <c r="AP173"/>
      <c r="AQ173"/>
      <c r="AR173"/>
      <c r="AS173"/>
      <c r="AT173"/>
      <c r="AU173"/>
    </row>
    <row r="174" spans="1:47" ht="16.5" x14ac:dyDescent="0.3">
      <c r="A174" s="41"/>
      <c r="B174" s="41"/>
      <c r="C174" s="41"/>
      <c r="D174" s="41"/>
      <c r="E174" s="41"/>
      <c r="AP174"/>
      <c r="AQ174"/>
      <c r="AR174"/>
      <c r="AS174"/>
      <c r="AT174"/>
      <c r="AU174"/>
    </row>
    <row r="175" spans="1:47" ht="16.5" x14ac:dyDescent="0.3">
      <c r="A175" s="41"/>
      <c r="B175" s="41"/>
      <c r="C175" s="41"/>
      <c r="D175" s="41"/>
      <c r="E175" s="41"/>
      <c r="AP175"/>
      <c r="AQ175"/>
      <c r="AR175"/>
      <c r="AS175"/>
      <c r="AT175"/>
      <c r="AU175"/>
    </row>
    <row r="176" spans="1:47" ht="16.5" x14ac:dyDescent="0.3">
      <c r="A176" s="41"/>
      <c r="B176" s="41"/>
      <c r="C176" s="41"/>
      <c r="D176" s="41"/>
      <c r="E176" s="41"/>
      <c r="AP176"/>
      <c r="AQ176"/>
      <c r="AR176"/>
      <c r="AS176"/>
      <c r="AT176"/>
      <c r="AU176"/>
    </row>
    <row r="177" spans="1:47" ht="16.5" x14ac:dyDescent="0.3">
      <c r="A177" s="41"/>
      <c r="B177" s="41"/>
      <c r="C177" s="41"/>
      <c r="D177" s="41"/>
      <c r="E177" s="41"/>
      <c r="AP177"/>
      <c r="AQ177"/>
      <c r="AR177"/>
      <c r="AS177"/>
      <c r="AT177"/>
      <c r="AU177"/>
    </row>
    <row r="178" spans="1:47" ht="16.5" x14ac:dyDescent="0.3">
      <c r="A178" s="41"/>
      <c r="B178" s="41"/>
      <c r="C178" s="41"/>
      <c r="D178" s="41"/>
      <c r="E178" s="41"/>
      <c r="AP178"/>
      <c r="AQ178"/>
      <c r="AR178"/>
      <c r="AS178"/>
      <c r="AT178"/>
      <c r="AU178"/>
    </row>
    <row r="179" spans="1:47" ht="16.5" x14ac:dyDescent="0.3">
      <c r="A179" s="41"/>
      <c r="B179" s="41"/>
      <c r="C179" s="41"/>
      <c r="D179" s="41"/>
      <c r="E179" s="41"/>
      <c r="AP179"/>
      <c r="AQ179"/>
      <c r="AR179"/>
      <c r="AS179"/>
      <c r="AT179"/>
      <c r="AU179"/>
    </row>
    <row r="180" spans="1:47" ht="16.5" x14ac:dyDescent="0.3">
      <c r="A180" s="41"/>
      <c r="B180" s="41"/>
      <c r="C180" s="41"/>
      <c r="D180" s="41"/>
      <c r="E180" s="41"/>
      <c r="AP180"/>
      <c r="AQ180"/>
      <c r="AR180"/>
      <c r="AS180"/>
      <c r="AT180"/>
      <c r="AU180"/>
    </row>
    <row r="181" spans="1:47" ht="16.5" x14ac:dyDescent="0.3">
      <c r="A181" s="41"/>
      <c r="B181" s="41"/>
      <c r="C181" s="41"/>
      <c r="D181" s="41"/>
      <c r="E181" s="41"/>
      <c r="AP181"/>
      <c r="AQ181"/>
      <c r="AR181"/>
      <c r="AS181"/>
      <c r="AT181"/>
      <c r="AU181"/>
    </row>
    <row r="182" spans="1:47" ht="15" x14ac:dyDescent="0.25">
      <c r="AP182"/>
      <c r="AQ182"/>
      <c r="AR182"/>
      <c r="AS182"/>
      <c r="AT182"/>
      <c r="AU182"/>
    </row>
    <row r="183" spans="1:47" ht="15" x14ac:dyDescent="0.25">
      <c r="AP183"/>
      <c r="AQ183"/>
      <c r="AR183"/>
      <c r="AS183"/>
      <c r="AT183"/>
      <c r="AU183"/>
    </row>
    <row r="184" spans="1:47" ht="15" x14ac:dyDescent="0.25">
      <c r="AP184"/>
      <c r="AQ184"/>
      <c r="AR184"/>
      <c r="AS184"/>
      <c r="AT184"/>
      <c r="AU184"/>
    </row>
    <row r="185" spans="1:47" ht="15" x14ac:dyDescent="0.25">
      <c r="AP185"/>
      <c r="AQ185"/>
      <c r="AR185"/>
      <c r="AS185"/>
      <c r="AT185"/>
      <c r="AU185"/>
    </row>
    <row r="186" spans="1:47" ht="15" x14ac:dyDescent="0.25">
      <c r="AP186"/>
      <c r="AQ186"/>
      <c r="AR186"/>
      <c r="AS186"/>
      <c r="AT186"/>
      <c r="AU186"/>
    </row>
    <row r="187" spans="1:47" ht="15" x14ac:dyDescent="0.25">
      <c r="AP187"/>
      <c r="AQ187"/>
      <c r="AR187"/>
      <c r="AS187"/>
      <c r="AT187"/>
      <c r="AU187"/>
    </row>
    <row r="188" spans="1:47" ht="15" x14ac:dyDescent="0.25">
      <c r="AP188"/>
      <c r="AQ188"/>
      <c r="AR188"/>
      <c r="AS188"/>
      <c r="AT188"/>
      <c r="AU188"/>
    </row>
    <row r="189" spans="1:47" ht="15" x14ac:dyDescent="0.25">
      <c r="AP189"/>
      <c r="AQ189"/>
      <c r="AR189"/>
      <c r="AS189"/>
      <c r="AT189"/>
      <c r="AU189"/>
    </row>
    <row r="190" spans="1:47" ht="15" x14ac:dyDescent="0.25">
      <c r="AP190"/>
      <c r="AQ190"/>
      <c r="AR190"/>
      <c r="AS190"/>
      <c r="AT190"/>
      <c r="AU190"/>
    </row>
    <row r="191" spans="1:47" ht="15" x14ac:dyDescent="0.25">
      <c r="AP191"/>
      <c r="AQ191"/>
      <c r="AR191"/>
      <c r="AS191"/>
      <c r="AT191"/>
      <c r="AU191"/>
    </row>
    <row r="192" spans="1:47" ht="15" x14ac:dyDescent="0.25">
      <c r="AP192"/>
      <c r="AQ192"/>
      <c r="AR192"/>
      <c r="AS192"/>
      <c r="AT192"/>
      <c r="AU192"/>
    </row>
    <row r="193" spans="42:47" ht="15" x14ac:dyDescent="0.25">
      <c r="AP193"/>
      <c r="AQ193"/>
      <c r="AR193"/>
      <c r="AS193"/>
      <c r="AT193"/>
      <c r="AU193"/>
    </row>
    <row r="194" spans="42:47" ht="15" x14ac:dyDescent="0.25">
      <c r="AP194"/>
      <c r="AQ194"/>
      <c r="AR194"/>
      <c r="AS194"/>
      <c r="AT194"/>
      <c r="AU194"/>
    </row>
    <row r="195" spans="42:47" ht="15" x14ac:dyDescent="0.25">
      <c r="AP195"/>
      <c r="AQ195"/>
      <c r="AR195"/>
      <c r="AS195"/>
      <c r="AT195"/>
      <c r="AU195"/>
    </row>
    <row r="196" spans="42:47" ht="15" x14ac:dyDescent="0.25">
      <c r="AP196"/>
      <c r="AQ196"/>
      <c r="AR196"/>
      <c r="AS196"/>
      <c r="AT196"/>
      <c r="AU196"/>
    </row>
    <row r="197" spans="42:47" ht="15" x14ac:dyDescent="0.25">
      <c r="AP197"/>
      <c r="AQ197"/>
      <c r="AR197"/>
      <c r="AS197"/>
      <c r="AT197"/>
      <c r="AU197"/>
    </row>
    <row r="198" spans="42:47" ht="15" x14ac:dyDescent="0.25">
      <c r="AP198"/>
      <c r="AQ198"/>
      <c r="AR198"/>
      <c r="AS198"/>
      <c r="AT198"/>
      <c r="AU198"/>
    </row>
    <row r="199" spans="42:47" ht="15" x14ac:dyDescent="0.25">
      <c r="AP199"/>
      <c r="AQ199"/>
      <c r="AR199"/>
      <c r="AS199"/>
      <c r="AT199"/>
      <c r="AU199"/>
    </row>
    <row r="200" spans="42:47" ht="15" x14ac:dyDescent="0.25">
      <c r="AP200"/>
      <c r="AQ200"/>
      <c r="AR200"/>
      <c r="AS200"/>
      <c r="AT200"/>
      <c r="AU200"/>
    </row>
    <row r="201" spans="42:47" ht="15" x14ac:dyDescent="0.25">
      <c r="AP201"/>
      <c r="AQ201"/>
      <c r="AR201"/>
      <c r="AS201"/>
      <c r="AT201"/>
      <c r="AU201"/>
    </row>
    <row r="202" spans="42:47" ht="15" x14ac:dyDescent="0.25">
      <c r="AP202"/>
      <c r="AQ202"/>
      <c r="AR202"/>
      <c r="AS202"/>
      <c r="AT202"/>
      <c r="AU202"/>
    </row>
    <row r="203" spans="42:47" ht="15" x14ac:dyDescent="0.25">
      <c r="AP203"/>
      <c r="AQ203"/>
      <c r="AR203"/>
      <c r="AS203"/>
      <c r="AT203"/>
      <c r="AU203"/>
    </row>
    <row r="204" spans="42:47" ht="15" x14ac:dyDescent="0.25">
      <c r="AP204"/>
      <c r="AQ204"/>
      <c r="AR204"/>
      <c r="AS204"/>
      <c r="AT204"/>
      <c r="AU204"/>
    </row>
    <row r="205" spans="42:47" ht="15" x14ac:dyDescent="0.25">
      <c r="AP205"/>
      <c r="AQ205"/>
      <c r="AR205"/>
      <c r="AS205"/>
      <c r="AT205"/>
      <c r="AU205"/>
    </row>
    <row r="206" spans="42:47" ht="15" x14ac:dyDescent="0.25">
      <c r="AP206"/>
      <c r="AQ206"/>
      <c r="AR206"/>
      <c r="AS206"/>
      <c r="AT206"/>
      <c r="AU206"/>
    </row>
    <row r="207" spans="42:47" ht="15" x14ac:dyDescent="0.25">
      <c r="AP207"/>
      <c r="AQ207"/>
      <c r="AR207"/>
      <c r="AS207"/>
      <c r="AT207"/>
      <c r="AU207"/>
    </row>
    <row r="208" spans="42:47" ht="15" x14ac:dyDescent="0.25">
      <c r="AP208"/>
      <c r="AQ208"/>
      <c r="AR208"/>
      <c r="AS208"/>
      <c r="AT208"/>
      <c r="AU208"/>
    </row>
    <row r="209" spans="42:47" ht="15" x14ac:dyDescent="0.25">
      <c r="AP209"/>
      <c r="AQ209"/>
      <c r="AR209"/>
      <c r="AS209"/>
      <c r="AT209"/>
      <c r="AU209"/>
    </row>
    <row r="210" spans="42:47" ht="15" x14ac:dyDescent="0.25">
      <c r="AP210"/>
      <c r="AQ210"/>
      <c r="AR210"/>
      <c r="AS210"/>
      <c r="AT210"/>
      <c r="AU210"/>
    </row>
    <row r="211" spans="42:47" ht="15" x14ac:dyDescent="0.25">
      <c r="AP211"/>
      <c r="AQ211"/>
      <c r="AR211"/>
      <c r="AS211"/>
      <c r="AT211"/>
      <c r="AU211"/>
    </row>
    <row r="212" spans="42:47" ht="15" x14ac:dyDescent="0.25">
      <c r="AP212"/>
      <c r="AQ212"/>
      <c r="AR212"/>
      <c r="AS212"/>
      <c r="AT212"/>
      <c r="AU212"/>
    </row>
    <row r="213" spans="42:47" ht="15" x14ac:dyDescent="0.25">
      <c r="AP213"/>
      <c r="AQ213"/>
      <c r="AR213"/>
      <c r="AS213"/>
      <c r="AT213"/>
      <c r="AU213"/>
    </row>
    <row r="214" spans="42:47" ht="15" x14ac:dyDescent="0.25">
      <c r="AP214"/>
      <c r="AQ214"/>
      <c r="AR214"/>
      <c r="AS214"/>
      <c r="AT214"/>
      <c r="AU214"/>
    </row>
    <row r="215" spans="42:47" ht="15" x14ac:dyDescent="0.25">
      <c r="AP215"/>
      <c r="AQ215"/>
      <c r="AR215"/>
      <c r="AS215"/>
      <c r="AT215"/>
      <c r="AU215"/>
    </row>
    <row r="216" spans="42:47" ht="15" x14ac:dyDescent="0.25">
      <c r="AP216"/>
      <c r="AQ216"/>
      <c r="AR216"/>
      <c r="AS216"/>
      <c r="AT216"/>
      <c r="AU216"/>
    </row>
    <row r="217" spans="42:47" ht="15" x14ac:dyDescent="0.25">
      <c r="AP217"/>
      <c r="AQ217"/>
      <c r="AR217"/>
      <c r="AS217"/>
      <c r="AT217"/>
      <c r="AU217"/>
    </row>
    <row r="218" spans="42:47" ht="15" x14ac:dyDescent="0.25">
      <c r="AP218"/>
      <c r="AQ218"/>
      <c r="AR218"/>
      <c r="AS218"/>
      <c r="AT218"/>
      <c r="AU218"/>
    </row>
    <row r="219" spans="42:47" ht="15" x14ac:dyDescent="0.25">
      <c r="AP219"/>
      <c r="AQ219"/>
      <c r="AR219"/>
      <c r="AS219"/>
      <c r="AT219"/>
      <c r="AU219"/>
    </row>
    <row r="220" spans="42:47" ht="15" x14ac:dyDescent="0.25">
      <c r="AP220"/>
      <c r="AQ220"/>
      <c r="AR220"/>
      <c r="AS220"/>
      <c r="AT220"/>
      <c r="AU220"/>
    </row>
    <row r="221" spans="42:47" ht="15" x14ac:dyDescent="0.25">
      <c r="AP221"/>
      <c r="AQ221"/>
      <c r="AR221"/>
      <c r="AS221"/>
      <c r="AT221"/>
      <c r="AU221"/>
    </row>
    <row r="222" spans="42:47" ht="15" x14ac:dyDescent="0.25">
      <c r="AP222"/>
      <c r="AQ222"/>
      <c r="AR222"/>
      <c r="AS222"/>
      <c r="AT222"/>
      <c r="AU222"/>
    </row>
    <row r="223" spans="42:47" ht="15" x14ac:dyDescent="0.25">
      <c r="AP223"/>
      <c r="AQ223"/>
      <c r="AR223"/>
      <c r="AS223"/>
      <c r="AT223"/>
      <c r="AU223"/>
    </row>
    <row r="224" spans="42:47" ht="15" x14ac:dyDescent="0.25">
      <c r="AP224"/>
      <c r="AQ224"/>
      <c r="AR224"/>
      <c r="AS224"/>
      <c r="AT224"/>
      <c r="AU224"/>
    </row>
    <row r="225" spans="42:47" ht="15" x14ac:dyDescent="0.25">
      <c r="AP225"/>
      <c r="AQ225"/>
      <c r="AR225"/>
      <c r="AS225"/>
      <c r="AT225"/>
      <c r="AU225"/>
    </row>
    <row r="226" spans="42:47" ht="15" x14ac:dyDescent="0.25">
      <c r="AP226"/>
      <c r="AQ226"/>
      <c r="AR226"/>
      <c r="AS226"/>
      <c r="AT226"/>
      <c r="AU226"/>
    </row>
    <row r="227" spans="42:47" ht="15" x14ac:dyDescent="0.25">
      <c r="AP227"/>
      <c r="AQ227"/>
      <c r="AR227"/>
      <c r="AS227"/>
      <c r="AT227"/>
      <c r="AU227"/>
    </row>
    <row r="228" spans="42:47" ht="15" x14ac:dyDescent="0.25">
      <c r="AP228"/>
      <c r="AQ228"/>
      <c r="AR228"/>
      <c r="AS228"/>
      <c r="AT228"/>
      <c r="AU228"/>
    </row>
    <row r="229" spans="42:47" ht="15" x14ac:dyDescent="0.25">
      <c r="AP229"/>
      <c r="AQ229"/>
      <c r="AR229"/>
      <c r="AS229"/>
      <c r="AT229"/>
      <c r="AU229"/>
    </row>
    <row r="230" spans="42:47" ht="15" x14ac:dyDescent="0.25">
      <c r="AP230"/>
      <c r="AQ230"/>
      <c r="AR230"/>
      <c r="AS230"/>
      <c r="AT230"/>
      <c r="AU230"/>
    </row>
    <row r="231" spans="42:47" ht="15" x14ac:dyDescent="0.25">
      <c r="AP231"/>
      <c r="AQ231"/>
      <c r="AR231"/>
      <c r="AS231"/>
      <c r="AT231"/>
      <c r="AU231"/>
    </row>
    <row r="232" spans="42:47" ht="15" x14ac:dyDescent="0.25">
      <c r="AP232"/>
      <c r="AQ232"/>
      <c r="AR232"/>
      <c r="AS232"/>
      <c r="AT232"/>
      <c r="AU232"/>
    </row>
    <row r="233" spans="42:47" ht="15" x14ac:dyDescent="0.25">
      <c r="AP233"/>
      <c r="AQ233"/>
      <c r="AR233"/>
      <c r="AS233"/>
      <c r="AT233"/>
      <c r="AU233"/>
    </row>
    <row r="234" spans="42:47" ht="15" x14ac:dyDescent="0.25">
      <c r="AP234"/>
      <c r="AQ234"/>
      <c r="AR234"/>
      <c r="AS234"/>
      <c r="AT234"/>
      <c r="AU234"/>
    </row>
    <row r="235" spans="42:47" ht="15" x14ac:dyDescent="0.25">
      <c r="AP235"/>
      <c r="AQ235"/>
      <c r="AR235"/>
      <c r="AS235"/>
      <c r="AT235"/>
      <c r="AU235"/>
    </row>
    <row r="236" spans="42:47" ht="15" x14ac:dyDescent="0.25">
      <c r="AP236"/>
      <c r="AQ236"/>
      <c r="AR236"/>
      <c r="AS236"/>
      <c r="AT236"/>
      <c r="AU236"/>
    </row>
    <row r="237" spans="42:47" ht="15" x14ac:dyDescent="0.25">
      <c r="AP237"/>
      <c r="AQ237"/>
      <c r="AR237"/>
      <c r="AS237"/>
      <c r="AT237"/>
      <c r="AU237"/>
    </row>
    <row r="238" spans="42:47" ht="15" x14ac:dyDescent="0.25">
      <c r="AP238"/>
      <c r="AQ238"/>
      <c r="AR238"/>
      <c r="AS238"/>
      <c r="AT238"/>
      <c r="AU238"/>
    </row>
    <row r="239" spans="42:47" ht="15" x14ac:dyDescent="0.25">
      <c r="AP239"/>
      <c r="AQ239"/>
      <c r="AR239"/>
      <c r="AS239"/>
      <c r="AT239"/>
      <c r="AU239"/>
    </row>
    <row r="240" spans="42:47" ht="15" x14ac:dyDescent="0.25">
      <c r="AP240"/>
      <c r="AQ240"/>
      <c r="AR240"/>
      <c r="AS240"/>
      <c r="AT240"/>
      <c r="AU240"/>
    </row>
    <row r="241" spans="42:47" ht="15" x14ac:dyDescent="0.25">
      <c r="AP241"/>
      <c r="AQ241"/>
      <c r="AR241"/>
      <c r="AS241"/>
      <c r="AT241"/>
      <c r="AU241"/>
    </row>
    <row r="242" spans="42:47" ht="15" x14ac:dyDescent="0.25">
      <c r="AP242"/>
      <c r="AQ242"/>
      <c r="AR242"/>
      <c r="AS242"/>
      <c r="AT242"/>
      <c r="AU242"/>
    </row>
    <row r="243" spans="42:47" ht="15" x14ac:dyDescent="0.25">
      <c r="AP243"/>
      <c r="AQ243"/>
      <c r="AR243"/>
      <c r="AS243"/>
      <c r="AT243"/>
      <c r="AU243"/>
    </row>
    <row r="244" spans="42:47" ht="15" x14ac:dyDescent="0.25">
      <c r="AP244"/>
      <c r="AQ244"/>
      <c r="AR244"/>
      <c r="AS244"/>
      <c r="AT244"/>
      <c r="AU244"/>
    </row>
    <row r="245" spans="42:47" ht="15" x14ac:dyDescent="0.25">
      <c r="AP245"/>
      <c r="AQ245"/>
      <c r="AR245"/>
      <c r="AS245"/>
      <c r="AT245"/>
      <c r="AU245"/>
    </row>
    <row r="246" spans="42:47" ht="15" x14ac:dyDescent="0.25">
      <c r="AP246"/>
      <c r="AQ246"/>
      <c r="AR246"/>
      <c r="AS246"/>
      <c r="AT246"/>
      <c r="AU246"/>
    </row>
    <row r="247" spans="42:47" ht="15" x14ac:dyDescent="0.25">
      <c r="AP247"/>
      <c r="AQ247"/>
      <c r="AR247"/>
      <c r="AS247"/>
      <c r="AT247"/>
      <c r="AU247"/>
    </row>
    <row r="248" spans="42:47" ht="15" x14ac:dyDescent="0.25">
      <c r="AP248"/>
      <c r="AQ248"/>
      <c r="AR248"/>
      <c r="AS248"/>
      <c r="AT248"/>
      <c r="AU248"/>
    </row>
    <row r="249" spans="42:47" ht="15" x14ac:dyDescent="0.25">
      <c r="AP249"/>
      <c r="AQ249"/>
      <c r="AR249"/>
      <c r="AS249"/>
      <c r="AT249"/>
      <c r="AU249"/>
    </row>
    <row r="250" spans="42:47" ht="15" x14ac:dyDescent="0.25">
      <c r="AP250"/>
      <c r="AQ250"/>
      <c r="AR250"/>
      <c r="AS250"/>
      <c r="AT250"/>
      <c r="AU250"/>
    </row>
    <row r="251" spans="42:47" ht="15" x14ac:dyDescent="0.25">
      <c r="AP251"/>
      <c r="AQ251"/>
      <c r="AR251"/>
      <c r="AS251"/>
      <c r="AT251"/>
      <c r="AU251"/>
    </row>
    <row r="252" spans="42:47" ht="15" x14ac:dyDescent="0.25">
      <c r="AP252"/>
      <c r="AQ252"/>
      <c r="AR252"/>
      <c r="AS252"/>
      <c r="AT252"/>
      <c r="AU252"/>
    </row>
    <row r="253" spans="42:47" ht="15" x14ac:dyDescent="0.25">
      <c r="AP253"/>
      <c r="AQ253"/>
      <c r="AR253"/>
      <c r="AS253"/>
      <c r="AT253"/>
      <c r="AU253"/>
    </row>
    <row r="254" spans="42:47" ht="15" x14ac:dyDescent="0.25">
      <c r="AP254"/>
      <c r="AQ254"/>
      <c r="AR254"/>
      <c r="AS254"/>
      <c r="AT254"/>
      <c r="AU254"/>
    </row>
    <row r="255" spans="42:47" ht="15" x14ac:dyDescent="0.25">
      <c r="AP255"/>
      <c r="AQ255"/>
      <c r="AR255"/>
      <c r="AS255"/>
      <c r="AT255"/>
      <c r="AU255"/>
    </row>
    <row r="256" spans="42:47" ht="15" x14ac:dyDescent="0.25">
      <c r="AP256"/>
      <c r="AQ256"/>
      <c r="AR256"/>
      <c r="AS256"/>
      <c r="AT256"/>
      <c r="AU256"/>
    </row>
    <row r="257" spans="42:47" ht="15" x14ac:dyDescent="0.25">
      <c r="AP257"/>
      <c r="AQ257"/>
      <c r="AR257"/>
      <c r="AS257"/>
      <c r="AT257"/>
      <c r="AU257"/>
    </row>
    <row r="258" spans="42:47" ht="15" x14ac:dyDescent="0.25">
      <c r="AP258"/>
      <c r="AQ258"/>
      <c r="AR258"/>
      <c r="AS258"/>
      <c r="AT258"/>
      <c r="AU258"/>
    </row>
    <row r="259" spans="42:47" ht="15" x14ac:dyDescent="0.25">
      <c r="AP259"/>
      <c r="AQ259"/>
      <c r="AR259"/>
      <c r="AS259"/>
      <c r="AT259"/>
      <c r="AU259"/>
    </row>
    <row r="260" spans="42:47" ht="15" x14ac:dyDescent="0.25">
      <c r="AP260"/>
      <c r="AQ260"/>
      <c r="AR260"/>
      <c r="AS260"/>
      <c r="AT260"/>
      <c r="AU260"/>
    </row>
    <row r="261" spans="42:47" ht="15" x14ac:dyDescent="0.25">
      <c r="AP261"/>
      <c r="AQ261"/>
      <c r="AR261"/>
      <c r="AS261"/>
      <c r="AT261"/>
      <c r="AU261"/>
    </row>
    <row r="262" spans="42:47" ht="15" x14ac:dyDescent="0.25">
      <c r="AP262"/>
      <c r="AQ262"/>
      <c r="AR262"/>
      <c r="AS262"/>
      <c r="AT262"/>
      <c r="AU262"/>
    </row>
    <row r="263" spans="42:47" ht="15" x14ac:dyDescent="0.25">
      <c r="AP263"/>
      <c r="AQ263"/>
      <c r="AR263"/>
      <c r="AS263"/>
      <c r="AT263"/>
      <c r="AU263"/>
    </row>
    <row r="264" spans="42:47" ht="15" x14ac:dyDescent="0.25">
      <c r="AP264"/>
      <c r="AQ264"/>
      <c r="AR264"/>
      <c r="AS264"/>
      <c r="AT264"/>
      <c r="AU264"/>
    </row>
    <row r="265" spans="42:47" ht="15" x14ac:dyDescent="0.25">
      <c r="AP265"/>
      <c r="AQ265"/>
      <c r="AR265"/>
      <c r="AS265"/>
      <c r="AT265"/>
      <c r="AU265"/>
    </row>
    <row r="266" spans="42:47" ht="15" x14ac:dyDescent="0.25">
      <c r="AP266"/>
      <c r="AQ266"/>
      <c r="AR266"/>
      <c r="AS266"/>
      <c r="AT266"/>
      <c r="AU266"/>
    </row>
    <row r="267" spans="42:47" ht="15" x14ac:dyDescent="0.25">
      <c r="AP267"/>
      <c r="AQ267"/>
      <c r="AR267"/>
      <c r="AS267"/>
      <c r="AT267"/>
      <c r="AU267"/>
    </row>
    <row r="268" spans="42:47" ht="15" x14ac:dyDescent="0.25">
      <c r="AP268"/>
      <c r="AQ268"/>
      <c r="AR268"/>
      <c r="AS268"/>
      <c r="AT268"/>
      <c r="AU268"/>
    </row>
    <row r="269" spans="42:47" ht="15" x14ac:dyDescent="0.25">
      <c r="AP269"/>
      <c r="AQ269"/>
      <c r="AR269"/>
      <c r="AS269"/>
      <c r="AT269"/>
      <c r="AU269"/>
    </row>
    <row r="270" spans="42:47" ht="15" x14ac:dyDescent="0.25">
      <c r="AP270"/>
      <c r="AQ270"/>
      <c r="AR270"/>
      <c r="AS270"/>
      <c r="AT270"/>
      <c r="AU270"/>
    </row>
    <row r="271" spans="42:47" ht="15" x14ac:dyDescent="0.25">
      <c r="AP271"/>
      <c r="AQ271"/>
      <c r="AR271"/>
      <c r="AS271"/>
      <c r="AT271"/>
      <c r="AU271"/>
    </row>
    <row r="272" spans="42:47" ht="15" x14ac:dyDescent="0.25">
      <c r="AP272"/>
      <c r="AQ272"/>
      <c r="AR272"/>
      <c r="AS272"/>
      <c r="AT272"/>
      <c r="AU272"/>
    </row>
    <row r="273" spans="42:47" ht="15" x14ac:dyDescent="0.25">
      <c r="AP273"/>
      <c r="AQ273"/>
      <c r="AR273"/>
      <c r="AS273"/>
      <c r="AT273"/>
      <c r="AU273"/>
    </row>
    <row r="274" spans="42:47" ht="15" x14ac:dyDescent="0.25">
      <c r="AP274"/>
      <c r="AQ274"/>
      <c r="AR274"/>
      <c r="AS274"/>
      <c r="AT274"/>
      <c r="AU274"/>
    </row>
    <row r="275" spans="42:47" ht="15" x14ac:dyDescent="0.25">
      <c r="AP275"/>
      <c r="AQ275"/>
      <c r="AR275"/>
      <c r="AS275"/>
      <c r="AT275"/>
      <c r="AU275"/>
    </row>
    <row r="276" spans="42:47" ht="15" x14ac:dyDescent="0.25">
      <c r="AP276"/>
      <c r="AQ276"/>
      <c r="AR276"/>
      <c r="AS276"/>
      <c r="AT276"/>
      <c r="AU276"/>
    </row>
    <row r="277" spans="42:47" ht="15" x14ac:dyDescent="0.25">
      <c r="AP277"/>
      <c r="AQ277"/>
      <c r="AR277"/>
      <c r="AS277"/>
      <c r="AT277"/>
      <c r="AU277"/>
    </row>
    <row r="278" spans="42:47" ht="15" x14ac:dyDescent="0.25">
      <c r="AP278"/>
      <c r="AQ278"/>
      <c r="AR278"/>
      <c r="AS278"/>
      <c r="AT278"/>
      <c r="AU278"/>
    </row>
    <row r="279" spans="42:47" ht="15" x14ac:dyDescent="0.25">
      <c r="AP279"/>
      <c r="AQ279"/>
      <c r="AR279"/>
      <c r="AS279"/>
      <c r="AT279"/>
      <c r="AU279"/>
    </row>
    <row r="280" spans="42:47" ht="15" x14ac:dyDescent="0.25">
      <c r="AP280"/>
      <c r="AQ280"/>
      <c r="AR280"/>
      <c r="AS280"/>
      <c r="AT280"/>
      <c r="AU280"/>
    </row>
    <row r="281" spans="42:47" ht="15" x14ac:dyDescent="0.25">
      <c r="AP281"/>
      <c r="AQ281"/>
      <c r="AR281"/>
      <c r="AS281"/>
      <c r="AT281"/>
      <c r="AU281"/>
    </row>
    <row r="282" spans="42:47" ht="15" x14ac:dyDescent="0.25">
      <c r="AP282"/>
      <c r="AQ282"/>
      <c r="AR282"/>
      <c r="AS282"/>
      <c r="AT282"/>
      <c r="AU282"/>
    </row>
    <row r="283" spans="42:47" ht="15" x14ac:dyDescent="0.25">
      <c r="AP283"/>
      <c r="AQ283"/>
      <c r="AR283"/>
      <c r="AS283"/>
      <c r="AT283"/>
      <c r="AU283"/>
    </row>
    <row r="284" spans="42:47" ht="15" x14ac:dyDescent="0.25">
      <c r="AP284"/>
      <c r="AQ284"/>
      <c r="AR284"/>
      <c r="AS284"/>
      <c r="AT284"/>
      <c r="AU284"/>
    </row>
    <row r="285" spans="42:47" ht="15" x14ac:dyDescent="0.25">
      <c r="AP285"/>
      <c r="AQ285"/>
      <c r="AR285"/>
      <c r="AS285"/>
      <c r="AT285"/>
      <c r="AU285"/>
    </row>
    <row r="286" spans="42:47" ht="15" x14ac:dyDescent="0.25">
      <c r="AP286"/>
      <c r="AQ286"/>
      <c r="AR286"/>
      <c r="AS286"/>
      <c r="AT286"/>
      <c r="AU286"/>
    </row>
    <row r="287" spans="42:47" ht="15" x14ac:dyDescent="0.25">
      <c r="AP287"/>
      <c r="AQ287"/>
      <c r="AR287"/>
      <c r="AS287"/>
      <c r="AT287"/>
      <c r="AU287"/>
    </row>
    <row r="288" spans="42:47" ht="15" x14ac:dyDescent="0.25">
      <c r="AP288"/>
      <c r="AQ288"/>
      <c r="AR288"/>
      <c r="AS288"/>
      <c r="AT288"/>
      <c r="AU288"/>
    </row>
    <row r="289" spans="42:47" ht="15" x14ac:dyDescent="0.25">
      <c r="AP289"/>
      <c r="AQ289"/>
      <c r="AR289"/>
      <c r="AS289"/>
      <c r="AT289"/>
      <c r="AU289"/>
    </row>
    <row r="290" spans="42:47" ht="15" x14ac:dyDescent="0.25">
      <c r="AP290"/>
      <c r="AQ290"/>
      <c r="AR290"/>
      <c r="AS290"/>
      <c r="AT290"/>
      <c r="AU290"/>
    </row>
    <row r="291" spans="42:47" ht="15" x14ac:dyDescent="0.25">
      <c r="AP291"/>
      <c r="AQ291"/>
      <c r="AR291"/>
      <c r="AS291"/>
      <c r="AT291"/>
      <c r="AU291"/>
    </row>
    <row r="292" spans="42:47" ht="15" x14ac:dyDescent="0.25">
      <c r="AP292"/>
      <c r="AQ292"/>
      <c r="AR292"/>
      <c r="AS292"/>
      <c r="AT292"/>
      <c r="AU292"/>
    </row>
    <row r="293" spans="42:47" ht="15" x14ac:dyDescent="0.25">
      <c r="AP293"/>
      <c r="AQ293"/>
      <c r="AR293"/>
      <c r="AS293"/>
      <c r="AT293"/>
      <c r="AU293"/>
    </row>
    <row r="294" spans="42:47" ht="15" x14ac:dyDescent="0.25">
      <c r="AP294"/>
      <c r="AQ294"/>
      <c r="AR294"/>
      <c r="AS294"/>
      <c r="AT294"/>
      <c r="AU294"/>
    </row>
    <row r="295" spans="42:47" ht="15" x14ac:dyDescent="0.25">
      <c r="AP295"/>
      <c r="AQ295"/>
      <c r="AR295"/>
      <c r="AS295"/>
      <c r="AT295"/>
      <c r="AU295"/>
    </row>
    <row r="296" spans="42:47" ht="15" x14ac:dyDescent="0.25">
      <c r="AP296"/>
      <c r="AQ296"/>
      <c r="AR296"/>
      <c r="AS296"/>
      <c r="AT296"/>
      <c r="AU296"/>
    </row>
    <row r="297" spans="42:47" ht="15" x14ac:dyDescent="0.25">
      <c r="AP297"/>
      <c r="AQ297"/>
      <c r="AR297"/>
      <c r="AS297"/>
      <c r="AT297"/>
      <c r="AU297"/>
    </row>
    <row r="298" spans="42:47" ht="15" x14ac:dyDescent="0.25">
      <c r="AP298"/>
      <c r="AQ298"/>
      <c r="AR298"/>
      <c r="AS298"/>
      <c r="AT298"/>
      <c r="AU298"/>
    </row>
    <row r="299" spans="42:47" ht="15" x14ac:dyDescent="0.25">
      <c r="AP299"/>
      <c r="AQ299"/>
      <c r="AR299"/>
      <c r="AS299"/>
      <c r="AT299"/>
      <c r="AU299"/>
    </row>
    <row r="300" spans="42:47" ht="15" x14ac:dyDescent="0.25">
      <c r="AP300"/>
      <c r="AQ300"/>
      <c r="AR300"/>
      <c r="AS300"/>
      <c r="AT300"/>
      <c r="AU300"/>
    </row>
    <row r="301" spans="42:47" ht="15" x14ac:dyDescent="0.25">
      <c r="AP301"/>
      <c r="AQ301"/>
      <c r="AR301"/>
      <c r="AS301"/>
      <c r="AT301"/>
      <c r="AU301"/>
    </row>
    <row r="302" spans="42:47" ht="15" x14ac:dyDescent="0.25">
      <c r="AP302"/>
      <c r="AQ302"/>
      <c r="AR302"/>
      <c r="AS302"/>
      <c r="AT302"/>
      <c r="AU302"/>
    </row>
    <row r="303" spans="42:47" ht="15" x14ac:dyDescent="0.25">
      <c r="AP303"/>
      <c r="AQ303"/>
      <c r="AR303"/>
      <c r="AS303"/>
      <c r="AT303"/>
      <c r="AU303"/>
    </row>
    <row r="304" spans="42:47" ht="15" x14ac:dyDescent="0.25">
      <c r="AP304"/>
      <c r="AQ304"/>
      <c r="AR304"/>
      <c r="AS304"/>
      <c r="AT304"/>
      <c r="AU304"/>
    </row>
    <row r="305" spans="42:47" ht="15" x14ac:dyDescent="0.25">
      <c r="AP305"/>
      <c r="AQ305"/>
      <c r="AR305"/>
      <c r="AS305"/>
      <c r="AT305"/>
      <c r="AU305"/>
    </row>
    <row r="306" spans="42:47" ht="15" x14ac:dyDescent="0.25">
      <c r="AP306"/>
      <c r="AQ306"/>
      <c r="AR306"/>
      <c r="AS306"/>
      <c r="AT306"/>
      <c r="AU306"/>
    </row>
    <row r="307" spans="42:47" ht="15" x14ac:dyDescent="0.25">
      <c r="AP307"/>
      <c r="AQ307"/>
      <c r="AR307"/>
      <c r="AS307"/>
      <c r="AT307"/>
      <c r="AU307"/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EC32C-BFAD-4213-9112-9607F5FA416A}">
  <dimension ref="A1:AL299"/>
  <sheetViews>
    <sheetView zoomScale="96" zoomScaleNormal="96" workbookViewId="0">
      <selection activeCell="P2" sqref="P2"/>
    </sheetView>
  </sheetViews>
  <sheetFormatPr defaultColWidth="9.140625" defaultRowHeight="13.5" x14ac:dyDescent="0.25"/>
  <cols>
    <col min="1" max="1" width="4.5703125" style="57" bestFit="1" customWidth="1"/>
    <col min="2" max="2" width="9.7109375" style="57" bestFit="1" customWidth="1"/>
    <col min="3" max="3" width="6.7109375" style="57" bestFit="1" customWidth="1"/>
    <col min="4" max="4" width="9.140625" style="57" customWidth="1"/>
    <col min="5" max="5" width="13" style="57" customWidth="1"/>
    <col min="6" max="7" width="5.85546875" style="57" customWidth="1"/>
    <col min="8" max="8" width="9.7109375" style="57" customWidth="1"/>
    <col min="9" max="9" width="6" style="57" bestFit="1" customWidth="1"/>
    <col min="10" max="10" width="4.85546875" style="57" bestFit="1" customWidth="1"/>
    <col min="11" max="11" width="8.7109375" style="57" bestFit="1" customWidth="1"/>
    <col min="12" max="12" width="10.42578125" style="57" customWidth="1"/>
    <col min="13" max="13" width="12.140625" style="57" bestFit="1" customWidth="1"/>
    <col min="14" max="14" width="13.85546875" style="57" bestFit="1" customWidth="1"/>
    <col min="15" max="15" width="12.42578125" style="57" bestFit="1" customWidth="1"/>
    <col min="16" max="16" width="12.140625" style="57" bestFit="1" customWidth="1"/>
    <col min="17" max="18" width="9.28515625" style="57" bestFit="1" customWidth="1"/>
    <col min="19" max="19" width="14" style="57" bestFit="1" customWidth="1"/>
    <col min="20" max="20" width="9.28515625" style="57" bestFit="1" customWidth="1"/>
    <col min="21" max="22" width="9.140625" style="57"/>
    <col min="23" max="23" width="9.28515625" style="57" bestFit="1" customWidth="1"/>
    <col min="24" max="34" width="9.140625" style="57"/>
    <col min="35" max="35" width="9.140625" style="57" customWidth="1"/>
    <col min="36" max="16384" width="9.140625" style="57"/>
  </cols>
  <sheetData>
    <row r="1" spans="1:25" ht="17.25" thickBot="1" x14ac:dyDescent="0.35">
      <c r="A1" s="61" t="s">
        <v>4</v>
      </c>
      <c r="B1" s="62" t="s">
        <v>200</v>
      </c>
      <c r="C1"/>
      <c r="D1"/>
      <c r="E1" s="54" t="s">
        <v>5</v>
      </c>
      <c r="F1" s="54" t="s">
        <v>6</v>
      </c>
      <c r="G1" s="55" t="s">
        <v>7</v>
      </c>
      <c r="H1" s="115" t="s">
        <v>8</v>
      </c>
      <c r="I1" s="212" t="s">
        <v>9</v>
      </c>
      <c r="J1" s="212" t="s">
        <v>10</v>
      </c>
      <c r="K1" s="55" t="s">
        <v>11</v>
      </c>
      <c r="L1" s="89" t="s">
        <v>201</v>
      </c>
      <c r="M1" s="89" t="s">
        <v>202</v>
      </c>
      <c r="N1" s="89" t="s">
        <v>203</v>
      </c>
      <c r="O1" s="89" t="s">
        <v>203</v>
      </c>
      <c r="P1" s="89" t="s">
        <v>204</v>
      </c>
      <c r="S1" s="93" t="s">
        <v>68</v>
      </c>
      <c r="T1" s="95" t="s">
        <v>69</v>
      </c>
      <c r="U1"/>
      <c r="V1" s="58" t="s">
        <v>23</v>
      </c>
    </row>
    <row r="2" spans="1:25" ht="17.25" thickBot="1" x14ac:dyDescent="0.35">
      <c r="A2" s="5">
        <v>1</v>
      </c>
      <c r="B2" s="72">
        <v>50</v>
      </c>
      <c r="C2"/>
      <c r="D2"/>
      <c r="E2" s="66" t="str">
        <f>F2&amp;" - "&amp;G2</f>
        <v>21 - 28</v>
      </c>
      <c r="F2" s="213">
        <f>Y4</f>
        <v>21</v>
      </c>
      <c r="G2" s="68">
        <f t="shared" ref="G2:G14" si="0">F2+$Y$3</f>
        <v>28</v>
      </c>
      <c r="H2" s="116">
        <f t="shared" ref="H2:H14" si="1">COUNTIF($B$2:$B$29, "&lt;"&amp;G2)</f>
        <v>1</v>
      </c>
      <c r="I2" s="69">
        <f>H2</f>
        <v>1</v>
      </c>
      <c r="J2" s="70">
        <f t="shared" ref="J2:J14" si="2">I2/$I$15</f>
        <v>3.5714285714285712E-2</v>
      </c>
      <c r="K2" s="71">
        <f t="shared" ref="K2:K14" si="3">H2/$I$15</f>
        <v>3.5714285714285712E-2</v>
      </c>
      <c r="L2" s="101">
        <f>POISSON(G2,$T$2,1)-POISSON(F2,$T$2,1)</f>
        <v>2.6452199417822324E-4</v>
      </c>
      <c r="M2" s="101">
        <f>SUM(L$2:L2)</f>
        <v>2.6452199417822324E-4</v>
      </c>
      <c r="N2" s="101">
        <f t="shared" ref="N2:N14" si="4">_xlfn.NORM.DIST(G2,$T$2,$T$7,1)-_xlfn.NORM.DIST(F2,$T$2,$T$7,1)</f>
        <v>4.4945920040427086E-2</v>
      </c>
      <c r="O2" s="101">
        <f>N2/$N$15</f>
        <v>4.64328589960755E-2</v>
      </c>
      <c r="P2" s="101">
        <f>SUM(O$2:O2)</f>
        <v>4.64328589960755E-2</v>
      </c>
      <c r="S2" s="214" t="s">
        <v>12</v>
      </c>
      <c r="T2" s="321">
        <f>AVERAGE($B$2:$B$29)</f>
        <v>51.392857142857146</v>
      </c>
      <c r="U2"/>
      <c r="V2" s="57" t="s">
        <v>83</v>
      </c>
      <c r="Y2" s="57">
        <f>ROUND(T6/10,0)</f>
        <v>7</v>
      </c>
    </row>
    <row r="3" spans="1:25" ht="17.25" thickBot="1" x14ac:dyDescent="0.35">
      <c r="A3" s="5">
        <v>2</v>
      </c>
      <c r="B3" s="72">
        <v>25</v>
      </c>
      <c r="C3"/>
      <c r="D3"/>
      <c r="E3" s="75" t="str">
        <f t="shared" ref="E3:E14" si="5">F3&amp;" - "&amp;G3</f>
        <v>28 - 35</v>
      </c>
      <c r="F3" s="76">
        <f>G2</f>
        <v>28</v>
      </c>
      <c r="G3" s="77">
        <f t="shared" si="0"/>
        <v>35</v>
      </c>
      <c r="H3" s="116">
        <f t="shared" si="1"/>
        <v>4</v>
      </c>
      <c r="I3" s="215">
        <f>H3-H2</f>
        <v>3</v>
      </c>
      <c r="J3" s="104">
        <f t="shared" si="2"/>
        <v>0.10714285714285714</v>
      </c>
      <c r="K3" s="80">
        <f t="shared" si="3"/>
        <v>0.14285714285714285</v>
      </c>
      <c r="L3" s="101">
        <f t="shared" ref="L2:L14" si="6">POISSON(G3,$T$2,1)-POISSON(F3,$T$2,1)</f>
        <v>9.7880306542810734E-3</v>
      </c>
      <c r="M3" s="101">
        <f>SUM(L$2:L3)</f>
        <v>1.0052552648459296E-2</v>
      </c>
      <c r="N3" s="101">
        <f t="shared" si="4"/>
        <v>8.1880206371851186E-2</v>
      </c>
      <c r="O3" s="101">
        <f t="shared" ref="O3:O14" si="7">N3/$N$15</f>
        <v>8.4589036638120674E-2</v>
      </c>
      <c r="P3" s="101">
        <f>SUM(O$2:O3)</f>
        <v>0.13102189563419617</v>
      </c>
      <c r="S3" s="110" t="s">
        <v>80</v>
      </c>
      <c r="T3" s="318">
        <f>MEDIAN(B$2:B$29)</f>
        <v>49</v>
      </c>
      <c r="U3"/>
      <c r="V3" s="57" t="s">
        <v>84</v>
      </c>
      <c r="Y3" s="57">
        <f>ROUND(Y2,-LEN(Y2)+1)</f>
        <v>7</v>
      </c>
    </row>
    <row r="4" spans="1:25" ht="17.25" thickBot="1" x14ac:dyDescent="0.35">
      <c r="A4" s="5">
        <v>3</v>
      </c>
      <c r="B4" s="72">
        <v>33</v>
      </c>
      <c r="C4"/>
      <c r="D4"/>
      <c r="E4" s="75" t="str">
        <f t="shared" si="5"/>
        <v>35 - 42</v>
      </c>
      <c r="F4" s="76">
        <f t="shared" ref="F4:F13" si="8">G3</f>
        <v>35</v>
      </c>
      <c r="G4" s="77">
        <f t="shared" si="0"/>
        <v>42</v>
      </c>
      <c r="H4" s="116">
        <f t="shared" si="1"/>
        <v>9</v>
      </c>
      <c r="I4" s="215">
        <f t="shared" ref="I4:I14" si="9">H4-H3</f>
        <v>5</v>
      </c>
      <c r="J4" s="104">
        <f t="shared" si="2"/>
        <v>0.17857142857142858</v>
      </c>
      <c r="K4" s="80">
        <f t="shared" si="3"/>
        <v>0.32142857142857145</v>
      </c>
      <c r="L4" s="101">
        <f t="shared" si="6"/>
        <v>9.4672969820577185E-2</v>
      </c>
      <c r="M4" s="101">
        <f>SUM(L$2:L4)</f>
        <v>0.10472552246903648</v>
      </c>
      <c r="N4" s="101">
        <f t="shared" si="4"/>
        <v>0.12465544466098999</v>
      </c>
      <c r="O4" s="101">
        <f t="shared" si="7"/>
        <v>0.12877940155259177</v>
      </c>
      <c r="P4" s="101">
        <f>SUM(O$2:O4)</f>
        <v>0.25980129718678791</v>
      </c>
      <c r="S4" s="216" t="s">
        <v>13</v>
      </c>
      <c r="T4" s="322">
        <f>MAX(B$2:B$29)</f>
        <v>90</v>
      </c>
      <c r="U4"/>
      <c r="V4" s="57" t="s">
        <v>85</v>
      </c>
      <c r="Y4" s="57">
        <f>Y3*INT(T5/Y3)</f>
        <v>21</v>
      </c>
    </row>
    <row r="5" spans="1:25" ht="17.25" thickBot="1" x14ac:dyDescent="0.35">
      <c r="A5" s="5">
        <v>4</v>
      </c>
      <c r="B5" s="72">
        <v>72</v>
      </c>
      <c r="C5"/>
      <c r="D5"/>
      <c r="E5" s="75" t="str">
        <f t="shared" si="5"/>
        <v>42 - 49</v>
      </c>
      <c r="F5" s="76">
        <f t="shared" si="8"/>
        <v>42</v>
      </c>
      <c r="G5" s="77">
        <f t="shared" si="0"/>
        <v>49</v>
      </c>
      <c r="H5" s="116">
        <f t="shared" si="1"/>
        <v>14</v>
      </c>
      <c r="I5" s="215">
        <f t="shared" si="9"/>
        <v>5</v>
      </c>
      <c r="J5" s="104">
        <f t="shared" si="2"/>
        <v>0.17857142857142858</v>
      </c>
      <c r="K5" s="80">
        <f t="shared" si="3"/>
        <v>0.5</v>
      </c>
      <c r="L5" s="101">
        <f t="shared" si="6"/>
        <v>0.29957239696939675</v>
      </c>
      <c r="M5" s="101">
        <f>SUM(L$2:L5)</f>
        <v>0.40429791943843324</v>
      </c>
      <c r="N5" s="101">
        <f t="shared" si="4"/>
        <v>0.15859747922570577</v>
      </c>
      <c r="O5" s="101">
        <f t="shared" si="7"/>
        <v>0.16384433522322964</v>
      </c>
      <c r="P5" s="101">
        <f>SUM(O$2:O5)</f>
        <v>0.42364563241001751</v>
      </c>
      <c r="S5" s="216" t="s">
        <v>14</v>
      </c>
      <c r="T5" s="322">
        <f>MIN(B$2:B$29)</f>
        <v>25</v>
      </c>
      <c r="U5"/>
      <c r="V5" s="57" t="s">
        <v>82</v>
      </c>
      <c r="Y5" s="57">
        <f>ROUNDUP(T4/Y3,0)</f>
        <v>13</v>
      </c>
    </row>
    <row r="6" spans="1:25" ht="17.25" thickBot="1" x14ac:dyDescent="0.35">
      <c r="A6" s="5">
        <v>5</v>
      </c>
      <c r="B6" s="72">
        <v>67</v>
      </c>
      <c r="C6"/>
      <c r="D6"/>
      <c r="E6" s="75" t="str">
        <f t="shared" si="5"/>
        <v>49 - 56</v>
      </c>
      <c r="F6" s="76">
        <f t="shared" si="8"/>
        <v>49</v>
      </c>
      <c r="G6" s="77">
        <f t="shared" si="0"/>
        <v>56</v>
      </c>
      <c r="H6" s="116">
        <f t="shared" si="1"/>
        <v>18</v>
      </c>
      <c r="I6" s="215">
        <f t="shared" si="9"/>
        <v>4</v>
      </c>
      <c r="J6" s="104">
        <f t="shared" si="2"/>
        <v>0.14285714285714285</v>
      </c>
      <c r="K6" s="80">
        <f t="shared" si="3"/>
        <v>0.6428571428571429</v>
      </c>
      <c r="L6" s="101">
        <f t="shared" si="6"/>
        <v>0.36116651115701282</v>
      </c>
      <c r="M6" s="101">
        <f>SUM(L$2:L6)</f>
        <v>0.76546443059544611</v>
      </c>
      <c r="N6" s="101">
        <f t="shared" si="4"/>
        <v>0.1686317081221278</v>
      </c>
      <c r="O6" s="101">
        <f t="shared" si="7"/>
        <v>0.17421052496999276</v>
      </c>
      <c r="P6" s="101">
        <f>SUM(O$2:O6)</f>
        <v>0.5978561573800103</v>
      </c>
      <c r="S6" s="216" t="s">
        <v>5</v>
      </c>
      <c r="T6" s="322">
        <f>T4-T5</f>
        <v>65</v>
      </c>
      <c r="U6"/>
      <c r="V6" s="57" t="s">
        <v>86</v>
      </c>
      <c r="Y6" s="57">
        <f>Y5*Y3</f>
        <v>91</v>
      </c>
    </row>
    <row r="7" spans="1:25" ht="17.25" thickBot="1" x14ac:dyDescent="0.35">
      <c r="A7" s="5">
        <v>6</v>
      </c>
      <c r="B7" s="72">
        <v>35</v>
      </c>
      <c r="C7"/>
      <c r="D7"/>
      <c r="E7" s="75" t="str">
        <f t="shared" si="5"/>
        <v>56 - 63</v>
      </c>
      <c r="F7" s="76">
        <f t="shared" si="8"/>
        <v>56</v>
      </c>
      <c r="G7" s="77">
        <f t="shared" si="0"/>
        <v>63</v>
      </c>
      <c r="H7" s="116">
        <f t="shared" si="1"/>
        <v>21</v>
      </c>
      <c r="I7" s="215">
        <f t="shared" si="9"/>
        <v>3</v>
      </c>
      <c r="J7" s="104">
        <f t="shared" si="2"/>
        <v>0.10714285714285714</v>
      </c>
      <c r="K7" s="80">
        <f t="shared" si="3"/>
        <v>0.75</v>
      </c>
      <c r="L7" s="101">
        <f t="shared" si="6"/>
        <v>0.18514118188091522</v>
      </c>
      <c r="M7" s="101">
        <f>SUM(L$2:L7)</f>
        <v>0.95060561247636133</v>
      </c>
      <c r="N7" s="101">
        <f t="shared" si="4"/>
        <v>0.14984472741980437</v>
      </c>
      <c r="O7" s="101">
        <f t="shared" si="7"/>
        <v>0.15480201747635716</v>
      </c>
      <c r="P7" s="101">
        <f>SUM(O$2:O7)</f>
        <v>0.75265817485636743</v>
      </c>
      <c r="S7" s="216" t="s">
        <v>15</v>
      </c>
      <c r="T7" s="322">
        <f>_xlfn.STDEV.S(B$2:B$29)</f>
        <v>16.398598146305705</v>
      </c>
      <c r="U7"/>
      <c r="V7" s="57" t="s">
        <v>87</v>
      </c>
      <c r="Y7" s="57">
        <v>4</v>
      </c>
    </row>
    <row r="8" spans="1:25" ht="17.25" thickBot="1" x14ac:dyDescent="0.35">
      <c r="A8" s="5">
        <v>7</v>
      </c>
      <c r="B8" s="72">
        <v>42</v>
      </c>
      <c r="C8"/>
      <c r="D8"/>
      <c r="E8" s="75" t="str">
        <f t="shared" si="5"/>
        <v>63 - 70</v>
      </c>
      <c r="F8" s="76">
        <f t="shared" si="8"/>
        <v>63</v>
      </c>
      <c r="G8" s="77">
        <f t="shared" si="0"/>
        <v>70</v>
      </c>
      <c r="H8" s="116">
        <f t="shared" si="1"/>
        <v>24</v>
      </c>
      <c r="I8" s="215">
        <f t="shared" si="9"/>
        <v>3</v>
      </c>
      <c r="J8" s="104">
        <f t="shared" si="2"/>
        <v>0.10714285714285714</v>
      </c>
      <c r="K8" s="80">
        <f t="shared" si="3"/>
        <v>0.8571428571428571</v>
      </c>
      <c r="L8" s="101">
        <f t="shared" si="6"/>
        <v>4.3905507794962273E-2</v>
      </c>
      <c r="M8" s="101">
        <f>SUM(L$2:L8)</f>
        <v>0.9945111202713236</v>
      </c>
      <c r="N8" s="101">
        <f t="shared" si="4"/>
        <v>0.11127571368707556</v>
      </c>
      <c r="O8" s="101">
        <f t="shared" si="7"/>
        <v>0.11495703099796981</v>
      </c>
      <c r="P8" s="101">
        <f>SUM(O$2:O8)</f>
        <v>0.86761520585433727</v>
      </c>
      <c r="S8" s="216" t="s">
        <v>16</v>
      </c>
      <c r="T8" s="322">
        <f>T7/T2</f>
        <v>0.3190832161894091</v>
      </c>
      <c r="U8"/>
    </row>
    <row r="9" spans="1:25" ht="17.25" thickBot="1" x14ac:dyDescent="0.35">
      <c r="A9" s="5">
        <v>8</v>
      </c>
      <c r="B9" s="72">
        <v>44</v>
      </c>
      <c r="C9"/>
      <c r="D9"/>
      <c r="E9" s="75" t="str">
        <f t="shared" si="5"/>
        <v>70 - 77</v>
      </c>
      <c r="F9" s="76">
        <f t="shared" si="8"/>
        <v>70</v>
      </c>
      <c r="G9" s="77">
        <f t="shared" si="0"/>
        <v>77</v>
      </c>
      <c r="H9" s="116">
        <f t="shared" si="1"/>
        <v>26</v>
      </c>
      <c r="I9" s="215">
        <f t="shared" si="9"/>
        <v>2</v>
      </c>
      <c r="J9" s="104">
        <f t="shared" si="2"/>
        <v>7.1428571428571425E-2</v>
      </c>
      <c r="K9" s="80">
        <f t="shared" si="3"/>
        <v>0.9285714285714286</v>
      </c>
      <c r="L9" s="101">
        <f t="shared" si="6"/>
        <v>5.1584163970143093E-3</v>
      </c>
      <c r="M9" s="101">
        <f>SUM(L$2:L9)</f>
        <v>0.99966953666833791</v>
      </c>
      <c r="N9" s="101">
        <f t="shared" si="4"/>
        <v>6.9057295119646089E-2</v>
      </c>
      <c r="O9" s="101">
        <f t="shared" si="7"/>
        <v>7.1341906986368386E-2</v>
      </c>
      <c r="P9" s="101">
        <f>SUM(O$2:O9)</f>
        <v>0.93895711284070571</v>
      </c>
      <c r="S9" s="110" t="s">
        <v>81</v>
      </c>
      <c r="T9" s="318">
        <f>T2/T3</f>
        <v>1.0488338192419826</v>
      </c>
      <c r="U9"/>
      <c r="V9"/>
      <c r="W9"/>
    </row>
    <row r="10" spans="1:25" ht="17.25" thickBot="1" x14ac:dyDescent="0.35">
      <c r="A10" s="5">
        <v>9</v>
      </c>
      <c r="B10" s="72">
        <v>51</v>
      </c>
      <c r="C10"/>
      <c r="D10"/>
      <c r="E10" s="75" t="str">
        <f t="shared" si="5"/>
        <v>77 - 84</v>
      </c>
      <c r="F10" s="76">
        <f t="shared" si="8"/>
        <v>77</v>
      </c>
      <c r="G10" s="77">
        <f t="shared" si="0"/>
        <v>84</v>
      </c>
      <c r="H10" s="116">
        <f t="shared" si="1"/>
        <v>27</v>
      </c>
      <c r="I10" s="215">
        <f t="shared" si="9"/>
        <v>1</v>
      </c>
      <c r="J10" s="104">
        <f t="shared" si="2"/>
        <v>3.5714285714285712E-2</v>
      </c>
      <c r="K10" s="80">
        <f t="shared" si="3"/>
        <v>0.9642857142857143</v>
      </c>
      <c r="L10" s="101">
        <f t="shared" si="6"/>
        <v>3.1810866270798321E-4</v>
      </c>
      <c r="M10" s="101">
        <f>SUM(L$2:L10)</f>
        <v>0.99998764533104589</v>
      </c>
      <c r="N10" s="101">
        <f t="shared" si="4"/>
        <v>3.5814490626567164E-2</v>
      </c>
      <c r="O10" s="101">
        <f t="shared" si="7"/>
        <v>3.6999335908217822E-2</v>
      </c>
      <c r="P10" s="101">
        <f>SUM(O$2:O10)</f>
        <v>0.97595644874892351</v>
      </c>
      <c r="S10" s="217" t="s">
        <v>72</v>
      </c>
      <c r="T10" s="323">
        <f>T6/T2</f>
        <v>1.2647671994440584</v>
      </c>
      <c r="U10"/>
      <c r="V10"/>
      <c r="W10"/>
    </row>
    <row r="11" spans="1:25" ht="17.25" thickBot="1" x14ac:dyDescent="0.35">
      <c r="A11" s="5">
        <v>10</v>
      </c>
      <c r="B11" s="72">
        <v>39</v>
      </c>
      <c r="C11"/>
      <c r="D11"/>
      <c r="E11" s="75" t="str">
        <f t="shared" si="5"/>
        <v>84 - 91</v>
      </c>
      <c r="F11" s="76">
        <f t="shared" si="8"/>
        <v>84</v>
      </c>
      <c r="G11" s="77">
        <f t="shared" si="0"/>
        <v>91</v>
      </c>
      <c r="H11" s="116">
        <f t="shared" si="1"/>
        <v>28</v>
      </c>
      <c r="I11" s="215">
        <f t="shared" si="9"/>
        <v>1</v>
      </c>
      <c r="J11" s="104">
        <f t="shared" si="2"/>
        <v>3.5714285714285712E-2</v>
      </c>
      <c r="K11" s="80">
        <f t="shared" si="3"/>
        <v>1</v>
      </c>
      <c r="L11" s="101">
        <f t="shared" si="6"/>
        <v>1.0821135845384688E-5</v>
      </c>
      <c r="M11" s="101">
        <f>SUM(L$2:L11)</f>
        <v>0.99999846646689128</v>
      </c>
      <c r="N11" s="101">
        <f t="shared" si="4"/>
        <v>1.5521518467200623E-2</v>
      </c>
      <c r="O11" s="101">
        <f t="shared" si="7"/>
        <v>1.6035014473933556E-2</v>
      </c>
      <c r="P11" s="101">
        <f>SUM(O$2:O11)</f>
        <v>0.99199146322285703</v>
      </c>
      <c r="U11"/>
      <c r="V11"/>
      <c r="W11"/>
    </row>
    <row r="12" spans="1:25" ht="17.25" thickBot="1" x14ac:dyDescent="0.35">
      <c r="A12" s="5">
        <v>11</v>
      </c>
      <c r="B12" s="72">
        <v>46</v>
      </c>
      <c r="C12"/>
      <c r="D12"/>
      <c r="E12" s="75" t="str">
        <f t="shared" si="5"/>
        <v>91 - 98</v>
      </c>
      <c r="F12" s="76">
        <f t="shared" si="8"/>
        <v>91</v>
      </c>
      <c r="G12" s="77">
        <f t="shared" si="0"/>
        <v>98</v>
      </c>
      <c r="H12" s="116">
        <f t="shared" si="1"/>
        <v>28</v>
      </c>
      <c r="I12" s="215">
        <f t="shared" si="9"/>
        <v>0</v>
      </c>
      <c r="J12" s="104">
        <f t="shared" si="2"/>
        <v>0</v>
      </c>
      <c r="K12" s="80">
        <f t="shared" si="3"/>
        <v>1</v>
      </c>
      <c r="L12" s="101">
        <f t="shared" si="6"/>
        <v>2.1202410649401315E-7</v>
      </c>
      <c r="M12" s="101">
        <f>SUM(L$2:L12)</f>
        <v>0.99999867849099777</v>
      </c>
      <c r="N12" s="101">
        <f t="shared" si="4"/>
        <v>5.6210650202784818E-3</v>
      </c>
      <c r="O12" s="101">
        <f t="shared" si="7"/>
        <v>5.8070258492784639E-3</v>
      </c>
      <c r="P12" s="101">
        <f>SUM(O$2:O12)</f>
        <v>0.99779848907213553</v>
      </c>
    </row>
    <row r="13" spans="1:25" ht="17.25" thickBot="1" x14ac:dyDescent="0.35">
      <c r="A13" s="5">
        <v>12</v>
      </c>
      <c r="B13" s="72">
        <v>41</v>
      </c>
      <c r="C13"/>
      <c r="D13"/>
      <c r="E13" s="75" t="str">
        <f t="shared" si="5"/>
        <v>98 - 105</v>
      </c>
      <c r="F13" s="76">
        <f t="shared" si="8"/>
        <v>98</v>
      </c>
      <c r="G13" s="77">
        <f t="shared" si="0"/>
        <v>105</v>
      </c>
      <c r="H13" s="116">
        <f t="shared" si="1"/>
        <v>28</v>
      </c>
      <c r="I13" s="215">
        <f t="shared" si="9"/>
        <v>0</v>
      </c>
      <c r="J13" s="104">
        <f t="shared" si="2"/>
        <v>0</v>
      </c>
      <c r="K13" s="80">
        <f t="shared" si="3"/>
        <v>1</v>
      </c>
      <c r="L13" s="101">
        <f t="shared" si="6"/>
        <v>2.4852652158458E-9</v>
      </c>
      <c r="M13" s="101">
        <f>SUM(L$2:L13)</f>
        <v>0.99999868097626299</v>
      </c>
      <c r="N13" s="101">
        <f t="shared" si="4"/>
        <v>1.7009501809579497E-3</v>
      </c>
      <c r="O13" s="101">
        <f t="shared" si="7"/>
        <v>1.7572224540231952E-3</v>
      </c>
      <c r="P13" s="101">
        <f>SUM(O$2:O13)</f>
        <v>0.99955571152615874</v>
      </c>
    </row>
    <row r="14" spans="1:25" ht="17.25" thickBot="1" x14ac:dyDescent="0.35">
      <c r="A14" s="5">
        <v>13</v>
      </c>
      <c r="B14" s="72">
        <v>69</v>
      </c>
      <c r="C14"/>
      <c r="D14"/>
      <c r="E14" s="82" t="str">
        <f t="shared" si="5"/>
        <v>105 - 112</v>
      </c>
      <c r="F14" s="83">
        <f>G13</f>
        <v>105</v>
      </c>
      <c r="G14" s="84">
        <f t="shared" si="0"/>
        <v>112</v>
      </c>
      <c r="H14" s="117">
        <f t="shared" si="1"/>
        <v>28</v>
      </c>
      <c r="I14" s="85">
        <f t="shared" si="9"/>
        <v>0</v>
      </c>
      <c r="J14" s="86">
        <f t="shared" si="2"/>
        <v>0</v>
      </c>
      <c r="K14" s="87">
        <f t="shared" si="3"/>
        <v>1</v>
      </c>
      <c r="L14" s="101">
        <f t="shared" si="6"/>
        <v>1.8019696845783528E-11</v>
      </c>
      <c r="M14" s="101">
        <f>SUM(L$2:L14)</f>
        <v>0.99999868099428268</v>
      </c>
      <c r="N14" s="101">
        <f t="shared" si="4"/>
        <v>4.3006083734453693E-4</v>
      </c>
      <c r="O14" s="101">
        <f t="shared" si="7"/>
        <v>4.4428847384126872E-4</v>
      </c>
      <c r="P14" s="101">
        <f>SUM(O$2:O14)</f>
        <v>1</v>
      </c>
    </row>
    <row r="15" spans="1:25" ht="16.5" x14ac:dyDescent="0.3">
      <c r="A15" s="5">
        <v>14</v>
      </c>
      <c r="B15" s="72">
        <v>28</v>
      </c>
      <c r="C15"/>
      <c r="D15"/>
      <c r="E15" s="89"/>
      <c r="F15" s="215"/>
      <c r="G15" s="215"/>
      <c r="H15" s="215"/>
      <c r="I15" s="215">
        <f>SUM(I2:I14)</f>
        <v>28</v>
      </c>
      <c r="J15" s="104">
        <f>SUM(J2:J14)</f>
        <v>0.99999999999999978</v>
      </c>
      <c r="K15" s="104"/>
      <c r="L15" s="124">
        <f>SUM(L2:L14)</f>
        <v>0.99999868099428268</v>
      </c>
      <c r="M15" s="89"/>
      <c r="N15" s="124">
        <f>SUM(N2:N14)</f>
        <v>0.96797657977997664</v>
      </c>
      <c r="O15" s="124">
        <f>SUM(O2:O14)</f>
        <v>1</v>
      </c>
      <c r="P15" s="89"/>
    </row>
    <row r="16" spans="1:25" ht="16.5" x14ac:dyDescent="0.3">
      <c r="A16" s="5">
        <v>15</v>
      </c>
      <c r="B16" s="72">
        <v>82</v>
      </c>
      <c r="C16"/>
      <c r="D16"/>
    </row>
    <row r="17" spans="1:10" ht="16.5" x14ac:dyDescent="0.3">
      <c r="A17" s="5">
        <v>16</v>
      </c>
      <c r="B17" s="72">
        <v>65</v>
      </c>
      <c r="C17"/>
      <c r="D17"/>
      <c r="I17" s="89"/>
      <c r="J17" s="89"/>
    </row>
    <row r="18" spans="1:10" ht="16.5" x14ac:dyDescent="0.3">
      <c r="A18" s="5">
        <v>17</v>
      </c>
      <c r="B18" s="72">
        <v>47</v>
      </c>
      <c r="C18"/>
      <c r="D18"/>
    </row>
    <row r="19" spans="1:10" ht="16.5" x14ac:dyDescent="0.3">
      <c r="A19" s="5">
        <v>18</v>
      </c>
      <c r="B19" s="72">
        <v>53</v>
      </c>
      <c r="C19"/>
      <c r="D19"/>
    </row>
    <row r="20" spans="1:10" ht="16.5" x14ac:dyDescent="0.3">
      <c r="A20" s="5">
        <v>19</v>
      </c>
      <c r="B20" s="72">
        <v>90</v>
      </c>
      <c r="C20"/>
      <c r="D20"/>
    </row>
    <row r="21" spans="1:10" ht="16.5" x14ac:dyDescent="0.3">
      <c r="A21" s="5">
        <v>20</v>
      </c>
      <c r="B21" s="72">
        <v>56</v>
      </c>
      <c r="C21"/>
      <c r="D21"/>
    </row>
    <row r="22" spans="1:10" ht="16.5" x14ac:dyDescent="0.3">
      <c r="A22" s="5">
        <v>21</v>
      </c>
      <c r="B22" s="72">
        <v>51</v>
      </c>
      <c r="C22"/>
      <c r="D22"/>
    </row>
    <row r="23" spans="1:10" ht="16.5" x14ac:dyDescent="0.3">
      <c r="A23" s="5">
        <v>22</v>
      </c>
      <c r="B23" s="72">
        <v>40</v>
      </c>
      <c r="C23"/>
      <c r="D23"/>
    </row>
    <row r="24" spans="1:10" ht="16.5" x14ac:dyDescent="0.3">
      <c r="A24" s="5">
        <v>23</v>
      </c>
      <c r="B24" s="72">
        <v>61</v>
      </c>
      <c r="C24"/>
      <c r="D24"/>
    </row>
    <row r="25" spans="1:10" ht="16.5" x14ac:dyDescent="0.3">
      <c r="A25" s="5">
        <v>24</v>
      </c>
      <c r="B25" s="72">
        <v>72</v>
      </c>
      <c r="C25"/>
      <c r="D25"/>
    </row>
    <row r="26" spans="1:10" ht="16.5" x14ac:dyDescent="0.3">
      <c r="A26" s="5">
        <v>25</v>
      </c>
      <c r="B26" s="72">
        <v>39</v>
      </c>
      <c r="C26"/>
      <c r="D26"/>
    </row>
    <row r="27" spans="1:10" ht="16.5" x14ac:dyDescent="0.3">
      <c r="A27" s="5">
        <v>26</v>
      </c>
      <c r="B27" s="72">
        <v>31</v>
      </c>
      <c r="C27"/>
      <c r="D27"/>
    </row>
    <row r="28" spans="1:10" ht="16.5" x14ac:dyDescent="0.3">
      <c r="A28" s="5">
        <v>27</v>
      </c>
      <c r="B28" s="72">
        <v>62</v>
      </c>
      <c r="C28"/>
      <c r="D28"/>
    </row>
    <row r="29" spans="1:10" ht="16.5" x14ac:dyDescent="0.3">
      <c r="A29" s="5">
        <v>28</v>
      </c>
      <c r="B29" s="72">
        <v>48</v>
      </c>
      <c r="C29"/>
      <c r="D29"/>
    </row>
    <row r="30" spans="1:10" ht="15" x14ac:dyDescent="0.25">
      <c r="C30"/>
      <c r="D30"/>
    </row>
    <row r="31" spans="1:10" ht="15" x14ac:dyDescent="0.25">
      <c r="A31"/>
      <c r="B31"/>
      <c r="C31"/>
      <c r="D31"/>
    </row>
    <row r="32" spans="1:10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6.5" x14ac:dyDescent="0.3">
      <c r="A35"/>
      <c r="B35"/>
      <c r="C35"/>
      <c r="D35" s="41"/>
    </row>
    <row r="36" spans="1:4" ht="16.5" x14ac:dyDescent="0.3">
      <c r="A36"/>
      <c r="B36"/>
      <c r="C36"/>
      <c r="D36" s="41"/>
    </row>
    <row r="37" spans="1:4" ht="16.5" x14ac:dyDescent="0.3">
      <c r="A37"/>
      <c r="B37"/>
      <c r="C37"/>
      <c r="D37" s="41"/>
    </row>
    <row r="38" spans="1:4" ht="16.5" x14ac:dyDescent="0.3">
      <c r="A38"/>
      <c r="B38"/>
      <c r="C38"/>
      <c r="D38" s="41"/>
    </row>
    <row r="39" spans="1:4" ht="16.5" x14ac:dyDescent="0.3">
      <c r="A39"/>
      <c r="B39"/>
      <c r="C39"/>
      <c r="D39" s="41"/>
    </row>
    <row r="40" spans="1:4" ht="16.5" x14ac:dyDescent="0.3">
      <c r="A40"/>
      <c r="B40"/>
      <c r="C40"/>
      <c r="D40" s="41"/>
    </row>
    <row r="41" spans="1:4" ht="16.5" x14ac:dyDescent="0.3">
      <c r="A41"/>
      <c r="B41"/>
      <c r="C41"/>
      <c r="D41" s="41"/>
    </row>
    <row r="42" spans="1:4" ht="16.5" x14ac:dyDescent="0.3">
      <c r="A42"/>
      <c r="B42"/>
      <c r="C42"/>
      <c r="D42" s="41"/>
    </row>
    <row r="43" spans="1:4" ht="16.5" x14ac:dyDescent="0.3">
      <c r="A43"/>
      <c r="B43"/>
      <c r="C43"/>
      <c r="D43" s="41"/>
    </row>
    <row r="44" spans="1:4" ht="16.5" x14ac:dyDescent="0.3">
      <c r="A44"/>
      <c r="B44"/>
      <c r="C44"/>
      <c r="D44" s="41"/>
    </row>
    <row r="45" spans="1:4" ht="16.5" x14ac:dyDescent="0.3">
      <c r="A45"/>
      <c r="B45"/>
      <c r="C45"/>
      <c r="D45" s="41"/>
    </row>
    <row r="46" spans="1:4" ht="16.5" x14ac:dyDescent="0.3">
      <c r="A46"/>
      <c r="B46"/>
      <c r="C46"/>
      <c r="D46" s="41"/>
    </row>
    <row r="47" spans="1:4" ht="16.5" x14ac:dyDescent="0.3">
      <c r="A47"/>
      <c r="B47"/>
      <c r="C47"/>
      <c r="D47" s="41"/>
    </row>
    <row r="48" spans="1:4" ht="16.5" x14ac:dyDescent="0.3">
      <c r="A48"/>
      <c r="B48"/>
      <c r="C48"/>
      <c r="D48" s="41"/>
    </row>
    <row r="49" spans="1:4" ht="16.5" x14ac:dyDescent="0.3">
      <c r="A49"/>
      <c r="B49"/>
      <c r="C49"/>
      <c r="D49" s="41"/>
    </row>
    <row r="50" spans="1:4" ht="16.5" x14ac:dyDescent="0.3">
      <c r="A50"/>
      <c r="B50"/>
      <c r="C50"/>
      <c r="D50" s="41"/>
    </row>
    <row r="51" spans="1:4" ht="16.5" x14ac:dyDescent="0.3">
      <c r="A51"/>
      <c r="B51"/>
      <c r="C51"/>
      <c r="D51" s="41"/>
    </row>
    <row r="52" spans="1:4" ht="16.5" x14ac:dyDescent="0.3">
      <c r="A52"/>
      <c r="B52"/>
      <c r="C52"/>
      <c r="D52" s="41"/>
    </row>
    <row r="53" spans="1:4" ht="16.5" x14ac:dyDescent="0.3">
      <c r="A53"/>
      <c r="B53"/>
      <c r="C53"/>
      <c r="D53" s="41"/>
    </row>
    <row r="54" spans="1:4" ht="16.5" x14ac:dyDescent="0.3">
      <c r="A54"/>
      <c r="B54"/>
      <c r="C54"/>
      <c r="D54" s="41"/>
    </row>
    <row r="55" spans="1:4" ht="16.5" x14ac:dyDescent="0.3">
      <c r="A55"/>
      <c r="B55"/>
      <c r="C55"/>
      <c r="D55" s="41"/>
    </row>
    <row r="56" spans="1:4" ht="16.5" x14ac:dyDescent="0.3">
      <c r="A56"/>
      <c r="B56"/>
      <c r="C56"/>
      <c r="D56" s="41"/>
    </row>
    <row r="57" spans="1:4" ht="16.5" x14ac:dyDescent="0.3">
      <c r="A57"/>
      <c r="B57"/>
      <c r="C57"/>
      <c r="D57" s="41"/>
    </row>
    <row r="58" spans="1:4" ht="16.5" x14ac:dyDescent="0.3">
      <c r="A58"/>
      <c r="B58"/>
      <c r="C58"/>
      <c r="D58" s="41"/>
    </row>
    <row r="59" spans="1:4" ht="16.5" x14ac:dyDescent="0.3">
      <c r="A59"/>
      <c r="B59"/>
      <c r="C59"/>
      <c r="D59" s="41"/>
    </row>
    <row r="60" spans="1:4" ht="16.5" x14ac:dyDescent="0.3">
      <c r="A60"/>
      <c r="B60"/>
      <c r="C60"/>
      <c r="D60" s="41"/>
    </row>
    <row r="61" spans="1:4" ht="16.5" x14ac:dyDescent="0.3">
      <c r="A61"/>
      <c r="B61"/>
      <c r="C61"/>
      <c r="D61" s="41"/>
    </row>
    <row r="62" spans="1:4" ht="16.5" x14ac:dyDescent="0.3">
      <c r="A62"/>
      <c r="B62"/>
      <c r="C62"/>
      <c r="D62" s="41"/>
    </row>
    <row r="63" spans="1:4" ht="15" x14ac:dyDescent="0.25">
      <c r="A63"/>
      <c r="B63"/>
      <c r="C63"/>
    </row>
    <row r="64" spans="1:4" ht="15" x14ac:dyDescent="0.25">
      <c r="A64"/>
      <c r="B64"/>
      <c r="C64"/>
    </row>
    <row r="65" spans="1:38" ht="15" x14ac:dyDescent="0.25">
      <c r="A65"/>
      <c r="B65"/>
      <c r="C65"/>
    </row>
    <row r="66" spans="1:38" ht="15" x14ac:dyDescent="0.25">
      <c r="A66"/>
      <c r="B66"/>
      <c r="C66"/>
    </row>
    <row r="67" spans="1:38" ht="15" x14ac:dyDescent="0.25">
      <c r="A67"/>
      <c r="B67"/>
      <c r="C67"/>
    </row>
    <row r="68" spans="1:38" ht="15" x14ac:dyDescent="0.25">
      <c r="A68"/>
      <c r="B68"/>
      <c r="C68"/>
    </row>
    <row r="69" spans="1:38" ht="15" x14ac:dyDescent="0.25">
      <c r="A69"/>
      <c r="B69"/>
      <c r="C69"/>
    </row>
    <row r="70" spans="1:38" ht="15" x14ac:dyDescent="0.25">
      <c r="A70"/>
      <c r="B70"/>
      <c r="C70"/>
    </row>
    <row r="71" spans="1:38" ht="15" x14ac:dyDescent="0.25">
      <c r="A71"/>
      <c r="B71"/>
      <c r="C71"/>
    </row>
    <row r="72" spans="1:38" ht="15" x14ac:dyDescent="0.25">
      <c r="A72"/>
      <c r="B72"/>
      <c r="C72"/>
    </row>
    <row r="73" spans="1:38" ht="15" x14ac:dyDescent="0.25">
      <c r="A73"/>
      <c r="B73"/>
      <c r="C73"/>
    </row>
    <row r="74" spans="1:38" ht="15" x14ac:dyDescent="0.25">
      <c r="A74"/>
      <c r="B74"/>
      <c r="C74"/>
    </row>
    <row r="75" spans="1:38" ht="15" x14ac:dyDescent="0.25">
      <c r="A75"/>
      <c r="B75"/>
      <c r="C75"/>
    </row>
    <row r="76" spans="1:38" ht="15" x14ac:dyDescent="0.25">
      <c r="A76"/>
      <c r="B76"/>
      <c r="C76"/>
    </row>
    <row r="77" spans="1:38" ht="15" x14ac:dyDescent="0.25">
      <c r="A77"/>
      <c r="B77"/>
      <c r="C77"/>
    </row>
    <row r="78" spans="1:38" ht="16.5" x14ac:dyDescent="0.3">
      <c r="A78"/>
      <c r="B78"/>
      <c r="C78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</row>
    <row r="79" spans="1:38" ht="16.5" x14ac:dyDescent="0.3">
      <c r="A79"/>
      <c r="B79"/>
      <c r="C79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</row>
    <row r="80" spans="1:38" ht="16.5" x14ac:dyDescent="0.3">
      <c r="A80"/>
      <c r="B80"/>
      <c r="C80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</row>
    <row r="81" spans="1:38" ht="16.5" x14ac:dyDescent="0.3">
      <c r="A81"/>
      <c r="B81"/>
      <c r="C8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</row>
    <row r="82" spans="1:38" ht="16.5" x14ac:dyDescent="0.3">
      <c r="A82"/>
      <c r="B82"/>
      <c r="C82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</row>
    <row r="83" spans="1:38" ht="16.5" x14ac:dyDescent="0.3">
      <c r="A83"/>
      <c r="B83"/>
      <c r="C83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</row>
    <row r="84" spans="1:38" ht="16.5" x14ac:dyDescent="0.3">
      <c r="A84"/>
      <c r="B84"/>
      <c r="C84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</row>
    <row r="85" spans="1:38" ht="16.5" x14ac:dyDescent="0.3">
      <c r="A85"/>
      <c r="B85"/>
      <c r="C85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</row>
    <row r="86" spans="1:38" ht="16.5" x14ac:dyDescent="0.3">
      <c r="A86"/>
      <c r="B86"/>
      <c r="C86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</row>
    <row r="87" spans="1:38" ht="16.5" x14ac:dyDescent="0.3">
      <c r="A87"/>
      <c r="B87"/>
      <c r="C87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</row>
    <row r="88" spans="1:38" ht="16.5" x14ac:dyDescent="0.3">
      <c r="A88"/>
      <c r="B88"/>
      <c r="C88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</row>
    <row r="89" spans="1:38" ht="16.5" x14ac:dyDescent="0.3">
      <c r="A89"/>
      <c r="B89"/>
      <c r="C89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</row>
    <row r="90" spans="1:38" ht="15" x14ac:dyDescent="0.25">
      <c r="A90"/>
      <c r="B90"/>
      <c r="C90"/>
    </row>
    <row r="91" spans="1:38" ht="15" x14ac:dyDescent="0.25">
      <c r="A91"/>
      <c r="B91"/>
      <c r="C91"/>
    </row>
    <row r="92" spans="1:38" ht="15" x14ac:dyDescent="0.25">
      <c r="A92"/>
      <c r="B92"/>
      <c r="C92"/>
    </row>
    <row r="93" spans="1:38" ht="15" x14ac:dyDescent="0.25">
      <c r="A93"/>
      <c r="B93"/>
      <c r="C93"/>
    </row>
    <row r="94" spans="1:38" ht="15" x14ac:dyDescent="0.25">
      <c r="A94"/>
      <c r="B94"/>
      <c r="C94"/>
    </row>
    <row r="95" spans="1:38" ht="15" x14ac:dyDescent="0.25">
      <c r="A95"/>
      <c r="B95"/>
      <c r="C95"/>
    </row>
    <row r="96" spans="1:38" ht="15" x14ac:dyDescent="0.25">
      <c r="A96"/>
      <c r="B96"/>
      <c r="C96"/>
    </row>
    <row r="97" spans="1:3" ht="15" x14ac:dyDescent="0.25">
      <c r="A97"/>
      <c r="B97"/>
      <c r="C97"/>
    </row>
    <row r="98" spans="1:3" ht="15" x14ac:dyDescent="0.25">
      <c r="A98"/>
      <c r="B98"/>
      <c r="C98"/>
    </row>
    <row r="99" spans="1:3" ht="15" x14ac:dyDescent="0.25">
      <c r="A99"/>
      <c r="B99"/>
      <c r="C99"/>
    </row>
    <row r="100" spans="1:3" ht="15" x14ac:dyDescent="0.25">
      <c r="A100"/>
      <c r="B100"/>
      <c r="C100"/>
    </row>
    <row r="101" spans="1:3" ht="15" x14ac:dyDescent="0.25">
      <c r="A101"/>
      <c r="B101"/>
      <c r="C101"/>
    </row>
    <row r="102" spans="1:3" ht="15" x14ac:dyDescent="0.25">
      <c r="A102"/>
      <c r="B102"/>
      <c r="C102"/>
    </row>
    <row r="103" spans="1:3" ht="15" x14ac:dyDescent="0.25">
      <c r="A103"/>
      <c r="B103"/>
      <c r="C103"/>
    </row>
    <row r="104" spans="1:3" ht="15" x14ac:dyDescent="0.25">
      <c r="A104"/>
      <c r="B104"/>
      <c r="C104"/>
    </row>
    <row r="105" spans="1:3" ht="15" x14ac:dyDescent="0.25">
      <c r="A105"/>
      <c r="B105"/>
      <c r="C105"/>
    </row>
    <row r="106" spans="1:3" ht="15" x14ac:dyDescent="0.25">
      <c r="A106"/>
      <c r="B106"/>
      <c r="C106"/>
    </row>
    <row r="107" spans="1:3" ht="15" x14ac:dyDescent="0.25">
      <c r="A107"/>
      <c r="B107"/>
      <c r="C107"/>
    </row>
    <row r="108" spans="1:3" ht="15" x14ac:dyDescent="0.25">
      <c r="A108"/>
      <c r="B108"/>
      <c r="C108"/>
    </row>
    <row r="109" spans="1:3" ht="15" x14ac:dyDescent="0.25">
      <c r="A109"/>
      <c r="B109"/>
      <c r="C109"/>
    </row>
    <row r="110" spans="1:3" ht="15" x14ac:dyDescent="0.25">
      <c r="A110"/>
      <c r="B110"/>
      <c r="C110"/>
    </row>
    <row r="111" spans="1:3" ht="15" x14ac:dyDescent="0.25">
      <c r="A111"/>
      <c r="B111"/>
      <c r="C111"/>
    </row>
    <row r="112" spans="1:3" ht="15" x14ac:dyDescent="0.25">
      <c r="A112"/>
      <c r="B112"/>
      <c r="C112"/>
    </row>
    <row r="113" spans="1:4" ht="15" x14ac:dyDescent="0.25">
      <c r="A113"/>
      <c r="B113"/>
      <c r="C113"/>
    </row>
    <row r="114" spans="1:4" ht="15" x14ac:dyDescent="0.25">
      <c r="A114"/>
      <c r="B114"/>
      <c r="C114"/>
    </row>
    <row r="115" spans="1:4" ht="15" x14ac:dyDescent="0.25">
      <c r="A115"/>
      <c r="B115"/>
      <c r="C115"/>
    </row>
    <row r="116" spans="1:4" ht="15" x14ac:dyDescent="0.25">
      <c r="A116"/>
      <c r="B116"/>
      <c r="C116"/>
    </row>
    <row r="117" spans="1:4" ht="15" x14ac:dyDescent="0.25">
      <c r="A117"/>
      <c r="B117"/>
      <c r="C117"/>
    </row>
    <row r="118" spans="1:4" ht="15" x14ac:dyDescent="0.25">
      <c r="A118"/>
      <c r="B118"/>
      <c r="C118"/>
    </row>
    <row r="119" spans="1:4" ht="15" x14ac:dyDescent="0.25">
      <c r="A119"/>
      <c r="B119"/>
      <c r="C119"/>
    </row>
    <row r="120" spans="1:4" ht="15" x14ac:dyDescent="0.25">
      <c r="A120"/>
      <c r="B120"/>
      <c r="C120"/>
    </row>
    <row r="121" spans="1:4" ht="15" x14ac:dyDescent="0.25">
      <c r="A121"/>
      <c r="B121"/>
      <c r="C121"/>
    </row>
    <row r="122" spans="1:4" ht="15" x14ac:dyDescent="0.25">
      <c r="A122"/>
      <c r="B122"/>
      <c r="C122"/>
    </row>
    <row r="123" spans="1:4" ht="15" x14ac:dyDescent="0.25">
      <c r="A123"/>
      <c r="B123"/>
      <c r="C123"/>
    </row>
    <row r="124" spans="1:4" ht="15" x14ac:dyDescent="0.25">
      <c r="A124"/>
      <c r="B124"/>
      <c r="C124"/>
    </row>
    <row r="125" spans="1:4" ht="15" x14ac:dyDescent="0.25">
      <c r="A125"/>
      <c r="B125"/>
      <c r="C125"/>
    </row>
    <row r="126" spans="1:4" ht="16.5" x14ac:dyDescent="0.3">
      <c r="A126"/>
      <c r="B126"/>
      <c r="C126"/>
      <c r="D126" s="41"/>
    </row>
    <row r="127" spans="1:4" ht="16.5" x14ac:dyDescent="0.3">
      <c r="A127"/>
      <c r="B127"/>
      <c r="C127"/>
      <c r="D127" s="41"/>
    </row>
    <row r="128" spans="1:4" ht="16.5" x14ac:dyDescent="0.3">
      <c r="A128"/>
      <c r="B128"/>
      <c r="C128"/>
      <c r="D128" s="41"/>
    </row>
    <row r="129" spans="1:4" ht="16.5" x14ac:dyDescent="0.3">
      <c r="A129"/>
      <c r="B129"/>
      <c r="C129"/>
      <c r="D129" s="41"/>
    </row>
    <row r="130" spans="1:4" ht="16.5" x14ac:dyDescent="0.3">
      <c r="A130"/>
      <c r="B130"/>
      <c r="C130"/>
      <c r="D130" s="41"/>
    </row>
    <row r="131" spans="1:4" ht="16.5" x14ac:dyDescent="0.3">
      <c r="A131"/>
      <c r="B131"/>
      <c r="C131"/>
      <c r="D131" s="41"/>
    </row>
    <row r="132" spans="1:4" ht="16.5" x14ac:dyDescent="0.3">
      <c r="A132"/>
      <c r="B132"/>
      <c r="C132"/>
      <c r="D132" s="41"/>
    </row>
    <row r="133" spans="1:4" ht="16.5" x14ac:dyDescent="0.3">
      <c r="A133"/>
      <c r="B133"/>
      <c r="C133"/>
      <c r="D133" s="41"/>
    </row>
    <row r="134" spans="1:4" ht="16.5" x14ac:dyDescent="0.3">
      <c r="A134"/>
      <c r="B134"/>
      <c r="C134"/>
      <c r="D134" s="41"/>
    </row>
    <row r="135" spans="1:4" ht="16.5" x14ac:dyDescent="0.3">
      <c r="A135"/>
      <c r="B135"/>
      <c r="C135"/>
      <c r="D135" s="41"/>
    </row>
    <row r="136" spans="1:4" ht="16.5" x14ac:dyDescent="0.3">
      <c r="A136"/>
      <c r="B136"/>
      <c r="C136"/>
      <c r="D136" s="41"/>
    </row>
    <row r="137" spans="1:4" ht="16.5" x14ac:dyDescent="0.3">
      <c r="A137"/>
      <c r="B137"/>
      <c r="C137"/>
      <c r="D137" s="41"/>
    </row>
    <row r="138" spans="1:4" ht="16.5" x14ac:dyDescent="0.3">
      <c r="A138"/>
      <c r="B138"/>
      <c r="C138"/>
      <c r="D138" s="41"/>
    </row>
    <row r="139" spans="1:4" ht="16.5" x14ac:dyDescent="0.3">
      <c r="A139"/>
      <c r="B139"/>
      <c r="C139"/>
      <c r="D139" s="41"/>
    </row>
    <row r="140" spans="1:4" ht="16.5" x14ac:dyDescent="0.3">
      <c r="A140"/>
      <c r="B140"/>
      <c r="C140"/>
      <c r="D140" s="41"/>
    </row>
    <row r="141" spans="1:4" ht="16.5" x14ac:dyDescent="0.3">
      <c r="A141"/>
      <c r="B141"/>
      <c r="C141"/>
      <c r="D141" s="41"/>
    </row>
    <row r="142" spans="1:4" ht="16.5" x14ac:dyDescent="0.3">
      <c r="A142"/>
      <c r="B142"/>
      <c r="C142"/>
      <c r="D142" s="41"/>
    </row>
    <row r="143" spans="1:4" ht="16.5" x14ac:dyDescent="0.3">
      <c r="A143"/>
      <c r="B143"/>
      <c r="C143"/>
      <c r="D143" s="41"/>
    </row>
    <row r="144" spans="1:4" ht="16.5" x14ac:dyDescent="0.3">
      <c r="A144"/>
      <c r="B144"/>
      <c r="C144"/>
      <c r="D144" s="41"/>
    </row>
    <row r="145" spans="1:4" ht="16.5" x14ac:dyDescent="0.3">
      <c r="A145"/>
      <c r="B145"/>
      <c r="C145"/>
      <c r="D145" s="41"/>
    </row>
    <row r="146" spans="1:4" ht="16.5" x14ac:dyDescent="0.3">
      <c r="A146"/>
      <c r="B146"/>
      <c r="C146"/>
      <c r="D146" s="41"/>
    </row>
    <row r="147" spans="1:4" ht="16.5" x14ac:dyDescent="0.3">
      <c r="A147"/>
      <c r="B147"/>
      <c r="C147"/>
      <c r="D147" s="41"/>
    </row>
    <row r="148" spans="1:4" ht="16.5" x14ac:dyDescent="0.3">
      <c r="A148"/>
      <c r="B148"/>
      <c r="C148"/>
      <c r="D148" s="41"/>
    </row>
    <row r="149" spans="1:4" ht="16.5" x14ac:dyDescent="0.3">
      <c r="A149"/>
      <c r="B149"/>
      <c r="C149"/>
      <c r="D149" s="41"/>
    </row>
    <row r="150" spans="1:4" ht="16.5" x14ac:dyDescent="0.3">
      <c r="A150"/>
      <c r="B150"/>
      <c r="C150"/>
      <c r="D150" s="41"/>
    </row>
    <row r="151" spans="1:4" ht="16.5" x14ac:dyDescent="0.3">
      <c r="A151"/>
      <c r="B151"/>
      <c r="C151"/>
      <c r="D151" s="41"/>
    </row>
    <row r="152" spans="1:4" ht="16.5" x14ac:dyDescent="0.3">
      <c r="A152"/>
      <c r="B152"/>
      <c r="C152"/>
      <c r="D152" s="41"/>
    </row>
    <row r="153" spans="1:4" ht="16.5" x14ac:dyDescent="0.3">
      <c r="A153"/>
      <c r="B153"/>
      <c r="C153"/>
      <c r="D153" s="41"/>
    </row>
    <row r="154" spans="1:4" ht="16.5" x14ac:dyDescent="0.3">
      <c r="A154"/>
      <c r="B154"/>
      <c r="C154"/>
      <c r="D154" s="41"/>
    </row>
    <row r="155" spans="1:4" ht="16.5" x14ac:dyDescent="0.3">
      <c r="A155"/>
      <c r="B155"/>
      <c r="C155"/>
      <c r="D155" s="41"/>
    </row>
    <row r="156" spans="1:4" ht="16.5" x14ac:dyDescent="0.3">
      <c r="A156"/>
      <c r="B156"/>
      <c r="C156"/>
      <c r="D156" s="41"/>
    </row>
    <row r="157" spans="1:4" ht="16.5" x14ac:dyDescent="0.3">
      <c r="A157"/>
      <c r="B157"/>
      <c r="C157"/>
      <c r="D157" s="41"/>
    </row>
    <row r="158" spans="1:4" ht="16.5" x14ac:dyDescent="0.3">
      <c r="A158"/>
      <c r="B158"/>
      <c r="C158"/>
      <c r="D158" s="41"/>
    </row>
    <row r="159" spans="1:4" ht="16.5" x14ac:dyDescent="0.3">
      <c r="A159"/>
      <c r="B159"/>
      <c r="C159"/>
      <c r="D159" s="41"/>
    </row>
    <row r="160" spans="1:4" ht="16.5" x14ac:dyDescent="0.3">
      <c r="A160"/>
      <c r="B160"/>
      <c r="C160"/>
      <c r="D160" s="41"/>
    </row>
    <row r="161" spans="1:4" ht="16.5" x14ac:dyDescent="0.3">
      <c r="A161"/>
      <c r="B161"/>
      <c r="C161"/>
      <c r="D161" s="41"/>
    </row>
    <row r="162" spans="1:4" ht="16.5" x14ac:dyDescent="0.3">
      <c r="A162"/>
      <c r="B162"/>
      <c r="C162"/>
      <c r="D162" s="41"/>
    </row>
    <row r="163" spans="1:4" ht="16.5" x14ac:dyDescent="0.3">
      <c r="A163"/>
      <c r="B163"/>
      <c r="C163"/>
      <c r="D163" s="41"/>
    </row>
    <row r="164" spans="1:4" ht="16.5" x14ac:dyDescent="0.3">
      <c r="A164"/>
      <c r="B164"/>
      <c r="C164"/>
      <c r="D164" s="41"/>
    </row>
    <row r="165" spans="1:4" ht="16.5" x14ac:dyDescent="0.3">
      <c r="A165"/>
      <c r="B165"/>
      <c r="C165"/>
      <c r="D165" s="41"/>
    </row>
    <row r="166" spans="1:4" ht="16.5" x14ac:dyDescent="0.3">
      <c r="A166"/>
      <c r="B166"/>
      <c r="C166"/>
      <c r="D166" s="41"/>
    </row>
    <row r="167" spans="1:4" ht="16.5" x14ac:dyDescent="0.3">
      <c r="A167"/>
      <c r="B167"/>
      <c r="C167"/>
      <c r="D167" s="41"/>
    </row>
    <row r="168" spans="1:4" ht="16.5" x14ac:dyDescent="0.3">
      <c r="A168"/>
      <c r="B168"/>
      <c r="C168"/>
      <c r="D168" s="41"/>
    </row>
    <row r="169" spans="1:4" ht="16.5" x14ac:dyDescent="0.3">
      <c r="A169"/>
      <c r="B169"/>
      <c r="C169"/>
      <c r="D169" s="41"/>
    </row>
    <row r="170" spans="1:4" ht="16.5" x14ac:dyDescent="0.3">
      <c r="A170"/>
      <c r="B170"/>
      <c r="C170"/>
      <c r="D170" s="41"/>
    </row>
    <row r="171" spans="1:4" ht="16.5" x14ac:dyDescent="0.3">
      <c r="A171"/>
      <c r="B171"/>
      <c r="C171"/>
      <c r="D171" s="41"/>
    </row>
    <row r="172" spans="1:4" ht="16.5" x14ac:dyDescent="0.3">
      <c r="A172"/>
      <c r="B172"/>
      <c r="C172"/>
      <c r="D172" s="41"/>
    </row>
    <row r="173" spans="1:4" ht="16.5" x14ac:dyDescent="0.3">
      <c r="A173"/>
      <c r="B173"/>
      <c r="C173"/>
      <c r="D173" s="41"/>
    </row>
    <row r="174" spans="1:4" ht="16.5" x14ac:dyDescent="0.3">
      <c r="A174"/>
      <c r="B174"/>
      <c r="C174"/>
      <c r="D174" s="41"/>
    </row>
    <row r="175" spans="1:4" ht="16.5" x14ac:dyDescent="0.3">
      <c r="A175"/>
      <c r="B175"/>
      <c r="C175"/>
      <c r="D175" s="41"/>
    </row>
    <row r="176" spans="1:4" ht="16.5" x14ac:dyDescent="0.3">
      <c r="A176"/>
      <c r="B176"/>
      <c r="C176"/>
      <c r="D176" s="41"/>
    </row>
    <row r="177" spans="1:4" ht="16.5" x14ac:dyDescent="0.3">
      <c r="A177"/>
      <c r="B177"/>
      <c r="C177"/>
      <c r="D177" s="41"/>
    </row>
    <row r="178" spans="1:4" ht="16.5" x14ac:dyDescent="0.3">
      <c r="A178"/>
      <c r="B178"/>
      <c r="C178"/>
      <c r="D178" s="41"/>
    </row>
    <row r="179" spans="1:4" ht="16.5" x14ac:dyDescent="0.3">
      <c r="A179"/>
      <c r="B179"/>
      <c r="C179"/>
      <c r="D179" s="41"/>
    </row>
    <row r="180" spans="1:4" ht="16.5" x14ac:dyDescent="0.3">
      <c r="A180"/>
      <c r="B180"/>
      <c r="C180"/>
      <c r="D180" s="41"/>
    </row>
    <row r="181" spans="1:4" ht="16.5" x14ac:dyDescent="0.3">
      <c r="A181"/>
      <c r="B181"/>
      <c r="C181"/>
      <c r="D181" s="41"/>
    </row>
    <row r="182" spans="1:4" ht="15" x14ac:dyDescent="0.25">
      <c r="A182"/>
      <c r="B182"/>
      <c r="C182"/>
    </row>
    <row r="183" spans="1:4" ht="15" x14ac:dyDescent="0.25">
      <c r="A183"/>
      <c r="B183"/>
      <c r="C183"/>
    </row>
    <row r="184" spans="1:4" ht="15" x14ac:dyDescent="0.25">
      <c r="A184"/>
      <c r="B184"/>
      <c r="C184"/>
    </row>
    <row r="185" spans="1:4" ht="15" x14ac:dyDescent="0.25">
      <c r="A185"/>
      <c r="B185"/>
      <c r="C185"/>
    </row>
    <row r="186" spans="1:4" ht="15" x14ac:dyDescent="0.25">
      <c r="A186"/>
      <c r="B186"/>
      <c r="C186"/>
    </row>
    <row r="187" spans="1:4" ht="15" x14ac:dyDescent="0.25">
      <c r="A187"/>
      <c r="B187"/>
      <c r="C187"/>
    </row>
    <row r="188" spans="1:4" ht="15" x14ac:dyDescent="0.25">
      <c r="A188"/>
      <c r="B188"/>
      <c r="C188"/>
    </row>
    <row r="189" spans="1:4" ht="15" x14ac:dyDescent="0.25">
      <c r="A189"/>
      <c r="B189"/>
      <c r="C189"/>
    </row>
    <row r="190" spans="1:4" ht="15" x14ac:dyDescent="0.25">
      <c r="A190"/>
      <c r="B190"/>
      <c r="C190"/>
    </row>
    <row r="191" spans="1:4" ht="15" x14ac:dyDescent="0.25">
      <c r="A191"/>
      <c r="B191"/>
      <c r="C191"/>
    </row>
    <row r="192" spans="1:4" ht="15" x14ac:dyDescent="0.25">
      <c r="A192"/>
      <c r="B192"/>
      <c r="C192"/>
    </row>
    <row r="193" spans="1:3" ht="15" x14ac:dyDescent="0.25">
      <c r="A193"/>
      <c r="B193"/>
      <c r="C193"/>
    </row>
    <row r="194" spans="1:3" ht="15" x14ac:dyDescent="0.25">
      <c r="A194"/>
      <c r="B194"/>
      <c r="C194"/>
    </row>
    <row r="195" spans="1:3" ht="15" x14ac:dyDescent="0.25">
      <c r="A195"/>
      <c r="B195"/>
      <c r="C195"/>
    </row>
    <row r="196" spans="1:3" ht="15" x14ac:dyDescent="0.25">
      <c r="A196"/>
      <c r="B196"/>
      <c r="C196"/>
    </row>
    <row r="197" spans="1:3" ht="15" x14ac:dyDescent="0.25">
      <c r="A197"/>
      <c r="B197"/>
      <c r="C197"/>
    </row>
    <row r="198" spans="1:3" ht="15" x14ac:dyDescent="0.25">
      <c r="A198"/>
      <c r="B198"/>
      <c r="C198"/>
    </row>
    <row r="199" spans="1:3" ht="15" x14ac:dyDescent="0.25">
      <c r="A199"/>
      <c r="B199"/>
      <c r="C199"/>
    </row>
    <row r="200" spans="1:3" ht="15" x14ac:dyDescent="0.25">
      <c r="A200"/>
      <c r="B200"/>
      <c r="C200"/>
    </row>
    <row r="201" spans="1:3" ht="15" x14ac:dyDescent="0.25">
      <c r="A201"/>
      <c r="B201"/>
      <c r="C201"/>
    </row>
    <row r="202" spans="1:3" ht="15" x14ac:dyDescent="0.25">
      <c r="A202"/>
      <c r="B202"/>
      <c r="C202"/>
    </row>
    <row r="203" spans="1:3" ht="15" x14ac:dyDescent="0.25">
      <c r="A203"/>
      <c r="B203"/>
      <c r="C203"/>
    </row>
    <row r="204" spans="1:3" ht="15" x14ac:dyDescent="0.25">
      <c r="A204"/>
      <c r="B204"/>
      <c r="C204"/>
    </row>
    <row r="205" spans="1:3" ht="15" x14ac:dyDescent="0.25">
      <c r="A205"/>
      <c r="B205"/>
      <c r="C205"/>
    </row>
    <row r="206" spans="1:3" ht="15" x14ac:dyDescent="0.25">
      <c r="A206"/>
      <c r="B206"/>
      <c r="C206"/>
    </row>
    <row r="207" spans="1:3" ht="15" x14ac:dyDescent="0.25">
      <c r="A207"/>
      <c r="B207"/>
      <c r="C207"/>
    </row>
    <row r="208" spans="1:3" ht="15" x14ac:dyDescent="0.25">
      <c r="A208"/>
      <c r="B208"/>
      <c r="C208"/>
    </row>
    <row r="209" spans="1:3" ht="15" x14ac:dyDescent="0.25">
      <c r="A209"/>
      <c r="B209"/>
      <c r="C209"/>
    </row>
    <row r="210" spans="1:3" ht="15" x14ac:dyDescent="0.25">
      <c r="A210"/>
      <c r="B210"/>
      <c r="C210"/>
    </row>
    <row r="211" spans="1:3" ht="15" x14ac:dyDescent="0.25">
      <c r="A211"/>
      <c r="B211"/>
      <c r="C211"/>
    </row>
    <row r="212" spans="1:3" ht="15" x14ac:dyDescent="0.25">
      <c r="A212"/>
      <c r="B212"/>
      <c r="C212"/>
    </row>
    <row r="213" spans="1:3" ht="15" x14ac:dyDescent="0.25">
      <c r="A213"/>
      <c r="B213"/>
      <c r="C213"/>
    </row>
    <row r="214" spans="1:3" ht="15" x14ac:dyDescent="0.25">
      <c r="A214"/>
      <c r="B214"/>
      <c r="C214"/>
    </row>
    <row r="215" spans="1:3" ht="15" x14ac:dyDescent="0.25">
      <c r="A215"/>
      <c r="B215"/>
      <c r="C215"/>
    </row>
    <row r="216" spans="1:3" ht="15" x14ac:dyDescent="0.25">
      <c r="A216"/>
      <c r="B216"/>
      <c r="C216"/>
    </row>
    <row r="217" spans="1:3" ht="15" x14ac:dyDescent="0.25">
      <c r="A217"/>
      <c r="B217"/>
      <c r="C217"/>
    </row>
    <row r="218" spans="1:3" ht="15" x14ac:dyDescent="0.25">
      <c r="A218"/>
      <c r="B218"/>
      <c r="C218"/>
    </row>
    <row r="219" spans="1:3" ht="15" x14ac:dyDescent="0.25">
      <c r="A219"/>
      <c r="B219"/>
      <c r="C219"/>
    </row>
    <row r="220" spans="1:3" ht="15" x14ac:dyDescent="0.25">
      <c r="A220"/>
      <c r="B220"/>
      <c r="C220"/>
    </row>
    <row r="221" spans="1:3" ht="15" x14ac:dyDescent="0.25">
      <c r="A221"/>
      <c r="B221"/>
      <c r="C221"/>
    </row>
    <row r="222" spans="1:3" ht="15" x14ac:dyDescent="0.25">
      <c r="A222"/>
      <c r="B222"/>
      <c r="C222"/>
    </row>
    <row r="223" spans="1:3" ht="15" x14ac:dyDescent="0.25">
      <c r="A223"/>
      <c r="B223"/>
      <c r="C223"/>
    </row>
    <row r="224" spans="1:3" ht="15" x14ac:dyDescent="0.25">
      <c r="A224"/>
      <c r="B224"/>
      <c r="C224"/>
    </row>
    <row r="225" spans="1:3" ht="15" x14ac:dyDescent="0.25">
      <c r="A225"/>
      <c r="B225"/>
      <c r="C225"/>
    </row>
    <row r="226" spans="1:3" ht="15" x14ac:dyDescent="0.25">
      <c r="A226"/>
      <c r="B226"/>
      <c r="C226"/>
    </row>
    <row r="227" spans="1:3" ht="15" x14ac:dyDescent="0.25">
      <c r="A227"/>
      <c r="B227"/>
      <c r="C227"/>
    </row>
    <row r="228" spans="1:3" ht="15" x14ac:dyDescent="0.25">
      <c r="A228"/>
      <c r="B228"/>
      <c r="C228"/>
    </row>
    <row r="229" spans="1:3" ht="15" x14ac:dyDescent="0.25">
      <c r="A229"/>
      <c r="B229"/>
      <c r="C229"/>
    </row>
    <row r="230" spans="1:3" ht="15" x14ac:dyDescent="0.25">
      <c r="A230"/>
      <c r="B230"/>
      <c r="C230"/>
    </row>
    <row r="231" spans="1:3" ht="15" x14ac:dyDescent="0.25">
      <c r="A231"/>
      <c r="B231"/>
      <c r="C231"/>
    </row>
    <row r="232" spans="1:3" ht="15" x14ac:dyDescent="0.25">
      <c r="A232"/>
      <c r="B232"/>
      <c r="C232"/>
    </row>
    <row r="233" spans="1:3" ht="15" x14ac:dyDescent="0.25">
      <c r="A233"/>
      <c r="B233"/>
      <c r="C233"/>
    </row>
    <row r="234" spans="1:3" ht="15" x14ac:dyDescent="0.25">
      <c r="A234"/>
      <c r="B234"/>
      <c r="C234"/>
    </row>
    <row r="235" spans="1:3" ht="15" x14ac:dyDescent="0.25">
      <c r="A235"/>
      <c r="B235"/>
      <c r="C235"/>
    </row>
    <row r="236" spans="1:3" ht="15" x14ac:dyDescent="0.25">
      <c r="A236"/>
      <c r="B236"/>
      <c r="C236"/>
    </row>
    <row r="237" spans="1:3" ht="15" x14ac:dyDescent="0.25">
      <c r="A237"/>
      <c r="B237"/>
      <c r="C237"/>
    </row>
    <row r="238" spans="1:3" ht="15" x14ac:dyDescent="0.25">
      <c r="A238"/>
      <c r="B238"/>
      <c r="C238"/>
    </row>
    <row r="239" spans="1:3" ht="15" x14ac:dyDescent="0.25">
      <c r="A239"/>
      <c r="B239"/>
      <c r="C239"/>
    </row>
    <row r="240" spans="1:3" ht="15" x14ac:dyDescent="0.25">
      <c r="A240"/>
      <c r="B240"/>
      <c r="C240"/>
    </row>
    <row r="241" spans="1:3" ht="15" x14ac:dyDescent="0.25">
      <c r="A241"/>
      <c r="B241"/>
      <c r="C241"/>
    </row>
    <row r="242" spans="1:3" ht="15" x14ac:dyDescent="0.25">
      <c r="A242"/>
      <c r="B242"/>
      <c r="C242"/>
    </row>
    <row r="243" spans="1:3" ht="15" x14ac:dyDescent="0.25">
      <c r="A243"/>
      <c r="B243"/>
      <c r="C243"/>
    </row>
    <row r="244" spans="1:3" ht="15" x14ac:dyDescent="0.25">
      <c r="A244"/>
      <c r="B244"/>
      <c r="C244"/>
    </row>
    <row r="245" spans="1:3" ht="15" x14ac:dyDescent="0.25">
      <c r="A245"/>
      <c r="B245"/>
      <c r="C245"/>
    </row>
    <row r="246" spans="1:3" ht="15" x14ac:dyDescent="0.25">
      <c r="A246"/>
      <c r="B246"/>
      <c r="C246"/>
    </row>
    <row r="247" spans="1:3" ht="15" x14ac:dyDescent="0.25">
      <c r="A247"/>
      <c r="B247"/>
      <c r="C247"/>
    </row>
    <row r="248" spans="1:3" ht="15" x14ac:dyDescent="0.25">
      <c r="A248"/>
      <c r="B248"/>
      <c r="C248"/>
    </row>
    <row r="249" spans="1:3" ht="15" x14ac:dyDescent="0.25">
      <c r="A249"/>
      <c r="B249"/>
      <c r="C249"/>
    </row>
    <row r="250" spans="1:3" ht="15" x14ac:dyDescent="0.25">
      <c r="A250"/>
      <c r="B250"/>
      <c r="C250"/>
    </row>
    <row r="251" spans="1:3" ht="15" x14ac:dyDescent="0.25">
      <c r="A251"/>
      <c r="B251"/>
      <c r="C251"/>
    </row>
    <row r="252" spans="1:3" ht="15" x14ac:dyDescent="0.25">
      <c r="A252"/>
      <c r="B252"/>
      <c r="C252"/>
    </row>
    <row r="253" spans="1:3" ht="15" x14ac:dyDescent="0.25">
      <c r="A253"/>
      <c r="B253"/>
      <c r="C253"/>
    </row>
    <row r="254" spans="1:3" ht="15" x14ac:dyDescent="0.25">
      <c r="A254"/>
      <c r="B254"/>
      <c r="C254"/>
    </row>
    <row r="255" spans="1:3" ht="15" x14ac:dyDescent="0.25">
      <c r="A255"/>
      <c r="B255"/>
      <c r="C255"/>
    </row>
    <row r="256" spans="1:3" ht="15" x14ac:dyDescent="0.25">
      <c r="A256"/>
      <c r="B256"/>
      <c r="C256"/>
    </row>
    <row r="257" spans="1:3" ht="15" x14ac:dyDescent="0.25">
      <c r="A257"/>
      <c r="B257"/>
      <c r="C257"/>
    </row>
    <row r="258" spans="1:3" ht="15" x14ac:dyDescent="0.25">
      <c r="A258"/>
      <c r="B258"/>
      <c r="C258"/>
    </row>
    <row r="259" spans="1:3" ht="15" x14ac:dyDescent="0.25">
      <c r="A259"/>
      <c r="B259"/>
      <c r="C259"/>
    </row>
    <row r="260" spans="1:3" ht="15" x14ac:dyDescent="0.25">
      <c r="A260"/>
      <c r="B260"/>
      <c r="C260"/>
    </row>
    <row r="261" spans="1:3" ht="15" x14ac:dyDescent="0.25">
      <c r="A261"/>
      <c r="B261"/>
      <c r="C261"/>
    </row>
    <row r="262" spans="1:3" ht="15" x14ac:dyDescent="0.25">
      <c r="A262"/>
      <c r="B262"/>
      <c r="C262"/>
    </row>
    <row r="263" spans="1:3" ht="15" x14ac:dyDescent="0.25">
      <c r="A263"/>
      <c r="B263"/>
      <c r="C263"/>
    </row>
    <row r="264" spans="1:3" ht="15" x14ac:dyDescent="0.25">
      <c r="A264"/>
      <c r="B264"/>
      <c r="C264"/>
    </row>
    <row r="265" spans="1:3" ht="15" x14ac:dyDescent="0.25">
      <c r="A265"/>
      <c r="B265"/>
      <c r="C265"/>
    </row>
    <row r="266" spans="1:3" ht="15" x14ac:dyDescent="0.25">
      <c r="A266"/>
      <c r="B266"/>
      <c r="C266"/>
    </row>
    <row r="267" spans="1:3" ht="15" x14ac:dyDescent="0.25">
      <c r="A267"/>
      <c r="B267"/>
      <c r="C267"/>
    </row>
    <row r="268" spans="1:3" ht="15" x14ac:dyDescent="0.25">
      <c r="A268"/>
      <c r="B268"/>
      <c r="C268"/>
    </row>
    <row r="269" spans="1:3" ht="15" x14ac:dyDescent="0.25">
      <c r="A269"/>
      <c r="B269"/>
      <c r="C269"/>
    </row>
    <row r="270" spans="1:3" ht="15" x14ac:dyDescent="0.25">
      <c r="A270"/>
      <c r="B270"/>
      <c r="C270"/>
    </row>
    <row r="271" spans="1:3" ht="15" x14ac:dyDescent="0.25">
      <c r="A271"/>
      <c r="B271"/>
      <c r="C271"/>
    </row>
    <row r="272" spans="1:3" ht="15" x14ac:dyDescent="0.25">
      <c r="A272"/>
      <c r="B272"/>
      <c r="C272"/>
    </row>
    <row r="273" spans="1:3" ht="15" x14ac:dyDescent="0.25">
      <c r="A273"/>
      <c r="B273"/>
      <c r="C273"/>
    </row>
    <row r="274" spans="1:3" ht="15" x14ac:dyDescent="0.25">
      <c r="A274"/>
      <c r="B274"/>
      <c r="C274"/>
    </row>
    <row r="275" spans="1:3" ht="15" x14ac:dyDescent="0.25">
      <c r="A275"/>
      <c r="B275"/>
      <c r="C275"/>
    </row>
    <row r="276" spans="1:3" ht="15" x14ac:dyDescent="0.25">
      <c r="A276"/>
      <c r="B276"/>
      <c r="C276"/>
    </row>
    <row r="277" spans="1:3" ht="15" x14ac:dyDescent="0.25">
      <c r="A277"/>
      <c r="B277"/>
      <c r="C277"/>
    </row>
    <row r="278" spans="1:3" ht="15" x14ac:dyDescent="0.25">
      <c r="A278"/>
      <c r="B278"/>
      <c r="C278"/>
    </row>
    <row r="279" spans="1:3" ht="15" x14ac:dyDescent="0.25">
      <c r="A279"/>
      <c r="B279"/>
      <c r="C279"/>
    </row>
    <row r="280" spans="1:3" ht="15" x14ac:dyDescent="0.25">
      <c r="A280"/>
      <c r="B280"/>
      <c r="C280"/>
    </row>
    <row r="281" spans="1:3" ht="15" x14ac:dyDescent="0.25">
      <c r="A281"/>
      <c r="B281"/>
      <c r="C281"/>
    </row>
    <row r="282" spans="1:3" ht="15" x14ac:dyDescent="0.25">
      <c r="A282"/>
      <c r="B282"/>
      <c r="C282"/>
    </row>
    <row r="283" spans="1:3" ht="15" x14ac:dyDescent="0.25">
      <c r="A283"/>
      <c r="B283"/>
      <c r="C283"/>
    </row>
    <row r="284" spans="1:3" ht="15" x14ac:dyDescent="0.25">
      <c r="A284"/>
      <c r="B284"/>
      <c r="C284"/>
    </row>
    <row r="285" spans="1:3" ht="15" x14ac:dyDescent="0.25">
      <c r="A285"/>
      <c r="B285"/>
      <c r="C285"/>
    </row>
    <row r="286" spans="1:3" ht="15" x14ac:dyDescent="0.25">
      <c r="A286"/>
      <c r="B286"/>
      <c r="C286"/>
    </row>
    <row r="287" spans="1:3" ht="15" x14ac:dyDescent="0.25">
      <c r="A287"/>
      <c r="B287"/>
      <c r="C287"/>
    </row>
    <row r="288" spans="1:3" ht="15" x14ac:dyDescent="0.25">
      <c r="A288"/>
      <c r="B288"/>
      <c r="C288"/>
    </row>
    <row r="289" spans="1:3" ht="15" x14ac:dyDescent="0.25">
      <c r="A289"/>
      <c r="B289"/>
      <c r="C289"/>
    </row>
    <row r="290" spans="1:3" ht="15" x14ac:dyDescent="0.25">
      <c r="A290"/>
      <c r="B290"/>
      <c r="C290"/>
    </row>
    <row r="291" spans="1:3" ht="15" x14ac:dyDescent="0.25">
      <c r="A291"/>
      <c r="B291"/>
      <c r="C291"/>
    </row>
    <row r="292" spans="1:3" ht="15" x14ac:dyDescent="0.25">
      <c r="A292"/>
      <c r="B292"/>
      <c r="C292"/>
    </row>
    <row r="293" spans="1:3" ht="15" x14ac:dyDescent="0.25">
      <c r="A293"/>
      <c r="B293"/>
      <c r="C293"/>
    </row>
    <row r="294" spans="1:3" ht="15" x14ac:dyDescent="0.25">
      <c r="A294"/>
      <c r="B294"/>
      <c r="C294"/>
    </row>
    <row r="295" spans="1:3" ht="15" x14ac:dyDescent="0.25">
      <c r="A295"/>
      <c r="B295"/>
      <c r="C295"/>
    </row>
    <row r="296" spans="1:3" ht="15" x14ac:dyDescent="0.25">
      <c r="A296"/>
      <c r="B296"/>
      <c r="C296"/>
    </row>
    <row r="297" spans="1:3" ht="15" x14ac:dyDescent="0.25">
      <c r="A297"/>
      <c r="B297"/>
      <c r="C297"/>
    </row>
    <row r="298" spans="1:3" ht="15" x14ac:dyDescent="0.25">
      <c r="A298"/>
      <c r="B298"/>
      <c r="C298"/>
    </row>
    <row r="299" spans="1:3" ht="15" x14ac:dyDescent="0.25">
      <c r="A299"/>
      <c r="B299"/>
      <c r="C299"/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2F7C8-D37C-4864-9984-67B741A53411}">
  <sheetPr>
    <tabColor rgb="FFFFFF00"/>
  </sheetPr>
  <dimension ref="B1:Q54"/>
  <sheetViews>
    <sheetView zoomScale="68" zoomScaleNormal="68" workbookViewId="0">
      <selection activeCell="U57" sqref="U57"/>
    </sheetView>
  </sheetViews>
  <sheetFormatPr defaultRowHeight="16.5" x14ac:dyDescent="0.3"/>
  <cols>
    <col min="1" max="1" width="1.85546875" style="41" customWidth="1"/>
    <col min="2" max="2" width="4.7109375" style="41" bestFit="1" customWidth="1"/>
    <col min="3" max="3" width="3.7109375" style="167" bestFit="1" customWidth="1"/>
    <col min="4" max="4" width="9.140625" style="168" bestFit="1" customWidth="1"/>
    <col min="5" max="5" width="11" style="168" bestFit="1" customWidth="1"/>
    <col min="6" max="7" width="9.5703125" style="168" bestFit="1" customWidth="1"/>
    <col min="8" max="8" width="2.85546875" style="41" customWidth="1"/>
    <col min="9" max="9" width="15.140625" style="41" customWidth="1"/>
    <col min="10" max="10" width="7.5703125" style="41" customWidth="1"/>
    <col min="11" max="13" width="9.140625" style="41"/>
    <col min="14" max="14" width="17.28515625" style="41" customWidth="1"/>
    <col min="15" max="18" width="9.140625" style="41"/>
    <col min="19" max="19" width="4" style="41" customWidth="1"/>
    <col min="20" max="16384" width="9.140625" style="41"/>
  </cols>
  <sheetData>
    <row r="1" spans="2:17" ht="6" customHeight="1" x14ac:dyDescent="0.3"/>
    <row r="2" spans="2:17" ht="26.25" x14ac:dyDescent="0.4">
      <c r="B2" s="169" t="s">
        <v>170</v>
      </c>
      <c r="C2" s="170" t="s">
        <v>0</v>
      </c>
      <c r="D2" s="171" t="s">
        <v>171</v>
      </c>
      <c r="E2" s="171" t="s">
        <v>172</v>
      </c>
      <c r="F2" s="171" t="s">
        <v>173</v>
      </c>
      <c r="G2" s="171" t="s">
        <v>174</v>
      </c>
      <c r="I2" s="172" t="s">
        <v>175</v>
      </c>
      <c r="J2" s="172"/>
      <c r="K2" s="172"/>
      <c r="L2" s="172"/>
      <c r="M2" s="173" t="s">
        <v>176</v>
      </c>
      <c r="O2" s="174"/>
      <c r="P2" s="175"/>
      <c r="Q2" s="176"/>
    </row>
    <row r="3" spans="2:17" x14ac:dyDescent="0.3">
      <c r="B3" s="177">
        <v>1</v>
      </c>
      <c r="C3" s="178">
        <v>2</v>
      </c>
      <c r="D3" s="171"/>
      <c r="F3" s="179"/>
      <c r="G3" s="179"/>
      <c r="H3" s="41" t="s">
        <v>177</v>
      </c>
    </row>
    <row r="4" spans="2:17" x14ac:dyDescent="0.3">
      <c r="B4" s="177">
        <v>2</v>
      </c>
      <c r="C4" s="178">
        <v>2</v>
      </c>
      <c r="D4" s="171">
        <f>C3</f>
        <v>2</v>
      </c>
      <c r="E4" s="179">
        <f>AVERAGE($C$3:C3)</f>
        <v>2</v>
      </c>
      <c r="F4" s="179"/>
      <c r="G4" s="179"/>
      <c r="M4" s="180"/>
    </row>
    <row r="5" spans="2:17" x14ac:dyDescent="0.3">
      <c r="B5" s="177">
        <v>3</v>
      </c>
      <c r="C5" s="178">
        <v>1</v>
      </c>
      <c r="D5" s="171">
        <f t="shared" ref="D5:D53" si="0">C4</f>
        <v>2</v>
      </c>
      <c r="E5" s="179">
        <f>AVERAGE($C$3:C4)</f>
        <v>2</v>
      </c>
      <c r="F5" s="179">
        <f>AVERAGE(C3:C4)</f>
        <v>2</v>
      </c>
      <c r="G5" s="179"/>
      <c r="M5" s="180"/>
    </row>
    <row r="6" spans="2:17" x14ac:dyDescent="0.3">
      <c r="B6" s="177">
        <v>4</v>
      </c>
      <c r="C6" s="178">
        <v>0</v>
      </c>
      <c r="D6" s="171">
        <f t="shared" si="0"/>
        <v>1</v>
      </c>
      <c r="E6" s="179">
        <f>AVERAGE($C$3:C5)</f>
        <v>1.6666666666666667</v>
      </c>
      <c r="F6" s="179">
        <f t="shared" ref="F6:F53" si="1">AVERAGE(C4:C5)</f>
        <v>1.5</v>
      </c>
      <c r="G6" s="179"/>
      <c r="M6" s="180"/>
    </row>
    <row r="7" spans="2:17" x14ac:dyDescent="0.3">
      <c r="B7" s="177">
        <v>5</v>
      </c>
      <c r="C7" s="178">
        <v>2</v>
      </c>
      <c r="D7" s="171">
        <f t="shared" si="0"/>
        <v>0</v>
      </c>
      <c r="E7" s="179">
        <f>AVERAGE($C$3:C6)</f>
        <v>1.25</v>
      </c>
      <c r="F7" s="179">
        <f t="shared" si="1"/>
        <v>0.5</v>
      </c>
      <c r="G7" s="179"/>
      <c r="M7" s="180"/>
    </row>
    <row r="8" spans="2:17" x14ac:dyDescent="0.3">
      <c r="B8" s="177">
        <v>6</v>
      </c>
      <c r="C8" s="178">
        <v>1</v>
      </c>
      <c r="D8" s="171">
        <f t="shared" si="0"/>
        <v>2</v>
      </c>
      <c r="E8" s="179">
        <f>AVERAGE($C$3:C7)</f>
        <v>1.4</v>
      </c>
      <c r="F8" s="179">
        <f t="shared" si="1"/>
        <v>1</v>
      </c>
      <c r="G8" s="179"/>
      <c r="M8" s="180"/>
    </row>
    <row r="9" spans="2:17" x14ac:dyDescent="0.3">
      <c r="B9" s="177">
        <v>7</v>
      </c>
      <c r="C9" s="178">
        <v>0</v>
      </c>
      <c r="D9" s="171">
        <f t="shared" si="0"/>
        <v>1</v>
      </c>
      <c r="E9" s="179">
        <f>AVERAGE($C$3:C8)</f>
        <v>1.3333333333333333</v>
      </c>
      <c r="F9" s="179">
        <f t="shared" si="1"/>
        <v>1.5</v>
      </c>
      <c r="G9" s="179"/>
      <c r="M9" s="180"/>
    </row>
    <row r="10" spans="2:17" x14ac:dyDescent="0.3">
      <c r="B10" s="177">
        <v>8</v>
      </c>
      <c r="C10" s="178">
        <v>2</v>
      </c>
      <c r="D10" s="171">
        <f t="shared" si="0"/>
        <v>0</v>
      </c>
      <c r="E10" s="179">
        <f>AVERAGE($C$3:C9)</f>
        <v>1.1428571428571428</v>
      </c>
      <c r="F10" s="179">
        <f t="shared" si="1"/>
        <v>0.5</v>
      </c>
      <c r="G10" s="179"/>
      <c r="I10" s="41" t="s">
        <v>178</v>
      </c>
      <c r="M10" s="180"/>
    </row>
    <row r="11" spans="2:17" x14ac:dyDescent="0.3">
      <c r="B11" s="177">
        <v>9</v>
      </c>
      <c r="C11" s="178">
        <v>2</v>
      </c>
      <c r="D11" s="171">
        <f t="shared" si="0"/>
        <v>2</v>
      </c>
      <c r="E11" s="179">
        <f>AVERAGE($C$3:C10)</f>
        <v>1.25</v>
      </c>
      <c r="F11" s="179">
        <f t="shared" si="1"/>
        <v>1</v>
      </c>
      <c r="G11" s="179">
        <f>AVERAGE(C3:C10)</f>
        <v>1.25</v>
      </c>
      <c r="M11" s="180"/>
    </row>
    <row r="12" spans="2:17" x14ac:dyDescent="0.3">
      <c r="B12" s="177">
        <v>10</v>
      </c>
      <c r="C12" s="178">
        <v>3</v>
      </c>
      <c r="D12" s="171">
        <f t="shared" si="0"/>
        <v>2</v>
      </c>
      <c r="E12" s="179">
        <f>AVERAGE($C$3:C11)</f>
        <v>1.3333333333333333</v>
      </c>
      <c r="F12" s="179">
        <f t="shared" si="1"/>
        <v>2</v>
      </c>
      <c r="G12" s="179">
        <f t="shared" ref="G12:G52" si="2">AVERAGE(C4:C11)</f>
        <v>1.25</v>
      </c>
      <c r="M12" s="180"/>
    </row>
    <row r="13" spans="2:17" hidden="1" x14ac:dyDescent="0.3">
      <c r="B13" s="177">
        <v>11</v>
      </c>
      <c r="C13" s="178">
        <v>1</v>
      </c>
      <c r="D13" s="171">
        <f t="shared" si="0"/>
        <v>3</v>
      </c>
      <c r="E13" s="179">
        <f>AVERAGE($C$3:C12)</f>
        <v>1.5</v>
      </c>
      <c r="F13" s="179">
        <f t="shared" si="1"/>
        <v>2.5</v>
      </c>
      <c r="G13" s="179">
        <f t="shared" si="2"/>
        <v>1.375</v>
      </c>
      <c r="M13" s="180"/>
    </row>
    <row r="14" spans="2:17" hidden="1" x14ac:dyDescent="0.3">
      <c r="B14" s="177">
        <v>12</v>
      </c>
      <c r="C14" s="178">
        <v>3</v>
      </c>
      <c r="D14" s="171">
        <f t="shared" si="0"/>
        <v>1</v>
      </c>
      <c r="E14" s="179">
        <f>AVERAGE($C$3:C13)</f>
        <v>1.4545454545454546</v>
      </c>
      <c r="F14" s="179">
        <f t="shared" si="1"/>
        <v>2</v>
      </c>
      <c r="G14" s="179">
        <f t="shared" si="2"/>
        <v>1.375</v>
      </c>
      <c r="M14" s="180"/>
    </row>
    <row r="15" spans="2:17" hidden="1" x14ac:dyDescent="0.3">
      <c r="B15" s="177">
        <v>13</v>
      </c>
      <c r="C15" s="178">
        <v>3</v>
      </c>
      <c r="D15" s="171">
        <f t="shared" si="0"/>
        <v>3</v>
      </c>
      <c r="E15" s="179">
        <f>AVERAGE($C$3:C14)</f>
        <v>1.5833333333333333</v>
      </c>
      <c r="F15" s="179">
        <f t="shared" si="1"/>
        <v>2</v>
      </c>
      <c r="G15" s="179">
        <f t="shared" si="2"/>
        <v>1.75</v>
      </c>
      <c r="M15" s="180"/>
    </row>
    <row r="16" spans="2:17" hidden="1" x14ac:dyDescent="0.3">
      <c r="B16" s="177">
        <v>14</v>
      </c>
      <c r="C16" s="178">
        <v>2</v>
      </c>
      <c r="D16" s="171">
        <f t="shared" si="0"/>
        <v>3</v>
      </c>
      <c r="E16" s="179">
        <f>AVERAGE($C$3:C15)</f>
        <v>1.6923076923076923</v>
      </c>
      <c r="F16" s="179">
        <f t="shared" si="1"/>
        <v>3</v>
      </c>
      <c r="G16" s="179">
        <f t="shared" si="2"/>
        <v>1.875</v>
      </c>
      <c r="M16" s="180"/>
    </row>
    <row r="17" spans="2:13" hidden="1" x14ac:dyDescent="0.3">
      <c r="B17" s="177">
        <v>15</v>
      </c>
      <c r="C17" s="178">
        <v>1</v>
      </c>
      <c r="D17" s="171">
        <f t="shared" si="0"/>
        <v>2</v>
      </c>
      <c r="E17" s="179">
        <f>AVERAGE($C$3:C16)</f>
        <v>1.7142857142857142</v>
      </c>
      <c r="F17" s="179">
        <f t="shared" si="1"/>
        <v>2.5</v>
      </c>
      <c r="G17" s="179">
        <f t="shared" si="2"/>
        <v>2</v>
      </c>
      <c r="M17" s="180"/>
    </row>
    <row r="18" spans="2:13" hidden="1" x14ac:dyDescent="0.3">
      <c r="B18" s="177">
        <v>16</v>
      </c>
      <c r="C18" s="178">
        <v>6</v>
      </c>
      <c r="D18" s="171">
        <f t="shared" si="0"/>
        <v>1</v>
      </c>
      <c r="E18" s="179">
        <f>AVERAGE($C$3:C17)</f>
        <v>1.6666666666666667</v>
      </c>
      <c r="F18" s="179">
        <f t="shared" si="1"/>
        <v>1.5</v>
      </c>
      <c r="G18" s="179">
        <f t="shared" si="2"/>
        <v>2.125</v>
      </c>
      <c r="M18" s="180"/>
    </row>
    <row r="19" spans="2:13" hidden="1" x14ac:dyDescent="0.3">
      <c r="B19" s="177">
        <v>17</v>
      </c>
      <c r="C19" s="178">
        <v>2</v>
      </c>
      <c r="D19" s="171">
        <f t="shared" si="0"/>
        <v>6</v>
      </c>
      <c r="E19" s="179">
        <f>AVERAGE($C$3:C18)</f>
        <v>1.9375</v>
      </c>
      <c r="F19" s="179">
        <f t="shared" si="1"/>
        <v>3.5</v>
      </c>
      <c r="G19" s="179">
        <f t="shared" si="2"/>
        <v>2.625</v>
      </c>
      <c r="M19" s="180"/>
    </row>
    <row r="20" spans="2:13" hidden="1" x14ac:dyDescent="0.3">
      <c r="B20" s="177">
        <v>18</v>
      </c>
      <c r="C20" s="178">
        <v>1</v>
      </c>
      <c r="D20" s="171">
        <f t="shared" si="0"/>
        <v>2</v>
      </c>
      <c r="E20" s="179">
        <f>AVERAGE($C$3:C19)</f>
        <v>1.9411764705882353</v>
      </c>
      <c r="F20" s="179">
        <f t="shared" si="1"/>
        <v>4</v>
      </c>
      <c r="G20" s="179">
        <f t="shared" si="2"/>
        <v>2.625</v>
      </c>
      <c r="M20" s="180"/>
    </row>
    <row r="21" spans="2:13" hidden="1" x14ac:dyDescent="0.3">
      <c r="B21" s="177">
        <v>19</v>
      </c>
      <c r="C21" s="178">
        <v>2</v>
      </c>
      <c r="D21" s="171">
        <f t="shared" si="0"/>
        <v>1</v>
      </c>
      <c r="E21" s="179">
        <f>AVERAGE($C$3:C20)</f>
        <v>1.8888888888888888</v>
      </c>
      <c r="F21" s="179">
        <f t="shared" si="1"/>
        <v>1.5</v>
      </c>
      <c r="G21" s="179">
        <f t="shared" si="2"/>
        <v>2.375</v>
      </c>
      <c r="M21" s="180"/>
    </row>
    <row r="22" spans="2:13" hidden="1" x14ac:dyDescent="0.3">
      <c r="B22" s="177">
        <v>20</v>
      </c>
      <c r="C22" s="178">
        <v>2</v>
      </c>
      <c r="D22" s="171">
        <f t="shared" si="0"/>
        <v>2</v>
      </c>
      <c r="E22" s="179">
        <f>AVERAGE($C$3:C21)</f>
        <v>1.8947368421052631</v>
      </c>
      <c r="F22" s="179">
        <f t="shared" si="1"/>
        <v>1.5</v>
      </c>
      <c r="G22" s="179">
        <f t="shared" si="2"/>
        <v>2.5</v>
      </c>
      <c r="M22" s="180"/>
    </row>
    <row r="23" spans="2:13" hidden="1" x14ac:dyDescent="0.3">
      <c r="B23" s="177">
        <v>21</v>
      </c>
      <c r="C23" s="178">
        <v>3</v>
      </c>
      <c r="D23" s="171">
        <f t="shared" si="0"/>
        <v>2</v>
      </c>
      <c r="E23" s="179">
        <f>AVERAGE($C$3:C22)</f>
        <v>1.9</v>
      </c>
      <c r="F23" s="179">
        <f t="shared" si="1"/>
        <v>2</v>
      </c>
      <c r="G23" s="179">
        <f t="shared" si="2"/>
        <v>2.375</v>
      </c>
      <c r="M23" s="180"/>
    </row>
    <row r="24" spans="2:13" hidden="1" x14ac:dyDescent="0.3">
      <c r="B24" s="177">
        <v>22</v>
      </c>
      <c r="C24" s="178">
        <v>4</v>
      </c>
      <c r="D24" s="171">
        <f t="shared" si="0"/>
        <v>3</v>
      </c>
      <c r="E24" s="179">
        <f>AVERAGE($C$3:C23)</f>
        <v>1.9523809523809523</v>
      </c>
      <c r="F24" s="179">
        <f t="shared" si="1"/>
        <v>2.5</v>
      </c>
      <c r="G24" s="179">
        <f t="shared" si="2"/>
        <v>2.375</v>
      </c>
      <c r="M24" s="180"/>
    </row>
    <row r="25" spans="2:13" hidden="1" x14ac:dyDescent="0.3">
      <c r="B25" s="177">
        <v>23</v>
      </c>
      <c r="C25" s="178">
        <v>4</v>
      </c>
      <c r="D25" s="171">
        <f t="shared" si="0"/>
        <v>4</v>
      </c>
      <c r="E25" s="179">
        <f>AVERAGE($C$3:C24)</f>
        <v>2.0454545454545454</v>
      </c>
      <c r="F25" s="179">
        <f t="shared" si="1"/>
        <v>3.5</v>
      </c>
      <c r="G25" s="179">
        <f t="shared" si="2"/>
        <v>2.625</v>
      </c>
      <c r="M25" s="180"/>
    </row>
    <row r="26" spans="2:13" hidden="1" x14ac:dyDescent="0.3">
      <c r="B26" s="177">
        <v>24</v>
      </c>
      <c r="C26" s="178">
        <v>5</v>
      </c>
      <c r="D26" s="171">
        <f t="shared" si="0"/>
        <v>4</v>
      </c>
      <c r="E26" s="179">
        <f>AVERAGE($C$3:C25)</f>
        <v>2.1304347826086958</v>
      </c>
      <c r="F26" s="179">
        <f t="shared" si="1"/>
        <v>4</v>
      </c>
      <c r="G26" s="179">
        <f t="shared" si="2"/>
        <v>3</v>
      </c>
      <c r="M26" s="180"/>
    </row>
    <row r="27" spans="2:13" ht="16.5" hidden="1" customHeight="1" x14ac:dyDescent="0.3">
      <c r="B27" s="177">
        <v>25</v>
      </c>
      <c r="C27" s="178">
        <v>4</v>
      </c>
      <c r="D27" s="171">
        <f t="shared" si="0"/>
        <v>5</v>
      </c>
      <c r="E27" s="179">
        <f>AVERAGE($C$3:C26)</f>
        <v>2.25</v>
      </c>
      <c r="F27" s="179">
        <f t="shared" si="1"/>
        <v>4.5</v>
      </c>
      <c r="G27" s="179">
        <f t="shared" si="2"/>
        <v>2.875</v>
      </c>
      <c r="M27" s="180"/>
    </row>
    <row r="28" spans="2:13" ht="16.5" hidden="1" customHeight="1" x14ac:dyDescent="0.3">
      <c r="B28" s="177">
        <v>26</v>
      </c>
      <c r="C28" s="178">
        <v>2</v>
      </c>
      <c r="D28" s="171">
        <f t="shared" si="0"/>
        <v>4</v>
      </c>
      <c r="E28" s="179">
        <f>AVERAGE($C$3:C27)</f>
        <v>2.3199999999999998</v>
      </c>
      <c r="F28" s="179">
        <f t="shared" si="1"/>
        <v>4.5</v>
      </c>
      <c r="G28" s="179">
        <f t="shared" si="2"/>
        <v>3.125</v>
      </c>
      <c r="M28" s="180"/>
    </row>
    <row r="29" spans="2:13" ht="16.5" hidden="1" customHeight="1" x14ac:dyDescent="0.3">
      <c r="B29" s="177">
        <v>27</v>
      </c>
      <c r="C29" s="178">
        <v>1</v>
      </c>
      <c r="D29" s="171">
        <f t="shared" si="0"/>
        <v>2</v>
      </c>
      <c r="E29" s="179">
        <f>AVERAGE($C$3:C28)</f>
        <v>2.3076923076923075</v>
      </c>
      <c r="F29" s="179">
        <f t="shared" si="1"/>
        <v>3</v>
      </c>
      <c r="G29" s="179">
        <f t="shared" si="2"/>
        <v>3.25</v>
      </c>
      <c r="M29" s="180"/>
    </row>
    <row r="30" spans="2:13" ht="16.5" hidden="1" customHeight="1" x14ac:dyDescent="0.3">
      <c r="B30" s="177">
        <v>28</v>
      </c>
      <c r="C30" s="178">
        <v>4</v>
      </c>
      <c r="D30" s="171">
        <f t="shared" si="0"/>
        <v>1</v>
      </c>
      <c r="E30" s="179">
        <f>AVERAGE($C$3:C29)</f>
        <v>2.2592592592592591</v>
      </c>
      <c r="F30" s="179">
        <f t="shared" si="1"/>
        <v>1.5</v>
      </c>
      <c r="G30" s="179">
        <f t="shared" si="2"/>
        <v>3.125</v>
      </c>
      <c r="M30" s="180"/>
    </row>
    <row r="31" spans="2:13" ht="16.5" hidden="1" customHeight="1" x14ac:dyDescent="0.3">
      <c r="B31" s="177">
        <v>29</v>
      </c>
      <c r="C31" s="178">
        <v>3</v>
      </c>
      <c r="D31" s="171">
        <f t="shared" si="0"/>
        <v>4</v>
      </c>
      <c r="E31" s="179">
        <f>AVERAGE($C$3:C30)</f>
        <v>2.3214285714285716</v>
      </c>
      <c r="F31" s="179">
        <f t="shared" si="1"/>
        <v>2.5</v>
      </c>
      <c r="G31" s="179">
        <f t="shared" si="2"/>
        <v>3.375</v>
      </c>
      <c r="M31" s="180"/>
    </row>
    <row r="32" spans="2:13" ht="16.5" hidden="1" customHeight="1" x14ac:dyDescent="0.3">
      <c r="B32" s="177">
        <v>30</v>
      </c>
      <c r="C32" s="178">
        <v>4</v>
      </c>
      <c r="D32" s="171">
        <f t="shared" si="0"/>
        <v>3</v>
      </c>
      <c r="E32" s="179">
        <f>AVERAGE($C$3:C31)</f>
        <v>2.3448275862068964</v>
      </c>
      <c r="F32" s="179">
        <f t="shared" si="1"/>
        <v>3.5</v>
      </c>
      <c r="G32" s="179">
        <f t="shared" si="2"/>
        <v>3.375</v>
      </c>
      <c r="M32" s="180"/>
    </row>
    <row r="33" spans="2:13" ht="16.5" hidden="1" customHeight="1" x14ac:dyDescent="0.3">
      <c r="B33" s="177">
        <v>31</v>
      </c>
      <c r="C33" s="178">
        <v>3</v>
      </c>
      <c r="D33" s="171">
        <f t="shared" si="0"/>
        <v>4</v>
      </c>
      <c r="E33" s="179">
        <f>AVERAGE($C$3:C32)</f>
        <v>2.4</v>
      </c>
      <c r="F33" s="179">
        <f t="shared" si="1"/>
        <v>3.5</v>
      </c>
      <c r="G33" s="179">
        <f t="shared" si="2"/>
        <v>3.375</v>
      </c>
      <c r="M33" s="180"/>
    </row>
    <row r="34" spans="2:13" ht="16.5" hidden="1" customHeight="1" x14ac:dyDescent="0.3">
      <c r="B34" s="177">
        <v>32</v>
      </c>
      <c r="C34" s="178">
        <v>1</v>
      </c>
      <c r="D34" s="171">
        <f t="shared" si="0"/>
        <v>3</v>
      </c>
      <c r="E34" s="179">
        <f>AVERAGE($C$3:C33)</f>
        <v>2.4193548387096775</v>
      </c>
      <c r="F34" s="179">
        <f t="shared" si="1"/>
        <v>3.5</v>
      </c>
      <c r="G34" s="179">
        <f t="shared" si="2"/>
        <v>3.25</v>
      </c>
      <c r="M34" s="180"/>
    </row>
    <row r="35" spans="2:13" ht="16.5" hidden="1" customHeight="1" x14ac:dyDescent="0.3">
      <c r="B35" s="177">
        <v>33</v>
      </c>
      <c r="C35" s="178">
        <v>5</v>
      </c>
      <c r="D35" s="171">
        <f t="shared" si="0"/>
        <v>1</v>
      </c>
      <c r="E35" s="179">
        <f>AVERAGE($C$3:C34)</f>
        <v>2.375</v>
      </c>
      <c r="F35" s="179">
        <f t="shared" si="1"/>
        <v>2</v>
      </c>
      <c r="G35" s="179">
        <f t="shared" si="2"/>
        <v>2.75</v>
      </c>
      <c r="M35" s="180"/>
    </row>
    <row r="36" spans="2:13" ht="16.5" hidden="1" customHeight="1" x14ac:dyDescent="0.3">
      <c r="B36" s="177">
        <v>34</v>
      </c>
      <c r="C36" s="178">
        <v>2</v>
      </c>
      <c r="D36" s="171">
        <f t="shared" si="0"/>
        <v>5</v>
      </c>
      <c r="E36" s="179">
        <f>AVERAGE($C$3:C35)</f>
        <v>2.4545454545454546</v>
      </c>
      <c r="F36" s="179">
        <f t="shared" si="1"/>
        <v>3</v>
      </c>
      <c r="G36" s="179">
        <f t="shared" si="2"/>
        <v>2.875</v>
      </c>
      <c r="M36" s="180"/>
    </row>
    <row r="37" spans="2:13" ht="16.5" customHeight="1" x14ac:dyDescent="0.3">
      <c r="B37" s="177">
        <v>35</v>
      </c>
      <c r="C37" s="178">
        <v>0</v>
      </c>
      <c r="D37" s="171">
        <f t="shared" si="0"/>
        <v>2</v>
      </c>
      <c r="E37" s="179">
        <f>AVERAGE($C$3:C36)</f>
        <v>2.4411764705882355</v>
      </c>
      <c r="F37" s="179">
        <f t="shared" si="1"/>
        <v>3.5</v>
      </c>
      <c r="G37" s="179">
        <f t="shared" si="2"/>
        <v>2.875</v>
      </c>
      <c r="M37" s="180"/>
    </row>
    <row r="38" spans="2:13" ht="16.5" customHeight="1" x14ac:dyDescent="0.3">
      <c r="B38" s="177">
        <v>36</v>
      </c>
      <c r="C38" s="178">
        <v>7</v>
      </c>
      <c r="D38" s="171">
        <f t="shared" si="0"/>
        <v>0</v>
      </c>
      <c r="E38" s="179">
        <f>AVERAGE($C$3:C37)</f>
        <v>2.3714285714285714</v>
      </c>
      <c r="F38" s="179">
        <f t="shared" si="1"/>
        <v>1</v>
      </c>
      <c r="G38" s="179">
        <f t="shared" si="2"/>
        <v>2.75</v>
      </c>
      <c r="M38" s="180"/>
    </row>
    <row r="39" spans="2:13" ht="16.5" customHeight="1" x14ac:dyDescent="0.3">
      <c r="B39" s="177">
        <v>37</v>
      </c>
      <c r="C39" s="178">
        <v>3</v>
      </c>
      <c r="D39" s="171">
        <f t="shared" si="0"/>
        <v>7</v>
      </c>
      <c r="E39" s="179">
        <f>AVERAGE($C$3:C38)</f>
        <v>2.5</v>
      </c>
      <c r="F39" s="179">
        <f t="shared" si="1"/>
        <v>3.5</v>
      </c>
      <c r="G39" s="179">
        <f t="shared" si="2"/>
        <v>3.125</v>
      </c>
      <c r="M39" s="180"/>
    </row>
    <row r="40" spans="2:13" ht="16.5" customHeight="1" x14ac:dyDescent="0.3">
      <c r="B40" s="177">
        <v>38</v>
      </c>
      <c r="C40" s="178">
        <v>5</v>
      </c>
      <c r="D40" s="171">
        <f t="shared" si="0"/>
        <v>3</v>
      </c>
      <c r="E40" s="179">
        <f>AVERAGE($C$3:C39)</f>
        <v>2.5135135135135136</v>
      </c>
      <c r="F40" s="179">
        <f t="shared" si="1"/>
        <v>5</v>
      </c>
      <c r="G40" s="179">
        <f t="shared" si="2"/>
        <v>3.125</v>
      </c>
      <c r="M40" s="180"/>
    </row>
    <row r="41" spans="2:13" ht="16.5" customHeight="1" x14ac:dyDescent="0.3">
      <c r="B41" s="177">
        <v>39</v>
      </c>
      <c r="C41" s="178">
        <v>5</v>
      </c>
      <c r="D41" s="171">
        <f t="shared" si="0"/>
        <v>5</v>
      </c>
      <c r="E41" s="179">
        <f>AVERAGE($C$3:C40)</f>
        <v>2.5789473684210527</v>
      </c>
      <c r="F41" s="179">
        <f t="shared" si="1"/>
        <v>4</v>
      </c>
      <c r="G41" s="179">
        <f t="shared" si="2"/>
        <v>3.25</v>
      </c>
      <c r="M41" s="180"/>
    </row>
    <row r="42" spans="2:13" ht="16.5" customHeight="1" x14ac:dyDescent="0.3">
      <c r="B42" s="177">
        <v>40</v>
      </c>
      <c r="C42" s="178">
        <v>6</v>
      </c>
      <c r="D42" s="171">
        <f t="shared" si="0"/>
        <v>5</v>
      </c>
      <c r="E42" s="179">
        <f>AVERAGE($C$3:C41)</f>
        <v>2.641025641025641</v>
      </c>
      <c r="F42" s="179">
        <f t="shared" si="1"/>
        <v>5</v>
      </c>
      <c r="G42" s="179">
        <f t="shared" si="2"/>
        <v>3.5</v>
      </c>
      <c r="M42" s="180"/>
    </row>
    <row r="43" spans="2:13" ht="16.5" customHeight="1" x14ac:dyDescent="0.3">
      <c r="B43" s="177">
        <v>41</v>
      </c>
      <c r="C43" s="178">
        <v>2</v>
      </c>
      <c r="D43" s="171">
        <f t="shared" si="0"/>
        <v>6</v>
      </c>
      <c r="E43" s="179">
        <f>AVERAGE($C$3:C42)</f>
        <v>2.7250000000000001</v>
      </c>
      <c r="F43" s="179">
        <f t="shared" si="1"/>
        <v>5.5</v>
      </c>
      <c r="G43" s="179">
        <f t="shared" si="2"/>
        <v>4.125</v>
      </c>
      <c r="M43" s="180"/>
    </row>
    <row r="44" spans="2:13" ht="16.5" customHeight="1" x14ac:dyDescent="0.3">
      <c r="B44" s="177">
        <v>42</v>
      </c>
      <c r="C44" s="178">
        <v>3</v>
      </c>
      <c r="D44" s="171">
        <f t="shared" si="0"/>
        <v>2</v>
      </c>
      <c r="E44" s="179">
        <f>AVERAGE($C$3:C43)</f>
        <v>2.7073170731707319</v>
      </c>
      <c r="F44" s="179">
        <f t="shared" si="1"/>
        <v>4</v>
      </c>
      <c r="G44" s="179">
        <f t="shared" si="2"/>
        <v>3.75</v>
      </c>
      <c r="M44" s="180"/>
    </row>
    <row r="45" spans="2:13" x14ac:dyDescent="0.3">
      <c r="B45" s="177">
        <v>43</v>
      </c>
      <c r="C45" s="178">
        <v>4</v>
      </c>
      <c r="D45" s="171">
        <f t="shared" si="0"/>
        <v>3</v>
      </c>
      <c r="E45" s="179">
        <f>AVERAGE($C$3:C44)</f>
        <v>2.7142857142857144</v>
      </c>
      <c r="F45" s="179">
        <f t="shared" si="1"/>
        <v>2.5</v>
      </c>
      <c r="G45" s="179">
        <f t="shared" si="2"/>
        <v>3.875</v>
      </c>
      <c r="M45" s="180"/>
    </row>
    <row r="46" spans="2:13" x14ac:dyDescent="0.3">
      <c r="B46" s="177">
        <v>44</v>
      </c>
      <c r="C46" s="178">
        <v>2</v>
      </c>
      <c r="D46" s="171">
        <f t="shared" si="0"/>
        <v>4</v>
      </c>
      <c r="E46" s="179">
        <f>AVERAGE($C$3:C45)</f>
        <v>2.7441860465116279</v>
      </c>
      <c r="F46" s="179">
        <f t="shared" si="1"/>
        <v>3.5</v>
      </c>
      <c r="G46" s="179">
        <f t="shared" si="2"/>
        <v>4.375</v>
      </c>
      <c r="I46" s="181" t="s">
        <v>179</v>
      </c>
      <c r="J46" s="182">
        <f>AVERAGE($C$3:$C$52)</f>
        <v>3.06</v>
      </c>
      <c r="K46"/>
      <c r="M46" s="180"/>
    </row>
    <row r="47" spans="2:13" x14ac:dyDescent="0.3">
      <c r="B47" s="177">
        <v>45</v>
      </c>
      <c r="C47" s="178">
        <v>3</v>
      </c>
      <c r="D47" s="171">
        <f t="shared" si="0"/>
        <v>2</v>
      </c>
      <c r="E47" s="179">
        <f>AVERAGE($C$3:C46)</f>
        <v>2.7272727272727271</v>
      </c>
      <c r="F47" s="179">
        <f t="shared" si="1"/>
        <v>3</v>
      </c>
      <c r="G47" s="179">
        <f t="shared" si="2"/>
        <v>3.75</v>
      </c>
      <c r="I47" s="181" t="s">
        <v>15</v>
      </c>
      <c r="J47" s="182">
        <f>_xlfn.STDEV.S($C$3:$C$52)</f>
        <v>2.0445048300260873</v>
      </c>
      <c r="K47"/>
      <c r="M47" s="180"/>
    </row>
    <row r="48" spans="2:13" x14ac:dyDescent="0.3">
      <c r="B48" s="177">
        <v>46</v>
      </c>
      <c r="C48" s="178">
        <v>3</v>
      </c>
      <c r="D48" s="171">
        <f t="shared" si="0"/>
        <v>3</v>
      </c>
      <c r="E48" s="179">
        <f>AVERAGE($C$3:C47)</f>
        <v>2.7333333333333334</v>
      </c>
      <c r="F48" s="179">
        <f t="shared" si="1"/>
        <v>2.5</v>
      </c>
      <c r="G48" s="179">
        <f t="shared" si="2"/>
        <v>3.75</v>
      </c>
      <c r="I48" s="181" t="s">
        <v>16</v>
      </c>
      <c r="J48" s="182">
        <f>J47/J46</f>
        <v>0.66813883334185853</v>
      </c>
      <c r="K48"/>
      <c r="M48" s="180"/>
    </row>
    <row r="49" spans="2:13" x14ac:dyDescent="0.3">
      <c r="B49" s="177">
        <v>47</v>
      </c>
      <c r="C49" s="178">
        <v>6</v>
      </c>
      <c r="D49" s="171">
        <f t="shared" si="0"/>
        <v>3</v>
      </c>
      <c r="E49" s="179">
        <f>AVERAGE($C$3:C48)</f>
        <v>2.7391304347826089</v>
      </c>
      <c r="F49" s="179">
        <f t="shared" si="1"/>
        <v>3</v>
      </c>
      <c r="G49" s="179">
        <f t="shared" si="2"/>
        <v>3.5</v>
      </c>
      <c r="I49" s="181" t="s">
        <v>80</v>
      </c>
      <c r="J49" s="183">
        <f>MEDIAN($C$3:$C$52)</f>
        <v>3</v>
      </c>
      <c r="K49"/>
      <c r="M49" s="180"/>
    </row>
    <row r="50" spans="2:13" x14ac:dyDescent="0.3">
      <c r="B50" s="177">
        <v>48</v>
      </c>
      <c r="C50" s="178">
        <v>11</v>
      </c>
      <c r="D50" s="171">
        <f t="shared" si="0"/>
        <v>6</v>
      </c>
      <c r="E50" s="179">
        <f>AVERAGE($C$3:C49)</f>
        <v>2.8085106382978724</v>
      </c>
      <c r="F50" s="179">
        <f t="shared" si="1"/>
        <v>4.5</v>
      </c>
      <c r="G50" s="179">
        <f t="shared" si="2"/>
        <v>3.625</v>
      </c>
      <c r="I50" s="181" t="s">
        <v>13</v>
      </c>
      <c r="J50" s="183">
        <f>MAX($C$3:$C$52)</f>
        <v>11</v>
      </c>
      <c r="K50"/>
      <c r="M50" s="180"/>
    </row>
    <row r="51" spans="2:13" x14ac:dyDescent="0.3">
      <c r="B51" s="177">
        <v>49</v>
      </c>
      <c r="C51" s="178">
        <v>5</v>
      </c>
      <c r="D51" s="171">
        <f t="shared" si="0"/>
        <v>11</v>
      </c>
      <c r="E51" s="179">
        <f>AVERAGE($C$3:C50)</f>
        <v>2.9791666666666665</v>
      </c>
      <c r="F51" s="179">
        <f t="shared" si="1"/>
        <v>8.5</v>
      </c>
      <c r="G51" s="179">
        <f t="shared" si="2"/>
        <v>4.25</v>
      </c>
      <c r="I51" s="181" t="s">
        <v>14</v>
      </c>
      <c r="J51" s="183">
        <f>MIN($C$3:$C$52)</f>
        <v>0</v>
      </c>
      <c r="K51"/>
      <c r="M51" s="180"/>
    </row>
    <row r="52" spans="2:13" x14ac:dyDescent="0.3">
      <c r="B52" s="177">
        <v>50</v>
      </c>
      <c r="C52" s="178">
        <v>5</v>
      </c>
      <c r="D52" s="171">
        <f t="shared" si="0"/>
        <v>5</v>
      </c>
      <c r="E52" s="179">
        <f>AVERAGE($C$3:C51)</f>
        <v>3.0204081632653059</v>
      </c>
      <c r="F52" s="179">
        <f t="shared" si="1"/>
        <v>8</v>
      </c>
      <c r="G52" s="179">
        <f t="shared" si="2"/>
        <v>4.625</v>
      </c>
      <c r="I52" s="181" t="s">
        <v>180</v>
      </c>
      <c r="J52" s="183">
        <f>J50-J51</f>
        <v>11</v>
      </c>
      <c r="K52"/>
      <c r="M52" s="180"/>
    </row>
    <row r="53" spans="2:13" x14ac:dyDescent="0.3">
      <c r="B53" s="184">
        <v>51</v>
      </c>
      <c r="D53" s="184">
        <f t="shared" si="0"/>
        <v>5</v>
      </c>
      <c r="E53" s="184">
        <f>AVERAGE($C$3:C52)</f>
        <v>3.06</v>
      </c>
      <c r="F53" s="184">
        <f t="shared" si="1"/>
        <v>5</v>
      </c>
      <c r="G53" s="185">
        <f t="shared" ref="G53" si="3">AVERAGE(C45:C53)</f>
        <v>4.875</v>
      </c>
      <c r="I53" s="181" t="s">
        <v>181</v>
      </c>
      <c r="J53" s="182">
        <f>J52/J49</f>
        <v>3.6666666666666665</v>
      </c>
      <c r="K53"/>
      <c r="M53" s="180"/>
    </row>
    <row r="54" spans="2:13" ht="7.5" customHeight="1" x14ac:dyDescent="0.3"/>
  </sheetData>
  <hyperlinks>
    <hyperlink ref="M2" r:id="rId1" xr:uid="{325BEE99-E342-441A-9297-8E1D0ACDBDB4}"/>
  </hyperlinks>
  <pageMargins left="0.75" right="0.75" top="1" bottom="1" header="0.5" footer="0.5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121AF-1911-4E06-87E1-4D8AA73A8963}">
  <sheetPr>
    <tabColor rgb="FFFFFF00"/>
  </sheetPr>
  <dimension ref="A1:L52"/>
  <sheetViews>
    <sheetView workbookViewId="0">
      <selection activeCell="J30" sqref="J30"/>
    </sheetView>
  </sheetViews>
  <sheetFormatPr defaultRowHeight="15" x14ac:dyDescent="0.25"/>
  <cols>
    <col min="1" max="1" width="4.85546875" bestFit="1" customWidth="1"/>
    <col min="2" max="2" width="4.7109375" style="12" bestFit="1" customWidth="1"/>
    <col min="3" max="3" width="6.7109375" style="202" bestFit="1" customWidth="1"/>
    <col min="4" max="4" width="9.140625" style="199"/>
    <col min="5" max="6" width="9.140625" style="200"/>
    <col min="7" max="7" width="9.140625" style="201"/>
    <col min="8" max="8" width="11" bestFit="1" customWidth="1"/>
    <col min="15" max="15" width="4.7109375" customWidth="1"/>
  </cols>
  <sheetData>
    <row r="1" spans="1:12" ht="15.75" thickBot="1" x14ac:dyDescent="0.3">
      <c r="A1" s="1" t="s">
        <v>170</v>
      </c>
      <c r="B1" s="186" t="s">
        <v>0</v>
      </c>
      <c r="C1" s="187" t="s">
        <v>182</v>
      </c>
      <c r="D1" s="188" t="s">
        <v>183</v>
      </c>
      <c r="E1" s="189" t="s">
        <v>2</v>
      </c>
      <c r="F1" s="189" t="s">
        <v>1</v>
      </c>
      <c r="G1" s="190" t="s">
        <v>24</v>
      </c>
      <c r="H1" s="191"/>
    </row>
    <row r="2" spans="1:12" x14ac:dyDescent="0.25">
      <c r="A2" s="192">
        <v>1</v>
      </c>
      <c r="B2" s="193">
        <v>2</v>
      </c>
      <c r="C2" s="187"/>
      <c r="D2" s="188"/>
      <c r="E2" s="189"/>
      <c r="F2" s="189"/>
      <c r="G2" s="190"/>
    </row>
    <row r="3" spans="1:12" x14ac:dyDescent="0.25">
      <c r="A3" s="192">
        <v>2</v>
      </c>
      <c r="B3" s="193">
        <v>2</v>
      </c>
      <c r="C3" s="187"/>
      <c r="D3" s="188"/>
      <c r="E3" s="189"/>
      <c r="F3" s="189"/>
      <c r="G3" s="190"/>
    </row>
    <row r="4" spans="1:12" x14ac:dyDescent="0.25">
      <c r="A4" s="192">
        <v>3</v>
      </c>
      <c r="B4" s="193">
        <v>1</v>
      </c>
      <c r="C4" s="187"/>
      <c r="D4" s="188"/>
      <c r="E4" s="189"/>
      <c r="F4" s="189"/>
      <c r="G4" s="190"/>
      <c r="J4" t="s">
        <v>184</v>
      </c>
      <c r="K4" t="s">
        <v>185</v>
      </c>
      <c r="L4" t="s">
        <v>186</v>
      </c>
    </row>
    <row r="5" spans="1:12" x14ac:dyDescent="0.25">
      <c r="A5" s="192">
        <v>4</v>
      </c>
      <c r="B5" s="193">
        <v>0</v>
      </c>
      <c r="C5" s="187"/>
      <c r="D5" s="188"/>
      <c r="E5" s="189"/>
      <c r="F5" s="189"/>
      <c r="G5" s="190"/>
      <c r="I5">
        <v>1</v>
      </c>
      <c r="J5">
        <v>-5</v>
      </c>
      <c r="K5">
        <v>5</v>
      </c>
      <c r="L5">
        <v>0</v>
      </c>
    </row>
    <row r="6" spans="1:12" x14ac:dyDescent="0.25">
      <c r="A6" s="192">
        <v>5</v>
      </c>
      <c r="B6" s="193">
        <v>2</v>
      </c>
      <c r="C6" s="187"/>
      <c r="D6" s="188"/>
      <c r="E6" s="189"/>
      <c r="F6" s="189"/>
      <c r="G6" s="190"/>
      <c r="I6">
        <v>50</v>
      </c>
      <c r="J6">
        <v>-5</v>
      </c>
      <c r="K6">
        <v>5</v>
      </c>
      <c r="L6">
        <v>0</v>
      </c>
    </row>
    <row r="7" spans="1:12" x14ac:dyDescent="0.25">
      <c r="A7" s="192">
        <v>6</v>
      </c>
      <c r="B7" s="193">
        <v>1</v>
      </c>
      <c r="C7" s="187"/>
      <c r="D7" s="188"/>
      <c r="E7" s="189"/>
      <c r="F7" s="189"/>
      <c r="G7" s="190"/>
    </row>
    <row r="8" spans="1:12" x14ac:dyDescent="0.25">
      <c r="A8" s="192">
        <v>7</v>
      </c>
      <c r="B8" s="193">
        <v>0</v>
      </c>
      <c r="C8" s="194">
        <f>AVERAGE(B2:B7)</f>
        <v>1.3333333333333333</v>
      </c>
      <c r="D8" s="195">
        <f>B8-C8</f>
        <v>-1.3333333333333333</v>
      </c>
      <c r="E8" s="196">
        <f>ABS(D8)</f>
        <v>1.3333333333333333</v>
      </c>
      <c r="F8" s="196">
        <f>AVERAGE(E$8:E8)</f>
        <v>1.3333333333333333</v>
      </c>
      <c r="G8" s="197">
        <f>SUM(D$8:D8)/F8</f>
        <v>-1</v>
      </c>
    </row>
    <row r="9" spans="1:12" x14ac:dyDescent="0.25">
      <c r="A9" s="192">
        <v>8</v>
      </c>
      <c r="B9" s="193">
        <v>2</v>
      </c>
      <c r="C9" s="194">
        <f t="shared" ref="C9:C52" si="0">AVERAGE(B3:B8)</f>
        <v>1</v>
      </c>
      <c r="D9" s="195">
        <f t="shared" ref="D9:D51" si="1">B9-C9</f>
        <v>1</v>
      </c>
      <c r="E9" s="196">
        <f t="shared" ref="E9:E51" si="2">ABS(D9)</f>
        <v>1</v>
      </c>
      <c r="F9" s="196">
        <f>AVERAGE(E$8:E9)</f>
        <v>1.1666666666666665</v>
      </c>
      <c r="G9" s="197">
        <f>SUM(D$8:D9)/F9</f>
        <v>-0.2857142857142857</v>
      </c>
    </row>
    <row r="10" spans="1:12" x14ac:dyDescent="0.25">
      <c r="A10" s="192">
        <v>9</v>
      </c>
      <c r="B10" s="193">
        <v>2</v>
      </c>
      <c r="C10" s="194">
        <f t="shared" si="0"/>
        <v>1</v>
      </c>
      <c r="D10" s="195">
        <f t="shared" si="1"/>
        <v>1</v>
      </c>
      <c r="E10" s="196">
        <f t="shared" si="2"/>
        <v>1</v>
      </c>
      <c r="F10" s="196">
        <f>AVERAGE(E$8:E10)</f>
        <v>1.1111111111111109</v>
      </c>
      <c r="G10" s="197">
        <f>SUM(D$8:D10)/F10</f>
        <v>0.6000000000000002</v>
      </c>
    </row>
    <row r="11" spans="1:12" x14ac:dyDescent="0.25">
      <c r="A11" s="192">
        <v>10</v>
      </c>
      <c r="B11" s="193">
        <v>3</v>
      </c>
      <c r="C11" s="194">
        <f t="shared" si="0"/>
        <v>1.1666666666666667</v>
      </c>
      <c r="D11" s="195">
        <f>B11-C11</f>
        <v>1.8333333333333333</v>
      </c>
      <c r="E11" s="196">
        <f t="shared" si="2"/>
        <v>1.8333333333333333</v>
      </c>
      <c r="F11" s="196">
        <f>AVERAGE(E$8:E11)</f>
        <v>1.2916666666666665</v>
      </c>
      <c r="G11" s="197">
        <f>SUM(D$8:D11)/F11</f>
        <v>1.9354838709677422</v>
      </c>
    </row>
    <row r="12" spans="1:12" x14ac:dyDescent="0.25">
      <c r="A12" s="192">
        <v>11</v>
      </c>
      <c r="B12" s="193">
        <v>1</v>
      </c>
      <c r="C12" s="194">
        <f t="shared" si="0"/>
        <v>1.6666666666666667</v>
      </c>
      <c r="D12" s="195">
        <f t="shared" si="1"/>
        <v>-0.66666666666666674</v>
      </c>
      <c r="E12" s="196">
        <f>ABS(D12)</f>
        <v>0.66666666666666674</v>
      </c>
      <c r="F12" s="196">
        <f>AVERAGE(E$8:E12)</f>
        <v>1.1666666666666665</v>
      </c>
      <c r="G12" s="197">
        <f>SUM(D$8:D12)/F12</f>
        <v>1.5714285714285716</v>
      </c>
    </row>
    <row r="13" spans="1:12" x14ac:dyDescent="0.25">
      <c r="A13" s="192">
        <v>12</v>
      </c>
      <c r="B13" s="193">
        <v>3</v>
      </c>
      <c r="C13" s="194">
        <f t="shared" si="0"/>
        <v>1.5</v>
      </c>
      <c r="D13" s="195">
        <f t="shared" si="1"/>
        <v>1.5</v>
      </c>
      <c r="E13" s="196">
        <f t="shared" si="2"/>
        <v>1.5</v>
      </c>
      <c r="F13" s="196">
        <f>AVERAGE(E$8:E13)</f>
        <v>1.2222222222222221</v>
      </c>
      <c r="G13" s="197">
        <f>SUM(D$8:D13)/F13</f>
        <v>2.7272727272727275</v>
      </c>
    </row>
    <row r="14" spans="1:12" x14ac:dyDescent="0.25">
      <c r="A14" s="192">
        <v>13</v>
      </c>
      <c r="B14" s="193">
        <v>3</v>
      </c>
      <c r="C14" s="194">
        <f t="shared" si="0"/>
        <v>1.8333333333333333</v>
      </c>
      <c r="D14" s="195">
        <f t="shared" si="1"/>
        <v>1.1666666666666667</v>
      </c>
      <c r="E14" s="196">
        <f t="shared" si="2"/>
        <v>1.1666666666666667</v>
      </c>
      <c r="F14" s="196">
        <f>AVERAGE(E$8:E14)</f>
        <v>1.2142857142857142</v>
      </c>
      <c r="G14" s="197">
        <f>SUM(D$8:D14)/F14</f>
        <v>3.7058823529411766</v>
      </c>
    </row>
    <row r="15" spans="1:12" x14ac:dyDescent="0.25">
      <c r="A15" s="192">
        <v>14</v>
      </c>
      <c r="B15" s="193">
        <v>2</v>
      </c>
      <c r="C15" s="194">
        <f t="shared" si="0"/>
        <v>2.3333333333333335</v>
      </c>
      <c r="D15" s="195">
        <f t="shared" si="1"/>
        <v>-0.33333333333333348</v>
      </c>
      <c r="E15" s="196">
        <f t="shared" si="2"/>
        <v>0.33333333333333348</v>
      </c>
      <c r="F15" s="196">
        <f>AVERAGE(E$8:E15)</f>
        <v>1.1041666666666667</v>
      </c>
      <c r="G15" s="197">
        <f>SUM(D$8:D15)/F15</f>
        <v>3.7735849056603765</v>
      </c>
    </row>
    <row r="16" spans="1:12" x14ac:dyDescent="0.25">
      <c r="A16" s="192">
        <v>15</v>
      </c>
      <c r="B16" s="193">
        <v>1</v>
      </c>
      <c r="C16" s="194">
        <f t="shared" si="0"/>
        <v>2.3333333333333335</v>
      </c>
      <c r="D16" s="195">
        <f t="shared" si="1"/>
        <v>-1.3333333333333335</v>
      </c>
      <c r="E16" s="196">
        <f t="shared" si="2"/>
        <v>1.3333333333333335</v>
      </c>
      <c r="F16" s="196">
        <f>AVERAGE(E$8:E16)</f>
        <v>1.1296296296296298</v>
      </c>
      <c r="G16" s="197">
        <f>SUM(D$8:D16)/F16</f>
        <v>2.5081967213114744</v>
      </c>
    </row>
    <row r="17" spans="1:7" hidden="1" x14ac:dyDescent="0.25">
      <c r="A17" s="192">
        <v>16</v>
      </c>
      <c r="B17" s="193">
        <v>6</v>
      </c>
      <c r="C17" s="194">
        <f t="shared" si="0"/>
        <v>2.1666666666666665</v>
      </c>
      <c r="D17" s="195">
        <f t="shared" si="1"/>
        <v>3.8333333333333335</v>
      </c>
      <c r="E17" s="196">
        <f t="shared" si="2"/>
        <v>3.8333333333333335</v>
      </c>
      <c r="F17" s="196">
        <f>AVERAGE(E$8:E17)</f>
        <v>1.4000000000000001</v>
      </c>
      <c r="G17" s="197">
        <f>SUM(D$8:D17)/F17</f>
        <v>4.761904761904761</v>
      </c>
    </row>
    <row r="18" spans="1:7" hidden="1" x14ac:dyDescent="0.25">
      <c r="A18" s="192">
        <v>17</v>
      </c>
      <c r="B18" s="193">
        <v>2</v>
      </c>
      <c r="C18" s="194">
        <f t="shared" si="0"/>
        <v>2.6666666666666665</v>
      </c>
      <c r="D18" s="195">
        <f t="shared" si="1"/>
        <v>-0.66666666666666652</v>
      </c>
      <c r="E18" s="196">
        <f t="shared" si="2"/>
        <v>0.66666666666666652</v>
      </c>
      <c r="F18" s="196">
        <f>AVERAGE(E$8:E18)</f>
        <v>1.3333333333333335</v>
      </c>
      <c r="G18" s="197">
        <f>SUM(D$8:D18)/F18</f>
        <v>4.4999999999999991</v>
      </c>
    </row>
    <row r="19" spans="1:7" hidden="1" x14ac:dyDescent="0.25">
      <c r="A19" s="192">
        <v>18</v>
      </c>
      <c r="B19" s="193">
        <v>1</v>
      </c>
      <c r="C19" s="194">
        <f t="shared" si="0"/>
        <v>2.8333333333333335</v>
      </c>
      <c r="D19" s="195">
        <f t="shared" si="1"/>
        <v>-1.8333333333333335</v>
      </c>
      <c r="E19" s="196">
        <f t="shared" si="2"/>
        <v>1.8333333333333335</v>
      </c>
      <c r="F19" s="196">
        <f>AVERAGE(E$8:E19)</f>
        <v>1.375</v>
      </c>
      <c r="G19" s="197">
        <f>SUM(D$8:D19)/F19</f>
        <v>3.0303030303030298</v>
      </c>
    </row>
    <row r="20" spans="1:7" hidden="1" x14ac:dyDescent="0.25">
      <c r="A20" s="192">
        <v>19</v>
      </c>
      <c r="B20" s="193">
        <v>2</v>
      </c>
      <c r="C20" s="194">
        <f t="shared" si="0"/>
        <v>2.5</v>
      </c>
      <c r="D20" s="195">
        <f t="shared" si="1"/>
        <v>-0.5</v>
      </c>
      <c r="E20" s="196">
        <f t="shared" si="2"/>
        <v>0.5</v>
      </c>
      <c r="F20" s="196">
        <f>AVERAGE(E$8:E20)</f>
        <v>1.3076923076923077</v>
      </c>
      <c r="G20" s="197">
        <f>SUM(D$8:D20)/F20</f>
        <v>2.8039215686274503</v>
      </c>
    </row>
    <row r="21" spans="1:7" hidden="1" x14ac:dyDescent="0.25">
      <c r="A21" s="192">
        <v>20</v>
      </c>
      <c r="B21" s="193">
        <v>2</v>
      </c>
      <c r="C21" s="194">
        <f t="shared" si="0"/>
        <v>2.3333333333333335</v>
      </c>
      <c r="D21" s="195">
        <f t="shared" si="1"/>
        <v>-0.33333333333333348</v>
      </c>
      <c r="E21" s="196">
        <f t="shared" si="2"/>
        <v>0.33333333333333348</v>
      </c>
      <c r="F21" s="196">
        <f>AVERAGE(E$8:E21)</f>
        <v>1.2380952380952379</v>
      </c>
      <c r="G21" s="197">
        <f>SUM(D$8:D21)/F21</f>
        <v>2.6923076923076921</v>
      </c>
    </row>
    <row r="22" spans="1:7" hidden="1" x14ac:dyDescent="0.25">
      <c r="A22" s="192">
        <v>21</v>
      </c>
      <c r="B22" s="193">
        <v>3</v>
      </c>
      <c r="C22" s="194">
        <f t="shared" si="0"/>
        <v>2.3333333333333335</v>
      </c>
      <c r="D22" s="195">
        <f t="shared" si="1"/>
        <v>0.66666666666666652</v>
      </c>
      <c r="E22" s="196">
        <f t="shared" si="2"/>
        <v>0.66666666666666652</v>
      </c>
      <c r="F22" s="196">
        <f>AVERAGE(E$8:E22)</f>
        <v>1.2</v>
      </c>
      <c r="G22" s="197">
        <f>SUM(D$8:D22)/F22</f>
        <v>3.3333333333333326</v>
      </c>
    </row>
    <row r="23" spans="1:7" hidden="1" x14ac:dyDescent="0.25">
      <c r="A23" s="192">
        <v>22</v>
      </c>
      <c r="B23" s="193">
        <v>4</v>
      </c>
      <c r="C23" s="194">
        <f t="shared" si="0"/>
        <v>2.6666666666666665</v>
      </c>
      <c r="D23" s="195">
        <f t="shared" si="1"/>
        <v>1.3333333333333335</v>
      </c>
      <c r="E23" s="196">
        <f t="shared" si="2"/>
        <v>1.3333333333333335</v>
      </c>
      <c r="F23" s="196">
        <f>AVERAGE(E$8:E23)</f>
        <v>1.2083333333333333</v>
      </c>
      <c r="G23" s="197">
        <f>SUM(D$8:D23)/F23</f>
        <v>4.4137931034482749</v>
      </c>
    </row>
    <row r="24" spans="1:7" hidden="1" x14ac:dyDescent="0.25">
      <c r="A24" s="192">
        <v>23</v>
      </c>
      <c r="B24" s="193">
        <v>4</v>
      </c>
      <c r="C24" s="194">
        <f t="shared" si="0"/>
        <v>2.3333333333333335</v>
      </c>
      <c r="D24" s="195">
        <f t="shared" si="1"/>
        <v>1.6666666666666665</v>
      </c>
      <c r="E24" s="196">
        <f t="shared" si="2"/>
        <v>1.6666666666666665</v>
      </c>
      <c r="F24" s="196">
        <f>AVERAGE(E$8:E24)</f>
        <v>1.2352941176470589</v>
      </c>
      <c r="G24" s="197">
        <f>SUM(D$8:D24)/F24</f>
        <v>5.6666666666666652</v>
      </c>
    </row>
    <row r="25" spans="1:7" hidden="1" x14ac:dyDescent="0.25">
      <c r="A25" s="192">
        <v>24</v>
      </c>
      <c r="B25" s="193">
        <v>5</v>
      </c>
      <c r="C25" s="194">
        <f t="shared" si="0"/>
        <v>2.6666666666666665</v>
      </c>
      <c r="D25" s="195">
        <f t="shared" si="1"/>
        <v>2.3333333333333335</v>
      </c>
      <c r="E25" s="196">
        <f t="shared" si="2"/>
        <v>2.3333333333333335</v>
      </c>
      <c r="F25" s="196">
        <f>AVERAGE(E$8:E25)</f>
        <v>1.2962962962962963</v>
      </c>
      <c r="G25" s="197">
        <f>SUM(D$8:D25)/F25</f>
        <v>7.1999999999999993</v>
      </c>
    </row>
    <row r="26" spans="1:7" hidden="1" x14ac:dyDescent="0.25">
      <c r="A26" s="192">
        <v>25</v>
      </c>
      <c r="B26" s="193">
        <v>4</v>
      </c>
      <c r="C26" s="194">
        <f t="shared" si="0"/>
        <v>3.3333333333333335</v>
      </c>
      <c r="D26" s="195">
        <f t="shared" si="1"/>
        <v>0.66666666666666652</v>
      </c>
      <c r="E26" s="196">
        <f t="shared" si="2"/>
        <v>0.66666666666666652</v>
      </c>
      <c r="F26" s="196">
        <f>AVERAGE(E$8:E26)</f>
        <v>1.263157894736842</v>
      </c>
      <c r="G26" s="197">
        <f>SUM(D$8:D26)/F26</f>
        <v>7.9166666666666661</v>
      </c>
    </row>
    <row r="27" spans="1:7" hidden="1" x14ac:dyDescent="0.25">
      <c r="A27" s="192">
        <v>26</v>
      </c>
      <c r="B27" s="193">
        <v>2</v>
      </c>
      <c r="C27" s="194">
        <f t="shared" si="0"/>
        <v>3.6666666666666665</v>
      </c>
      <c r="D27" s="195">
        <f t="shared" si="1"/>
        <v>-1.6666666666666665</v>
      </c>
      <c r="E27" s="196">
        <f t="shared" si="2"/>
        <v>1.6666666666666665</v>
      </c>
      <c r="F27" s="196">
        <f>AVERAGE(E$8:E27)</f>
        <v>1.2833333333333334</v>
      </c>
      <c r="G27" s="197">
        <f>SUM(D$8:D27)/F27</f>
        <v>6.4935064935064917</v>
      </c>
    </row>
    <row r="28" spans="1:7" hidden="1" x14ac:dyDescent="0.25">
      <c r="A28" s="192">
        <v>27</v>
      </c>
      <c r="B28" s="193">
        <v>1</v>
      </c>
      <c r="C28" s="194">
        <f t="shared" si="0"/>
        <v>3.6666666666666665</v>
      </c>
      <c r="D28" s="195">
        <f t="shared" si="1"/>
        <v>-2.6666666666666665</v>
      </c>
      <c r="E28" s="196">
        <f t="shared" si="2"/>
        <v>2.6666666666666665</v>
      </c>
      <c r="F28" s="196">
        <f>AVERAGE(E$8:E28)</f>
        <v>1.3492063492063493</v>
      </c>
      <c r="G28" s="197">
        <f>SUM(D$8:D28)/F28</f>
        <v>4.1999999999999993</v>
      </c>
    </row>
    <row r="29" spans="1:7" hidden="1" x14ac:dyDescent="0.25">
      <c r="A29" s="192">
        <v>28</v>
      </c>
      <c r="B29" s="193">
        <v>4</v>
      </c>
      <c r="C29" s="194">
        <f t="shared" si="0"/>
        <v>3.3333333333333335</v>
      </c>
      <c r="D29" s="195">
        <f t="shared" si="1"/>
        <v>0.66666666666666652</v>
      </c>
      <c r="E29" s="196">
        <f t="shared" si="2"/>
        <v>0.66666666666666652</v>
      </c>
      <c r="F29" s="196">
        <f>AVERAGE(E$8:E29)</f>
        <v>1.3181818181818183</v>
      </c>
      <c r="G29" s="197">
        <f>SUM(D$8:D29)/F29</f>
        <v>4.8045977011494241</v>
      </c>
    </row>
    <row r="30" spans="1:7" hidden="1" x14ac:dyDescent="0.25">
      <c r="A30" s="192">
        <v>29</v>
      </c>
      <c r="B30" s="193">
        <v>3</v>
      </c>
      <c r="C30" s="194">
        <f t="shared" si="0"/>
        <v>3.3333333333333335</v>
      </c>
      <c r="D30" s="195">
        <f t="shared" si="1"/>
        <v>-0.33333333333333348</v>
      </c>
      <c r="E30" s="196">
        <f t="shared" si="2"/>
        <v>0.33333333333333348</v>
      </c>
      <c r="F30" s="196">
        <f>AVERAGE(E$8:E30)</f>
        <v>1.2753623188405798</v>
      </c>
      <c r="G30" s="197">
        <f>SUM(D$8:D30)/F30</f>
        <v>4.7045454545454524</v>
      </c>
    </row>
    <row r="31" spans="1:7" hidden="1" x14ac:dyDescent="0.25">
      <c r="A31" s="192">
        <v>30</v>
      </c>
      <c r="B31" s="193">
        <v>4</v>
      </c>
      <c r="C31" s="194">
        <f t="shared" si="0"/>
        <v>3.1666666666666665</v>
      </c>
      <c r="D31" s="195">
        <f t="shared" si="1"/>
        <v>0.83333333333333348</v>
      </c>
      <c r="E31" s="196">
        <f t="shared" si="2"/>
        <v>0.83333333333333348</v>
      </c>
      <c r="F31" s="196">
        <f>AVERAGE(E$8:E31)</f>
        <v>1.2569444444444444</v>
      </c>
      <c r="G31" s="197">
        <f>SUM(D$8:D31)/F31</f>
        <v>5.4364640883977895</v>
      </c>
    </row>
    <row r="32" spans="1:7" hidden="1" x14ac:dyDescent="0.25">
      <c r="A32" s="192">
        <v>31</v>
      </c>
      <c r="B32" s="193">
        <v>3</v>
      </c>
      <c r="C32" s="194">
        <f t="shared" si="0"/>
        <v>3</v>
      </c>
      <c r="D32" s="195">
        <f t="shared" si="1"/>
        <v>0</v>
      </c>
      <c r="E32" s="196">
        <f t="shared" si="2"/>
        <v>0</v>
      </c>
      <c r="F32" s="196">
        <f>AVERAGE(E$8:E32)</f>
        <v>1.2066666666666668</v>
      </c>
      <c r="G32" s="197">
        <f>SUM(D$8:D32)/F32</f>
        <v>5.6629834254143629</v>
      </c>
    </row>
    <row r="33" spans="1:7" hidden="1" x14ac:dyDescent="0.25">
      <c r="A33" s="192">
        <v>32</v>
      </c>
      <c r="B33" s="193">
        <v>1</v>
      </c>
      <c r="C33" s="194">
        <f t="shared" si="0"/>
        <v>2.8333333333333335</v>
      </c>
      <c r="D33" s="195">
        <f t="shared" si="1"/>
        <v>-1.8333333333333335</v>
      </c>
      <c r="E33" s="196">
        <f t="shared" si="2"/>
        <v>1.8333333333333335</v>
      </c>
      <c r="F33" s="196">
        <f>AVERAGE(E$8:E33)</f>
        <v>1.2307692307692308</v>
      </c>
      <c r="G33" s="197">
        <f>SUM(D$8:D33)/F33</f>
        <v>4.0624999999999982</v>
      </c>
    </row>
    <row r="34" spans="1:7" hidden="1" x14ac:dyDescent="0.25">
      <c r="A34" s="192">
        <v>33</v>
      </c>
      <c r="B34" s="193">
        <v>5</v>
      </c>
      <c r="C34" s="194">
        <f t="shared" si="0"/>
        <v>2.6666666666666665</v>
      </c>
      <c r="D34" s="195">
        <f t="shared" si="1"/>
        <v>2.3333333333333335</v>
      </c>
      <c r="E34" s="196">
        <f t="shared" si="2"/>
        <v>2.3333333333333335</v>
      </c>
      <c r="F34" s="196">
        <f>AVERAGE(E$8:E34)</f>
        <v>1.271604938271605</v>
      </c>
      <c r="G34" s="197">
        <f>SUM(D$8:D34)/F34</f>
        <v>5.7669902912621342</v>
      </c>
    </row>
    <row r="35" spans="1:7" hidden="1" x14ac:dyDescent="0.25">
      <c r="A35" s="192">
        <v>34</v>
      </c>
      <c r="B35" s="193">
        <v>2</v>
      </c>
      <c r="C35" s="194">
        <f t="shared" si="0"/>
        <v>3.3333333333333335</v>
      </c>
      <c r="D35" s="195">
        <f t="shared" si="1"/>
        <v>-1.3333333333333335</v>
      </c>
      <c r="E35" s="196">
        <f t="shared" si="2"/>
        <v>1.3333333333333335</v>
      </c>
      <c r="F35" s="196">
        <f>AVERAGE(E$8:E35)</f>
        <v>1.2738095238095239</v>
      </c>
      <c r="G35" s="197">
        <f>SUM(D$8:D35)/F35</f>
        <v>4.7102803738317736</v>
      </c>
    </row>
    <row r="36" spans="1:7" hidden="1" x14ac:dyDescent="0.25">
      <c r="A36" s="192">
        <v>35</v>
      </c>
      <c r="B36" s="193">
        <v>0</v>
      </c>
      <c r="C36" s="194">
        <f t="shared" si="0"/>
        <v>3</v>
      </c>
      <c r="D36" s="195">
        <f t="shared" si="1"/>
        <v>-3</v>
      </c>
      <c r="E36" s="196">
        <f t="shared" si="2"/>
        <v>3</v>
      </c>
      <c r="F36" s="196">
        <f>AVERAGE(E$8:E36)</f>
        <v>1.3333333333333335</v>
      </c>
      <c r="G36" s="197">
        <f>SUM(D$8:D36)/F36</f>
        <v>2.2499999999999982</v>
      </c>
    </row>
    <row r="37" spans="1:7" hidden="1" x14ac:dyDescent="0.25">
      <c r="A37" s="192">
        <v>36</v>
      </c>
      <c r="B37" s="193">
        <v>7</v>
      </c>
      <c r="C37" s="194">
        <f t="shared" si="0"/>
        <v>2.5</v>
      </c>
      <c r="D37" s="195">
        <f t="shared" si="1"/>
        <v>4.5</v>
      </c>
      <c r="E37" s="196">
        <f t="shared" si="2"/>
        <v>4.5</v>
      </c>
      <c r="F37" s="196">
        <f>AVERAGE(E$8:E37)</f>
        <v>1.4388888888888891</v>
      </c>
      <c r="G37" s="197">
        <f>SUM(D$8:D37)/F37</f>
        <v>5.2123552123552104</v>
      </c>
    </row>
    <row r="38" spans="1:7" hidden="1" x14ac:dyDescent="0.25">
      <c r="A38" s="192">
        <v>37</v>
      </c>
      <c r="B38" s="193">
        <v>3</v>
      </c>
      <c r="C38" s="194">
        <f t="shared" si="0"/>
        <v>3</v>
      </c>
      <c r="D38" s="195">
        <f t="shared" si="1"/>
        <v>0</v>
      </c>
      <c r="E38" s="196">
        <f t="shared" si="2"/>
        <v>0</v>
      </c>
      <c r="F38" s="196">
        <f>AVERAGE(E$8:E38)</f>
        <v>1.39247311827957</v>
      </c>
      <c r="G38" s="197">
        <f>SUM(D$8:D38)/F38</f>
        <v>5.3861003861003844</v>
      </c>
    </row>
    <row r="39" spans="1:7" hidden="1" x14ac:dyDescent="0.25">
      <c r="A39" s="192">
        <v>38</v>
      </c>
      <c r="B39" s="193">
        <v>5</v>
      </c>
      <c r="C39" s="194">
        <f t="shared" si="0"/>
        <v>3</v>
      </c>
      <c r="D39" s="195">
        <f t="shared" si="1"/>
        <v>2</v>
      </c>
      <c r="E39" s="196">
        <f t="shared" si="2"/>
        <v>2</v>
      </c>
      <c r="F39" s="196">
        <f>AVERAGE(E$8:E39)</f>
        <v>1.4114583333333335</v>
      </c>
      <c r="G39" s="197">
        <f>SUM(D$8:D39)/F39</f>
        <v>6.7306273062730604</v>
      </c>
    </row>
    <row r="40" spans="1:7" hidden="1" x14ac:dyDescent="0.25">
      <c r="A40" s="192">
        <v>39</v>
      </c>
      <c r="B40" s="193">
        <v>5</v>
      </c>
      <c r="C40" s="194">
        <f t="shared" si="0"/>
        <v>3.6666666666666665</v>
      </c>
      <c r="D40" s="195">
        <f t="shared" si="1"/>
        <v>1.3333333333333335</v>
      </c>
      <c r="E40" s="196">
        <f t="shared" si="2"/>
        <v>1.3333333333333335</v>
      </c>
      <c r="F40" s="196">
        <f>AVERAGE(E$8:E40)</f>
        <v>1.4090909090909094</v>
      </c>
      <c r="G40" s="197">
        <f>SUM(D$8:D40)/F40</f>
        <v>7.6881720430107503</v>
      </c>
    </row>
    <row r="41" spans="1:7" hidden="1" x14ac:dyDescent="0.25">
      <c r="A41" s="192">
        <v>40</v>
      </c>
      <c r="B41" s="193">
        <v>6</v>
      </c>
      <c r="C41" s="194">
        <f t="shared" si="0"/>
        <v>3.6666666666666665</v>
      </c>
      <c r="D41" s="195">
        <f t="shared" si="1"/>
        <v>2.3333333333333335</v>
      </c>
      <c r="E41" s="196">
        <f t="shared" si="2"/>
        <v>2.3333333333333335</v>
      </c>
      <c r="F41" s="196">
        <f>AVERAGE(E$8:E41)</f>
        <v>1.4362745098039218</v>
      </c>
      <c r="G41" s="197">
        <f>SUM(D$8:D41)/F41</f>
        <v>9.1672354948805435</v>
      </c>
    </row>
    <row r="42" spans="1:7" hidden="1" x14ac:dyDescent="0.25">
      <c r="A42" s="192">
        <v>41</v>
      </c>
      <c r="B42" s="193">
        <v>2</v>
      </c>
      <c r="C42" s="194">
        <f t="shared" si="0"/>
        <v>4.333333333333333</v>
      </c>
      <c r="D42" s="195">
        <f t="shared" si="1"/>
        <v>-2.333333333333333</v>
      </c>
      <c r="E42" s="196">
        <f t="shared" si="2"/>
        <v>2.333333333333333</v>
      </c>
      <c r="F42" s="196">
        <f>AVERAGE(E$8:E42)</f>
        <v>1.4619047619047623</v>
      </c>
      <c r="G42" s="197">
        <f>SUM(D$8:D42)/F42</f>
        <v>7.4104234527687272</v>
      </c>
    </row>
    <row r="43" spans="1:7" hidden="1" x14ac:dyDescent="0.25">
      <c r="A43" s="192">
        <v>42</v>
      </c>
      <c r="B43" s="193">
        <v>3</v>
      </c>
      <c r="C43" s="194">
        <f t="shared" si="0"/>
        <v>4.666666666666667</v>
      </c>
      <c r="D43" s="195">
        <f t="shared" si="1"/>
        <v>-1.666666666666667</v>
      </c>
      <c r="E43" s="196">
        <f t="shared" si="2"/>
        <v>1.666666666666667</v>
      </c>
      <c r="F43" s="196">
        <f>AVERAGE(E$8:E43)</f>
        <v>1.4675925925925928</v>
      </c>
      <c r="G43" s="197">
        <f>SUM(D$8:D43)/F43</f>
        <v>6.2460567823343824</v>
      </c>
    </row>
    <row r="44" spans="1:7" x14ac:dyDescent="0.25">
      <c r="A44" s="192">
        <v>43</v>
      </c>
      <c r="B44" s="193">
        <v>4</v>
      </c>
      <c r="C44" s="194">
        <f t="shared" si="0"/>
        <v>4</v>
      </c>
      <c r="D44" s="195">
        <f t="shared" si="1"/>
        <v>0</v>
      </c>
      <c r="E44" s="196">
        <f t="shared" si="2"/>
        <v>0</v>
      </c>
      <c r="F44" s="196">
        <f>AVERAGE(E$8:E44)</f>
        <v>1.4279279279279282</v>
      </c>
      <c r="G44" s="197">
        <f>SUM(D$8:D44)/F44</f>
        <v>6.4195583596214485</v>
      </c>
    </row>
    <row r="45" spans="1:7" x14ac:dyDescent="0.25">
      <c r="A45" s="192">
        <v>44</v>
      </c>
      <c r="B45" s="193">
        <v>2</v>
      </c>
      <c r="C45" s="194">
        <f t="shared" si="0"/>
        <v>4.166666666666667</v>
      </c>
      <c r="D45" s="195">
        <f t="shared" si="1"/>
        <v>-2.166666666666667</v>
      </c>
      <c r="E45" s="196">
        <f t="shared" si="2"/>
        <v>2.166666666666667</v>
      </c>
      <c r="F45" s="196">
        <f>AVERAGE(E$8:E45)</f>
        <v>1.4473684210526319</v>
      </c>
      <c r="G45" s="197">
        <f>SUM(D$8:D45)/F45</f>
        <v>4.8363636363636333</v>
      </c>
    </row>
    <row r="46" spans="1:7" x14ac:dyDescent="0.25">
      <c r="A46" s="192">
        <v>45</v>
      </c>
      <c r="B46" s="193">
        <v>3</v>
      </c>
      <c r="C46" s="194">
        <f t="shared" si="0"/>
        <v>3.6666666666666665</v>
      </c>
      <c r="D46" s="195">
        <f t="shared" si="1"/>
        <v>-0.66666666666666652</v>
      </c>
      <c r="E46" s="196">
        <f t="shared" si="2"/>
        <v>0.66666666666666652</v>
      </c>
      <c r="F46" s="196">
        <f>AVERAGE(E$8:E46)</f>
        <v>1.4273504273504274</v>
      </c>
      <c r="G46" s="197">
        <f>SUM(D$8:D46)/F46</f>
        <v>4.437125748502992</v>
      </c>
    </row>
    <row r="47" spans="1:7" x14ac:dyDescent="0.25">
      <c r="A47" s="192">
        <v>46</v>
      </c>
      <c r="B47" s="193">
        <v>3</v>
      </c>
      <c r="C47" s="194">
        <f t="shared" si="0"/>
        <v>3.3333333333333335</v>
      </c>
      <c r="D47" s="195">
        <f t="shared" si="1"/>
        <v>-0.33333333333333348</v>
      </c>
      <c r="E47" s="196">
        <f t="shared" si="2"/>
        <v>0.33333333333333348</v>
      </c>
      <c r="F47" s="196">
        <f>AVERAGE(E$8:E47)</f>
        <v>1.4000000000000001</v>
      </c>
      <c r="G47" s="197">
        <f>SUM(D$8:D47)/F47</f>
        <v>4.2857142857142829</v>
      </c>
    </row>
    <row r="48" spans="1:7" x14ac:dyDescent="0.25">
      <c r="A48" s="192">
        <v>47</v>
      </c>
      <c r="B48" s="193">
        <v>6</v>
      </c>
      <c r="C48" s="194">
        <f t="shared" si="0"/>
        <v>2.8333333333333335</v>
      </c>
      <c r="D48" s="195">
        <f t="shared" si="1"/>
        <v>3.1666666666666665</v>
      </c>
      <c r="E48" s="196">
        <f t="shared" si="2"/>
        <v>3.1666666666666665</v>
      </c>
      <c r="F48" s="196">
        <f>AVERAGE(E$8:E48)</f>
        <v>1.443089430894309</v>
      </c>
      <c r="G48" s="197">
        <f>SUM(D$8:D48)/F48</f>
        <v>6.3521126760563353</v>
      </c>
    </row>
    <row r="49" spans="1:9" x14ac:dyDescent="0.25">
      <c r="A49" s="192">
        <v>48</v>
      </c>
      <c r="B49" s="193">
        <v>11</v>
      </c>
      <c r="C49" s="194">
        <f t="shared" si="0"/>
        <v>3.5</v>
      </c>
      <c r="D49" s="195">
        <f t="shared" si="1"/>
        <v>7.5</v>
      </c>
      <c r="E49" s="196">
        <f t="shared" si="2"/>
        <v>7.5</v>
      </c>
      <c r="F49" s="196">
        <f>AVERAGE(E$8:E49)</f>
        <v>1.5873015873015874</v>
      </c>
      <c r="G49" s="197">
        <f>SUM(D$8:D49)/F49</f>
        <v>10.499999999999998</v>
      </c>
    </row>
    <row r="50" spans="1:9" x14ac:dyDescent="0.25">
      <c r="A50" s="192">
        <v>49</v>
      </c>
      <c r="B50" s="193">
        <v>5</v>
      </c>
      <c r="C50" s="194">
        <f t="shared" si="0"/>
        <v>4.833333333333333</v>
      </c>
      <c r="D50" s="195">
        <f t="shared" si="1"/>
        <v>0.16666666666666696</v>
      </c>
      <c r="E50" s="196">
        <f t="shared" si="2"/>
        <v>0.16666666666666696</v>
      </c>
      <c r="F50" s="196">
        <f>AVERAGE(E$8:E50)</f>
        <v>1.5542635658914732</v>
      </c>
      <c r="G50" s="197">
        <f>SUM(D$8:D50)/F50</f>
        <v>10.830423940149624</v>
      </c>
      <c r="H50" s="198" t="s">
        <v>187</v>
      </c>
      <c r="I50" s="198">
        <f>C52</f>
        <v>5.5</v>
      </c>
    </row>
    <row r="51" spans="1:9" x14ac:dyDescent="0.25">
      <c r="A51" s="192">
        <v>50</v>
      </c>
      <c r="B51" s="193">
        <v>5</v>
      </c>
      <c r="C51" s="194">
        <f t="shared" si="0"/>
        <v>5</v>
      </c>
      <c r="D51" s="195">
        <f t="shared" si="1"/>
        <v>0</v>
      </c>
      <c r="E51" s="196">
        <f t="shared" si="2"/>
        <v>0</v>
      </c>
      <c r="F51" s="196">
        <f>AVERAGE(E$8:E51)</f>
        <v>1.5189393939393943</v>
      </c>
      <c r="G51" s="197">
        <f>SUM(D$8:D51)/F51</f>
        <v>11.082294264339149</v>
      </c>
      <c r="H51" s="198" t="s">
        <v>188</v>
      </c>
      <c r="I51" s="198">
        <f>1.25*F51</f>
        <v>1.8986742424242429</v>
      </c>
    </row>
    <row r="52" spans="1:9" x14ac:dyDescent="0.25">
      <c r="C52" s="194">
        <f t="shared" si="0"/>
        <v>5.5</v>
      </c>
    </row>
  </sheetData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42B74-1B5D-4FC5-A9A5-4B53B56E4F84}">
  <sheetPr>
    <tabColor rgb="FFFFFF00"/>
  </sheetPr>
  <dimension ref="A1:J59"/>
  <sheetViews>
    <sheetView workbookViewId="0">
      <selection activeCell="I69" sqref="I69"/>
    </sheetView>
  </sheetViews>
  <sheetFormatPr defaultRowHeight="15" x14ac:dyDescent="0.25"/>
  <cols>
    <col min="1" max="1" width="3" bestFit="1" customWidth="1"/>
    <col min="2" max="2" width="3" style="12" bestFit="1" customWidth="1"/>
    <col min="3" max="3" width="6.7109375" style="202" bestFit="1" customWidth="1"/>
    <col min="4" max="4" width="5.5703125" style="200" bestFit="1" customWidth="1"/>
    <col min="5" max="5" width="4.85546875" style="200" bestFit="1" customWidth="1"/>
    <col min="6" max="6" width="6.140625" style="201" bestFit="1" customWidth="1"/>
    <col min="7" max="7" width="6.28515625" style="199" bestFit="1" customWidth="1"/>
    <col min="8" max="8" width="5.140625" style="199" customWidth="1"/>
    <col min="9" max="9" width="17" bestFit="1" customWidth="1"/>
    <col min="10" max="10" width="10.140625" bestFit="1" customWidth="1"/>
  </cols>
  <sheetData>
    <row r="1" spans="1:8" ht="17.25" x14ac:dyDescent="0.25">
      <c r="A1" s="1" t="s">
        <v>170</v>
      </c>
      <c r="B1" s="186" t="s">
        <v>0</v>
      </c>
      <c r="C1" s="187" t="s">
        <v>182</v>
      </c>
      <c r="D1" s="188" t="s">
        <v>189</v>
      </c>
      <c r="E1" s="188" t="s">
        <v>113</v>
      </c>
      <c r="F1" s="190" t="s">
        <v>151</v>
      </c>
      <c r="G1" s="188" t="s">
        <v>114</v>
      </c>
      <c r="H1" s="188"/>
    </row>
    <row r="2" spans="1:8" x14ac:dyDescent="0.25">
      <c r="A2" s="192">
        <v>1</v>
      </c>
      <c r="B2" s="193">
        <v>2</v>
      </c>
      <c r="C2" s="187"/>
      <c r="D2" s="188"/>
      <c r="E2" s="188"/>
      <c r="F2" s="190"/>
      <c r="G2" s="188"/>
      <c r="H2" s="188"/>
    </row>
    <row r="3" spans="1:8" hidden="1" x14ac:dyDescent="0.25">
      <c r="A3" s="192">
        <v>2</v>
      </c>
      <c r="B3" s="193">
        <v>2</v>
      </c>
      <c r="C3" s="187"/>
      <c r="D3" s="188"/>
      <c r="E3" s="188"/>
      <c r="F3" s="190"/>
      <c r="G3" s="188"/>
      <c r="H3" s="188"/>
    </row>
    <row r="4" spans="1:8" hidden="1" x14ac:dyDescent="0.25">
      <c r="A4" s="192">
        <v>3</v>
      </c>
      <c r="B4" s="193">
        <v>1</v>
      </c>
      <c r="C4" s="187"/>
      <c r="D4" s="188"/>
      <c r="E4" s="188"/>
      <c r="F4" s="190"/>
      <c r="G4" s="188"/>
      <c r="H4" s="188"/>
    </row>
    <row r="5" spans="1:8" hidden="1" x14ac:dyDescent="0.25">
      <c r="A5" s="192">
        <v>4</v>
      </c>
      <c r="B5" s="193">
        <v>0</v>
      </c>
      <c r="C5" s="187"/>
      <c r="D5" s="188"/>
      <c r="E5" s="188"/>
      <c r="F5" s="190"/>
      <c r="G5" s="188"/>
      <c r="H5" s="188"/>
    </row>
    <row r="6" spans="1:8" x14ac:dyDescent="0.25">
      <c r="A6" s="192">
        <v>5</v>
      </c>
      <c r="B6" s="193">
        <v>2</v>
      </c>
      <c r="C6" s="187"/>
      <c r="D6" s="188"/>
      <c r="E6" s="188"/>
      <c r="F6" s="190"/>
      <c r="G6" s="188"/>
      <c r="H6" s="188"/>
    </row>
    <row r="7" spans="1:8" x14ac:dyDescent="0.25">
      <c r="A7" s="192">
        <v>6</v>
      </c>
      <c r="B7" s="193">
        <v>1</v>
      </c>
      <c r="C7" s="187"/>
      <c r="D7" s="188"/>
      <c r="E7" s="188"/>
      <c r="F7" s="190"/>
      <c r="G7" s="188"/>
      <c r="H7" s="188"/>
    </row>
    <row r="8" spans="1:8" x14ac:dyDescent="0.25">
      <c r="A8" s="192">
        <v>7</v>
      </c>
      <c r="B8" s="193">
        <v>0</v>
      </c>
      <c r="C8" s="194">
        <f>AVERAGE(B2:B7)</f>
        <v>1.3333333333333333</v>
      </c>
      <c r="D8" s="195">
        <f>(B8-C8)^2</f>
        <v>1.7777777777777777</v>
      </c>
      <c r="E8" s="195">
        <f>AVERAGE(D$8:D8)</f>
        <v>1.7777777777777777</v>
      </c>
      <c r="F8" s="197" t="str">
        <f>IFERROR(ABS(B8-C8)/B8,"")</f>
        <v/>
      </c>
      <c r="G8" s="195" t="str">
        <f>IFERROR(AVERAGE(F$8:F8),"")</f>
        <v/>
      </c>
      <c r="H8" s="195"/>
    </row>
    <row r="9" spans="1:8" x14ac:dyDescent="0.25">
      <c r="A9" s="192">
        <v>8</v>
      </c>
      <c r="B9" s="193">
        <v>2</v>
      </c>
      <c r="C9" s="194">
        <f t="shared" ref="C9:C52" si="0">AVERAGE(B3:B8)</f>
        <v>1</v>
      </c>
      <c r="D9" s="195">
        <f t="shared" ref="D9:D51" si="1">(B9-C9)^2</f>
        <v>1</v>
      </c>
      <c r="E9" s="195">
        <f>AVERAGE(D$8:D9)</f>
        <v>1.3888888888888888</v>
      </c>
      <c r="F9" s="197">
        <f>IFERROR(ABS(B9-C9)/B9,"")</f>
        <v>0.5</v>
      </c>
      <c r="G9" s="195">
        <f>IFERROR(AVERAGE(F$8:F9),"")</f>
        <v>0.5</v>
      </c>
      <c r="H9" s="195"/>
    </row>
    <row r="10" spans="1:8" x14ac:dyDescent="0.25">
      <c r="A10" s="192">
        <v>9</v>
      </c>
      <c r="B10" s="193">
        <v>2</v>
      </c>
      <c r="C10" s="194">
        <f t="shared" si="0"/>
        <v>1</v>
      </c>
      <c r="D10" s="195">
        <f t="shared" si="1"/>
        <v>1</v>
      </c>
      <c r="E10" s="195">
        <f>AVERAGE(D$8:D10)</f>
        <v>1.2592592592592593</v>
      </c>
      <c r="F10" s="197">
        <f t="shared" ref="F10:F51" si="2">IFERROR(ABS(B10-C10)/B10,"")</f>
        <v>0.5</v>
      </c>
      <c r="G10" s="195">
        <f>IFERROR(AVERAGE(F$8:F10),"")</f>
        <v>0.5</v>
      </c>
      <c r="H10" s="195"/>
    </row>
    <row r="11" spans="1:8" x14ac:dyDescent="0.25">
      <c r="A11" s="192">
        <v>10</v>
      </c>
      <c r="B11" s="193">
        <v>3</v>
      </c>
      <c r="C11" s="194">
        <f t="shared" si="0"/>
        <v>1.1666666666666667</v>
      </c>
      <c r="D11" s="195">
        <f t="shared" si="1"/>
        <v>3.3611111111111107</v>
      </c>
      <c r="E11" s="195">
        <f>AVERAGE(D$8:D11)</f>
        <v>1.7847222222222221</v>
      </c>
      <c r="F11" s="197">
        <f t="shared" si="2"/>
        <v>0.61111111111111105</v>
      </c>
      <c r="G11" s="195">
        <f>IFERROR(AVERAGE(F$8:F11),"")</f>
        <v>0.53703703703703709</v>
      </c>
      <c r="H11" s="195"/>
    </row>
    <row r="12" spans="1:8" x14ac:dyDescent="0.25">
      <c r="A12" s="192">
        <v>11</v>
      </c>
      <c r="B12" s="193">
        <v>1</v>
      </c>
      <c r="C12" s="194">
        <f t="shared" si="0"/>
        <v>1.6666666666666667</v>
      </c>
      <c r="D12" s="195">
        <f t="shared" si="1"/>
        <v>0.44444444444444453</v>
      </c>
      <c r="E12" s="195">
        <f>AVERAGE(D$8:D12)</f>
        <v>1.5166666666666666</v>
      </c>
      <c r="F12" s="197">
        <f t="shared" si="2"/>
        <v>0.66666666666666674</v>
      </c>
      <c r="G12" s="195">
        <f>IFERROR(AVERAGE(F$8:F12),"")</f>
        <v>0.56944444444444442</v>
      </c>
      <c r="H12" s="195"/>
    </row>
    <row r="13" spans="1:8" x14ac:dyDescent="0.25">
      <c r="A13" s="192">
        <v>12</v>
      </c>
      <c r="B13" s="193">
        <v>3</v>
      </c>
      <c r="C13" s="194">
        <f t="shared" si="0"/>
        <v>1.5</v>
      </c>
      <c r="D13" s="195">
        <f t="shared" si="1"/>
        <v>2.25</v>
      </c>
      <c r="E13" s="195">
        <f>AVERAGE(D$8:D13)</f>
        <v>1.6388888888888886</v>
      </c>
      <c r="F13" s="197">
        <f t="shared" si="2"/>
        <v>0.5</v>
      </c>
      <c r="G13" s="195">
        <f>IFERROR(AVERAGE(F$8:F13),"")</f>
        <v>0.55555555555555558</v>
      </c>
      <c r="H13" s="195"/>
    </row>
    <row r="14" spans="1:8" hidden="1" x14ac:dyDescent="0.25">
      <c r="A14" s="192">
        <v>13</v>
      </c>
      <c r="B14" s="193">
        <v>3</v>
      </c>
      <c r="C14" s="194">
        <f t="shared" si="0"/>
        <v>1.8333333333333333</v>
      </c>
      <c r="D14" s="195">
        <f t="shared" si="1"/>
        <v>1.3611111111111114</v>
      </c>
      <c r="E14" s="195">
        <f>AVERAGE(D$8:D14)</f>
        <v>1.5992063492063491</v>
      </c>
      <c r="F14" s="197">
        <f t="shared" si="2"/>
        <v>0.3888888888888889</v>
      </c>
      <c r="G14" s="195">
        <f>IFERROR(AVERAGE(F$8:F14),"")</f>
        <v>0.52777777777777779</v>
      </c>
      <c r="H14" s="195"/>
    </row>
    <row r="15" spans="1:8" hidden="1" x14ac:dyDescent="0.25">
      <c r="A15" s="192">
        <v>14</v>
      </c>
      <c r="B15" s="193">
        <v>2</v>
      </c>
      <c r="C15" s="194">
        <f t="shared" si="0"/>
        <v>2.3333333333333335</v>
      </c>
      <c r="D15" s="195">
        <f t="shared" si="1"/>
        <v>0.11111111111111122</v>
      </c>
      <c r="E15" s="195">
        <f>AVERAGE(D$8:D15)</f>
        <v>1.4131944444444442</v>
      </c>
      <c r="F15" s="197">
        <f t="shared" si="2"/>
        <v>0.16666666666666674</v>
      </c>
      <c r="G15" s="195">
        <f>IFERROR(AVERAGE(F$8:F15),"")</f>
        <v>0.47619047619047616</v>
      </c>
      <c r="H15" s="195"/>
    </row>
    <row r="16" spans="1:8" hidden="1" x14ac:dyDescent="0.25">
      <c r="A16" s="192">
        <v>15</v>
      </c>
      <c r="B16" s="193">
        <v>1</v>
      </c>
      <c r="C16" s="194">
        <f t="shared" si="0"/>
        <v>2.3333333333333335</v>
      </c>
      <c r="D16" s="195">
        <f t="shared" si="1"/>
        <v>1.7777777777777781</v>
      </c>
      <c r="E16" s="195">
        <f>AVERAGE(D$8:D16)</f>
        <v>1.4537037037037035</v>
      </c>
      <c r="F16" s="197">
        <f t="shared" si="2"/>
        <v>1.3333333333333335</v>
      </c>
      <c r="G16" s="195">
        <f>IFERROR(AVERAGE(F$8:F16),"")</f>
        <v>0.58333333333333326</v>
      </c>
      <c r="H16" s="195"/>
    </row>
    <row r="17" spans="1:8" hidden="1" x14ac:dyDescent="0.25">
      <c r="A17" s="192">
        <v>16</v>
      </c>
      <c r="B17" s="193">
        <v>6</v>
      </c>
      <c r="C17" s="194">
        <f t="shared" si="0"/>
        <v>2.1666666666666665</v>
      </c>
      <c r="D17" s="195">
        <f t="shared" si="1"/>
        <v>14.694444444444446</v>
      </c>
      <c r="E17" s="195">
        <f>AVERAGE(D$8:D17)</f>
        <v>2.7777777777777777</v>
      </c>
      <c r="F17" s="197">
        <f t="shared" si="2"/>
        <v>0.63888888888888895</v>
      </c>
      <c r="G17" s="195">
        <f>IFERROR(AVERAGE(F$8:F17),"")</f>
        <v>0.58950617283950613</v>
      </c>
      <c r="H17" s="195"/>
    </row>
    <row r="18" spans="1:8" hidden="1" x14ac:dyDescent="0.25">
      <c r="A18" s="192">
        <v>17</v>
      </c>
      <c r="B18" s="193">
        <v>2</v>
      </c>
      <c r="C18" s="194">
        <f t="shared" si="0"/>
        <v>2.6666666666666665</v>
      </c>
      <c r="D18" s="195">
        <f t="shared" si="1"/>
        <v>0.44444444444444425</v>
      </c>
      <c r="E18" s="195">
        <f>AVERAGE(D$8:D18)</f>
        <v>2.5656565656565657</v>
      </c>
      <c r="F18" s="197">
        <f t="shared" si="2"/>
        <v>0.33333333333333326</v>
      </c>
      <c r="G18" s="195">
        <f>IFERROR(AVERAGE(F$8:F18),"")</f>
        <v>0.56388888888888888</v>
      </c>
      <c r="H18" s="195"/>
    </row>
    <row r="19" spans="1:8" hidden="1" x14ac:dyDescent="0.25">
      <c r="A19" s="192">
        <v>18</v>
      </c>
      <c r="B19" s="193">
        <v>1</v>
      </c>
      <c r="C19" s="194">
        <f t="shared" si="0"/>
        <v>2.8333333333333335</v>
      </c>
      <c r="D19" s="195">
        <f t="shared" si="1"/>
        <v>3.3611111111111116</v>
      </c>
      <c r="E19" s="195">
        <f>AVERAGE(D$8:D19)</f>
        <v>2.6319444444444442</v>
      </c>
      <c r="F19" s="197">
        <f t="shared" si="2"/>
        <v>1.8333333333333335</v>
      </c>
      <c r="G19" s="195">
        <f>IFERROR(AVERAGE(F$8:F19),"")</f>
        <v>0.67929292929292917</v>
      </c>
      <c r="H19" s="195"/>
    </row>
    <row r="20" spans="1:8" hidden="1" x14ac:dyDescent="0.25">
      <c r="A20" s="192">
        <v>19</v>
      </c>
      <c r="B20" s="193">
        <v>2</v>
      </c>
      <c r="C20" s="194">
        <f t="shared" si="0"/>
        <v>2.5</v>
      </c>
      <c r="D20" s="195">
        <f t="shared" si="1"/>
        <v>0.25</v>
      </c>
      <c r="E20" s="195">
        <f>AVERAGE(D$8:D20)</f>
        <v>2.4487179487179485</v>
      </c>
      <c r="F20" s="197">
        <f t="shared" si="2"/>
        <v>0.25</v>
      </c>
      <c r="G20" s="195">
        <f>IFERROR(AVERAGE(F$8:F20),"")</f>
        <v>0.64351851851851849</v>
      </c>
      <c r="H20" s="195"/>
    </row>
    <row r="21" spans="1:8" hidden="1" x14ac:dyDescent="0.25">
      <c r="A21" s="192">
        <v>20</v>
      </c>
      <c r="B21" s="193">
        <v>2</v>
      </c>
      <c r="C21" s="194">
        <f t="shared" si="0"/>
        <v>2.3333333333333335</v>
      </c>
      <c r="D21" s="195">
        <f t="shared" si="1"/>
        <v>0.11111111111111122</v>
      </c>
      <c r="E21" s="195">
        <f>AVERAGE(D$8:D21)</f>
        <v>2.2817460317460316</v>
      </c>
      <c r="F21" s="197">
        <f t="shared" si="2"/>
        <v>0.16666666666666674</v>
      </c>
      <c r="G21" s="195">
        <f>IFERROR(AVERAGE(F$8:F21),"")</f>
        <v>0.60683760683760679</v>
      </c>
      <c r="H21" s="195"/>
    </row>
    <row r="22" spans="1:8" hidden="1" x14ac:dyDescent="0.25">
      <c r="A22" s="192">
        <v>21</v>
      </c>
      <c r="B22" s="193">
        <v>3</v>
      </c>
      <c r="C22" s="194">
        <f t="shared" si="0"/>
        <v>2.3333333333333335</v>
      </c>
      <c r="D22" s="195">
        <f t="shared" si="1"/>
        <v>0.44444444444444425</v>
      </c>
      <c r="E22" s="195">
        <f>AVERAGE(D$8:D22)</f>
        <v>2.159259259259259</v>
      </c>
      <c r="F22" s="197">
        <f t="shared" si="2"/>
        <v>0.22222222222222218</v>
      </c>
      <c r="G22" s="195">
        <f>IFERROR(AVERAGE(F$8:F22),"")</f>
        <v>0.57936507936507931</v>
      </c>
      <c r="H22" s="195"/>
    </row>
    <row r="23" spans="1:8" hidden="1" x14ac:dyDescent="0.25">
      <c r="A23" s="192">
        <v>22</v>
      </c>
      <c r="B23" s="193">
        <v>4</v>
      </c>
      <c r="C23" s="194">
        <f t="shared" si="0"/>
        <v>2.6666666666666665</v>
      </c>
      <c r="D23" s="195">
        <f t="shared" si="1"/>
        <v>1.7777777777777781</v>
      </c>
      <c r="E23" s="195">
        <f>AVERAGE(D$8:D23)</f>
        <v>2.1354166666666665</v>
      </c>
      <c r="F23" s="197">
        <f t="shared" si="2"/>
        <v>0.33333333333333337</v>
      </c>
      <c r="G23" s="195">
        <f>IFERROR(AVERAGE(F$8:F23),"")</f>
        <v>0.562962962962963</v>
      </c>
      <c r="H23" s="195"/>
    </row>
    <row r="24" spans="1:8" hidden="1" x14ac:dyDescent="0.25">
      <c r="A24" s="192">
        <v>23</v>
      </c>
      <c r="B24" s="193">
        <v>4</v>
      </c>
      <c r="C24" s="194">
        <f t="shared" si="0"/>
        <v>2.3333333333333335</v>
      </c>
      <c r="D24" s="195">
        <f t="shared" si="1"/>
        <v>2.7777777777777772</v>
      </c>
      <c r="E24" s="195">
        <f>AVERAGE(D$8:D24)</f>
        <v>2.1732026143790848</v>
      </c>
      <c r="F24" s="197">
        <f t="shared" si="2"/>
        <v>0.41666666666666663</v>
      </c>
      <c r="G24" s="195">
        <f>IFERROR(AVERAGE(F$8:F24),"")</f>
        <v>0.55381944444444442</v>
      </c>
      <c r="H24" s="195"/>
    </row>
    <row r="25" spans="1:8" hidden="1" x14ac:dyDescent="0.25">
      <c r="A25" s="192">
        <v>24</v>
      </c>
      <c r="B25" s="193">
        <v>5</v>
      </c>
      <c r="C25" s="194">
        <f t="shared" si="0"/>
        <v>2.6666666666666665</v>
      </c>
      <c r="D25" s="195">
        <f t="shared" si="1"/>
        <v>5.4444444444444455</v>
      </c>
      <c r="E25" s="195">
        <f>AVERAGE(D$8:D25)</f>
        <v>2.3549382716049383</v>
      </c>
      <c r="F25" s="197">
        <f t="shared" si="2"/>
        <v>0.46666666666666667</v>
      </c>
      <c r="G25" s="195">
        <f>IFERROR(AVERAGE(F$8:F25),"")</f>
        <v>0.54869281045751628</v>
      </c>
      <c r="H25" s="195"/>
    </row>
    <row r="26" spans="1:8" hidden="1" x14ac:dyDescent="0.25">
      <c r="A26" s="192">
        <v>25</v>
      </c>
      <c r="B26" s="193">
        <v>4</v>
      </c>
      <c r="C26" s="194">
        <f t="shared" si="0"/>
        <v>3.3333333333333335</v>
      </c>
      <c r="D26" s="195">
        <f t="shared" si="1"/>
        <v>0.44444444444444425</v>
      </c>
      <c r="E26" s="195">
        <f>AVERAGE(D$8:D26)</f>
        <v>2.2543859649122804</v>
      </c>
      <c r="F26" s="197">
        <f t="shared" si="2"/>
        <v>0.16666666666666663</v>
      </c>
      <c r="G26" s="195">
        <f>IFERROR(AVERAGE(F$8:F26),"")</f>
        <v>0.52746913580246912</v>
      </c>
      <c r="H26" s="195"/>
    </row>
    <row r="27" spans="1:8" hidden="1" x14ac:dyDescent="0.25">
      <c r="A27" s="192">
        <v>26</v>
      </c>
      <c r="B27" s="193">
        <v>2</v>
      </c>
      <c r="C27" s="194">
        <f t="shared" si="0"/>
        <v>3.6666666666666665</v>
      </c>
      <c r="D27" s="195">
        <f t="shared" si="1"/>
        <v>2.7777777777777772</v>
      </c>
      <c r="E27" s="195">
        <f>AVERAGE(D$8:D27)</f>
        <v>2.2805555555555554</v>
      </c>
      <c r="F27" s="197">
        <f t="shared" si="2"/>
        <v>0.83333333333333326</v>
      </c>
      <c r="G27" s="195">
        <f>IFERROR(AVERAGE(F$8:F27),"")</f>
        <v>0.54356725146198825</v>
      </c>
      <c r="H27" s="195"/>
    </row>
    <row r="28" spans="1:8" hidden="1" x14ac:dyDescent="0.25">
      <c r="A28" s="192">
        <v>27</v>
      </c>
      <c r="B28" s="193">
        <v>1</v>
      </c>
      <c r="C28" s="194">
        <f t="shared" si="0"/>
        <v>3.6666666666666665</v>
      </c>
      <c r="D28" s="195">
        <f t="shared" si="1"/>
        <v>7.1111111111111107</v>
      </c>
      <c r="E28" s="195">
        <f>AVERAGE(D$8:D28)</f>
        <v>2.5105820105820102</v>
      </c>
      <c r="F28" s="197">
        <f t="shared" si="2"/>
        <v>2.6666666666666665</v>
      </c>
      <c r="G28" s="195">
        <f>IFERROR(AVERAGE(F$8:F28),"")</f>
        <v>0.6497222222222222</v>
      </c>
      <c r="H28" s="195"/>
    </row>
    <row r="29" spans="1:8" hidden="1" x14ac:dyDescent="0.25">
      <c r="A29" s="192">
        <v>28</v>
      </c>
      <c r="B29" s="193">
        <v>4</v>
      </c>
      <c r="C29" s="194">
        <f t="shared" si="0"/>
        <v>3.3333333333333335</v>
      </c>
      <c r="D29" s="195">
        <f t="shared" si="1"/>
        <v>0.44444444444444425</v>
      </c>
      <c r="E29" s="195">
        <f>AVERAGE(D$8:D29)</f>
        <v>2.4166666666666661</v>
      </c>
      <c r="F29" s="197">
        <f t="shared" si="2"/>
        <v>0.16666666666666663</v>
      </c>
      <c r="G29" s="195">
        <f>IFERROR(AVERAGE(F$8:F29),"")</f>
        <v>0.62671957671957668</v>
      </c>
      <c r="H29" s="195"/>
    </row>
    <row r="30" spans="1:8" hidden="1" x14ac:dyDescent="0.25">
      <c r="A30" s="192">
        <v>29</v>
      </c>
      <c r="B30" s="193">
        <v>3</v>
      </c>
      <c r="C30" s="194">
        <f t="shared" si="0"/>
        <v>3.3333333333333335</v>
      </c>
      <c r="D30" s="195">
        <f t="shared" si="1"/>
        <v>0.11111111111111122</v>
      </c>
      <c r="E30" s="195">
        <f>AVERAGE(D$8:D30)</f>
        <v>2.3164251207729465</v>
      </c>
      <c r="F30" s="197">
        <f t="shared" si="2"/>
        <v>0.11111111111111116</v>
      </c>
      <c r="G30" s="195">
        <f>IFERROR(AVERAGE(F$8:F30),"")</f>
        <v>0.6032828282828282</v>
      </c>
      <c r="H30" s="195"/>
    </row>
    <row r="31" spans="1:8" hidden="1" x14ac:dyDescent="0.25">
      <c r="A31" s="192">
        <v>30</v>
      </c>
      <c r="B31" s="193">
        <v>4</v>
      </c>
      <c r="C31" s="194">
        <f t="shared" si="0"/>
        <v>3.1666666666666665</v>
      </c>
      <c r="D31" s="195">
        <f t="shared" si="1"/>
        <v>0.69444444444444464</v>
      </c>
      <c r="E31" s="195">
        <f>AVERAGE(D$8:D31)</f>
        <v>2.2488425925925921</v>
      </c>
      <c r="F31" s="197">
        <f t="shared" si="2"/>
        <v>0.20833333333333337</v>
      </c>
      <c r="G31" s="195">
        <f>IFERROR(AVERAGE(F$8:F31),"")</f>
        <v>0.58611111111111103</v>
      </c>
      <c r="H31" s="195"/>
    </row>
    <row r="32" spans="1:8" hidden="1" x14ac:dyDescent="0.25">
      <c r="A32" s="192">
        <v>31</v>
      </c>
      <c r="B32" s="193">
        <v>3</v>
      </c>
      <c r="C32" s="194">
        <f t="shared" si="0"/>
        <v>3</v>
      </c>
      <c r="D32" s="195">
        <f t="shared" si="1"/>
        <v>0</v>
      </c>
      <c r="E32" s="195">
        <f>AVERAGE(D$8:D32)</f>
        <v>2.1588888888888884</v>
      </c>
      <c r="F32" s="197">
        <f t="shared" si="2"/>
        <v>0</v>
      </c>
      <c r="G32" s="195">
        <f>IFERROR(AVERAGE(F$8:F32),"")</f>
        <v>0.56168981481481473</v>
      </c>
      <c r="H32" s="195"/>
    </row>
    <row r="33" spans="1:8" hidden="1" x14ac:dyDescent="0.25">
      <c r="A33" s="192">
        <v>32</v>
      </c>
      <c r="B33" s="193">
        <v>1</v>
      </c>
      <c r="C33" s="194">
        <f t="shared" si="0"/>
        <v>2.8333333333333335</v>
      </c>
      <c r="D33" s="195">
        <f t="shared" si="1"/>
        <v>3.3611111111111116</v>
      </c>
      <c r="E33" s="195">
        <f>AVERAGE(D$8:D33)</f>
        <v>2.2051282051282048</v>
      </c>
      <c r="F33" s="197">
        <f t="shared" si="2"/>
        <v>1.8333333333333335</v>
      </c>
      <c r="G33" s="195">
        <f>IFERROR(AVERAGE(F$8:F33),"")</f>
        <v>0.61255555555555552</v>
      </c>
      <c r="H33" s="195"/>
    </row>
    <row r="34" spans="1:8" hidden="1" x14ac:dyDescent="0.25">
      <c r="A34" s="192">
        <v>33</v>
      </c>
      <c r="B34" s="193">
        <v>5</v>
      </c>
      <c r="C34" s="194">
        <f t="shared" si="0"/>
        <v>2.6666666666666665</v>
      </c>
      <c r="D34" s="195">
        <f t="shared" si="1"/>
        <v>5.4444444444444455</v>
      </c>
      <c r="E34" s="195">
        <f>AVERAGE(D$8:D34)</f>
        <v>2.3251028806584362</v>
      </c>
      <c r="F34" s="197">
        <f t="shared" si="2"/>
        <v>0.46666666666666667</v>
      </c>
      <c r="G34" s="195">
        <f>IFERROR(AVERAGE(F$8:F34),"")</f>
        <v>0.6069444444444444</v>
      </c>
      <c r="H34" s="195"/>
    </row>
    <row r="35" spans="1:8" hidden="1" x14ac:dyDescent="0.25">
      <c r="A35" s="192">
        <v>34</v>
      </c>
      <c r="B35" s="193">
        <v>2</v>
      </c>
      <c r="C35" s="194">
        <f t="shared" si="0"/>
        <v>3.3333333333333335</v>
      </c>
      <c r="D35" s="195">
        <f t="shared" si="1"/>
        <v>1.7777777777777781</v>
      </c>
      <c r="E35" s="195">
        <f>AVERAGE(D$8:D35)</f>
        <v>2.3055555555555549</v>
      </c>
      <c r="F35" s="197">
        <f t="shared" si="2"/>
        <v>0.66666666666666674</v>
      </c>
      <c r="G35" s="195">
        <f>IFERROR(AVERAGE(F$8:F35),"")</f>
        <v>0.60915637860082306</v>
      </c>
      <c r="H35" s="195"/>
    </row>
    <row r="36" spans="1:8" hidden="1" x14ac:dyDescent="0.25">
      <c r="A36" s="192">
        <v>35</v>
      </c>
      <c r="B36" s="193">
        <v>0</v>
      </c>
      <c r="C36" s="194">
        <f t="shared" si="0"/>
        <v>3</v>
      </c>
      <c r="D36" s="195">
        <f t="shared" si="1"/>
        <v>9</v>
      </c>
      <c r="E36" s="195">
        <f>AVERAGE(D$8:D36)</f>
        <v>2.5363984674329498</v>
      </c>
      <c r="F36" s="197" t="str">
        <f t="shared" si="2"/>
        <v/>
      </c>
      <c r="G36" s="195">
        <f>IFERROR(AVERAGE(F$8:F36),"")</f>
        <v>0.60915637860082306</v>
      </c>
      <c r="H36" s="195"/>
    </row>
    <row r="37" spans="1:8" hidden="1" x14ac:dyDescent="0.25">
      <c r="A37" s="192">
        <v>36</v>
      </c>
      <c r="B37" s="193">
        <v>7</v>
      </c>
      <c r="C37" s="194">
        <f t="shared" si="0"/>
        <v>2.5</v>
      </c>
      <c r="D37" s="195">
        <f t="shared" si="1"/>
        <v>20.25</v>
      </c>
      <c r="E37" s="195">
        <f>AVERAGE(D$8:D37)</f>
        <v>3.1268518518518515</v>
      </c>
      <c r="F37" s="197">
        <f t="shared" si="2"/>
        <v>0.6428571428571429</v>
      </c>
      <c r="G37" s="195">
        <f>IFERROR(AVERAGE(F$8:F37),"")</f>
        <v>0.61035997732426306</v>
      </c>
      <c r="H37" s="195"/>
    </row>
    <row r="38" spans="1:8" hidden="1" x14ac:dyDescent="0.25">
      <c r="A38" s="192">
        <v>37</v>
      </c>
      <c r="B38" s="193">
        <v>3</v>
      </c>
      <c r="C38" s="194">
        <f t="shared" si="0"/>
        <v>3</v>
      </c>
      <c r="D38" s="195">
        <f t="shared" si="1"/>
        <v>0</v>
      </c>
      <c r="E38" s="195">
        <f>AVERAGE(D$8:D38)</f>
        <v>3.0259856630824369</v>
      </c>
      <c r="F38" s="197">
        <f t="shared" si="2"/>
        <v>0</v>
      </c>
      <c r="G38" s="195">
        <f>IFERROR(AVERAGE(F$8:F38),"")</f>
        <v>0.58931308155446083</v>
      </c>
      <c r="H38" s="195"/>
    </row>
    <row r="39" spans="1:8" hidden="1" x14ac:dyDescent="0.25">
      <c r="A39" s="192">
        <v>38</v>
      </c>
      <c r="B39" s="193">
        <v>5</v>
      </c>
      <c r="C39" s="194">
        <f t="shared" si="0"/>
        <v>3</v>
      </c>
      <c r="D39" s="195">
        <f t="shared" si="1"/>
        <v>4</v>
      </c>
      <c r="E39" s="195">
        <f>AVERAGE(D$8:D39)</f>
        <v>3.0564236111111107</v>
      </c>
      <c r="F39" s="197">
        <f t="shared" si="2"/>
        <v>0.4</v>
      </c>
      <c r="G39" s="195">
        <f>IFERROR(AVERAGE(F$8:F39),"")</f>
        <v>0.58300264550264547</v>
      </c>
      <c r="H39" s="195"/>
    </row>
    <row r="40" spans="1:8" hidden="1" x14ac:dyDescent="0.25">
      <c r="A40" s="192">
        <v>39</v>
      </c>
      <c r="B40" s="193">
        <v>5</v>
      </c>
      <c r="C40" s="194">
        <f t="shared" si="0"/>
        <v>3.6666666666666665</v>
      </c>
      <c r="D40" s="195">
        <f t="shared" si="1"/>
        <v>1.7777777777777781</v>
      </c>
      <c r="E40" s="195">
        <f>AVERAGE(D$8:D40)</f>
        <v>3.0176767676767673</v>
      </c>
      <c r="F40" s="197">
        <f t="shared" si="2"/>
        <v>0.26666666666666672</v>
      </c>
      <c r="G40" s="195">
        <f>IFERROR(AVERAGE(F$8:F40),"")</f>
        <v>0.57279825908858162</v>
      </c>
      <c r="H40" s="195"/>
    </row>
    <row r="41" spans="1:8" hidden="1" x14ac:dyDescent="0.25">
      <c r="A41" s="192">
        <v>40</v>
      </c>
      <c r="B41" s="193">
        <v>6</v>
      </c>
      <c r="C41" s="194">
        <f t="shared" si="0"/>
        <v>3.6666666666666665</v>
      </c>
      <c r="D41" s="195">
        <f t="shared" si="1"/>
        <v>5.4444444444444455</v>
      </c>
      <c r="E41" s="195">
        <f>AVERAGE(D$8:D41)</f>
        <v>3.0890522875816986</v>
      </c>
      <c r="F41" s="197">
        <f t="shared" si="2"/>
        <v>0.3888888888888889</v>
      </c>
      <c r="G41" s="195">
        <f>IFERROR(AVERAGE(F$8:F41),"")</f>
        <v>0.56705109126984121</v>
      </c>
      <c r="H41" s="195"/>
    </row>
    <row r="42" spans="1:8" x14ac:dyDescent="0.25">
      <c r="A42" s="192">
        <v>41</v>
      </c>
      <c r="B42" s="193">
        <v>2</v>
      </c>
      <c r="C42" s="194">
        <f t="shared" si="0"/>
        <v>4.333333333333333</v>
      </c>
      <c r="D42" s="195">
        <f t="shared" si="1"/>
        <v>5.4444444444444429</v>
      </c>
      <c r="E42" s="195">
        <f>AVERAGE(D$8:D42)</f>
        <v>3.1563492063492058</v>
      </c>
      <c r="F42" s="197">
        <f t="shared" si="2"/>
        <v>1.1666666666666665</v>
      </c>
      <c r="G42" s="195">
        <f>IFERROR(AVERAGE(F$8:F42),"")</f>
        <v>0.5852212602212602</v>
      </c>
      <c r="H42" s="195"/>
    </row>
    <row r="43" spans="1:8" x14ac:dyDescent="0.25">
      <c r="A43" s="192">
        <v>42</v>
      </c>
      <c r="B43" s="193">
        <v>3</v>
      </c>
      <c r="C43" s="194">
        <f t="shared" si="0"/>
        <v>4.666666666666667</v>
      </c>
      <c r="D43" s="195">
        <f t="shared" si="1"/>
        <v>2.7777777777777786</v>
      </c>
      <c r="E43" s="195">
        <f>AVERAGE(D$8:D43)</f>
        <v>3.1458333333333326</v>
      </c>
      <c r="F43" s="197">
        <f t="shared" si="2"/>
        <v>0.55555555555555569</v>
      </c>
      <c r="G43" s="195">
        <f>IFERROR(AVERAGE(F$8:F43),"")</f>
        <v>0.58434873949579835</v>
      </c>
      <c r="H43" s="195"/>
    </row>
    <row r="44" spans="1:8" x14ac:dyDescent="0.25">
      <c r="A44" s="192">
        <v>43</v>
      </c>
      <c r="B44" s="193">
        <v>4</v>
      </c>
      <c r="C44" s="194">
        <f t="shared" si="0"/>
        <v>4</v>
      </c>
      <c r="D44" s="195">
        <f t="shared" si="1"/>
        <v>0</v>
      </c>
      <c r="E44" s="195">
        <f>AVERAGE(D$8:D44)</f>
        <v>3.0608108108108101</v>
      </c>
      <c r="F44" s="197">
        <f t="shared" si="2"/>
        <v>0</v>
      </c>
      <c r="G44" s="195">
        <f>IFERROR(AVERAGE(F$8:F44),"")</f>
        <v>0.56765306122448977</v>
      </c>
      <c r="H44" s="195"/>
    </row>
    <row r="45" spans="1:8" x14ac:dyDescent="0.25">
      <c r="A45" s="192">
        <v>44</v>
      </c>
      <c r="B45" s="193">
        <v>2</v>
      </c>
      <c r="C45" s="194">
        <f t="shared" si="0"/>
        <v>4.166666666666667</v>
      </c>
      <c r="D45" s="195">
        <f t="shared" si="1"/>
        <v>4.6944444444444455</v>
      </c>
      <c r="E45" s="195">
        <f>AVERAGE(D$8:D45)</f>
        <v>3.1038011695906427</v>
      </c>
      <c r="F45" s="197">
        <f t="shared" si="2"/>
        <v>1.0833333333333335</v>
      </c>
      <c r="G45" s="195">
        <f>IFERROR(AVERAGE(F$8:F45),"")</f>
        <v>0.58197751322751323</v>
      </c>
      <c r="H45" s="195"/>
    </row>
    <row r="46" spans="1:8" x14ac:dyDescent="0.25">
      <c r="A46" s="192">
        <v>45</v>
      </c>
      <c r="B46" s="193">
        <v>3</v>
      </c>
      <c r="C46" s="194">
        <f t="shared" si="0"/>
        <v>3.6666666666666665</v>
      </c>
      <c r="D46" s="195">
        <f t="shared" si="1"/>
        <v>0.44444444444444425</v>
      </c>
      <c r="E46" s="195">
        <f>AVERAGE(D$8:D46)</f>
        <v>3.0356125356125347</v>
      </c>
      <c r="F46" s="197">
        <f t="shared" si="2"/>
        <v>0.22222222222222218</v>
      </c>
      <c r="G46" s="195">
        <f>IFERROR(AVERAGE(F$8:F46),"")</f>
        <v>0.5722543972543972</v>
      </c>
      <c r="H46" s="195"/>
    </row>
    <row r="47" spans="1:8" x14ac:dyDescent="0.25">
      <c r="A47" s="192">
        <v>46</v>
      </c>
      <c r="B47" s="193">
        <v>3</v>
      </c>
      <c r="C47" s="194">
        <f t="shared" si="0"/>
        <v>3.3333333333333335</v>
      </c>
      <c r="D47" s="195">
        <f t="shared" si="1"/>
        <v>0.11111111111111122</v>
      </c>
      <c r="E47" s="195">
        <f>AVERAGE(D$8:D47)</f>
        <v>2.9624999999999995</v>
      </c>
      <c r="F47" s="197">
        <f t="shared" si="2"/>
        <v>0.11111111111111116</v>
      </c>
      <c r="G47" s="195">
        <f>IFERROR(AVERAGE(F$8:F47),"")</f>
        <v>0.56011904761904763</v>
      </c>
      <c r="H47" s="195"/>
    </row>
    <row r="48" spans="1:8" x14ac:dyDescent="0.25">
      <c r="A48" s="192">
        <v>47</v>
      </c>
      <c r="B48" s="193">
        <v>6</v>
      </c>
      <c r="C48" s="194">
        <f t="shared" si="0"/>
        <v>2.8333333333333335</v>
      </c>
      <c r="D48" s="195">
        <f t="shared" si="1"/>
        <v>10.027777777777777</v>
      </c>
      <c r="E48" s="195">
        <f>AVERAGE(D$8:D48)</f>
        <v>3.1348238482384816</v>
      </c>
      <c r="F48" s="197">
        <f t="shared" si="2"/>
        <v>0.52777777777777779</v>
      </c>
      <c r="G48" s="195">
        <f>IFERROR(AVERAGE(F$8:F48),"")</f>
        <v>0.55928978428978426</v>
      </c>
      <c r="H48" s="195"/>
    </row>
    <row r="49" spans="1:10" x14ac:dyDescent="0.25">
      <c r="A49" s="192">
        <v>48</v>
      </c>
      <c r="B49" s="193">
        <v>11</v>
      </c>
      <c r="C49" s="194">
        <f t="shared" si="0"/>
        <v>3.5</v>
      </c>
      <c r="D49" s="195">
        <f t="shared" si="1"/>
        <v>56.25</v>
      </c>
      <c r="E49" s="195">
        <f>AVERAGE(D$8:D49)</f>
        <v>4.3994708994708986</v>
      </c>
      <c r="F49" s="197">
        <f t="shared" si="2"/>
        <v>0.68181818181818177</v>
      </c>
      <c r="G49" s="195">
        <f>IFERROR(AVERAGE(F$8:F49),"")</f>
        <v>0.56235299422799423</v>
      </c>
      <c r="H49" s="195"/>
      <c r="I49" s="203" t="s">
        <v>190</v>
      </c>
      <c r="J49" s="198">
        <f>C52</f>
        <v>5.5</v>
      </c>
    </row>
    <row r="50" spans="1:10" x14ac:dyDescent="0.25">
      <c r="A50" s="192">
        <v>49</v>
      </c>
      <c r="B50" s="193">
        <v>5</v>
      </c>
      <c r="C50" s="194">
        <f t="shared" si="0"/>
        <v>4.833333333333333</v>
      </c>
      <c r="D50" s="195">
        <f t="shared" si="1"/>
        <v>2.7777777777777877E-2</v>
      </c>
      <c r="E50" s="195">
        <f>AVERAGE(D$8:D50)</f>
        <v>4.2978036175710583</v>
      </c>
      <c r="F50" s="197">
        <f t="shared" si="2"/>
        <v>3.3333333333333395E-2</v>
      </c>
      <c r="G50" s="195">
        <f>IFERROR(AVERAGE(F$8:F50),"")</f>
        <v>0.54945007566958792</v>
      </c>
      <c r="H50" s="195"/>
      <c r="I50" s="203" t="s">
        <v>113</v>
      </c>
      <c r="J50" s="198">
        <f>E52</f>
        <v>4.2001262626262621</v>
      </c>
    </row>
    <row r="51" spans="1:10" x14ac:dyDescent="0.25">
      <c r="A51" s="192">
        <v>50</v>
      </c>
      <c r="B51" s="193">
        <v>5</v>
      </c>
      <c r="C51" s="194">
        <f t="shared" si="0"/>
        <v>5</v>
      </c>
      <c r="D51" s="195">
        <f t="shared" si="1"/>
        <v>0</v>
      </c>
      <c r="E51" s="195">
        <f>AVERAGE(D$8:D51)</f>
        <v>4.2001262626262621</v>
      </c>
      <c r="F51" s="197">
        <f t="shared" si="2"/>
        <v>0</v>
      </c>
      <c r="G51" s="195">
        <f>IFERROR(AVERAGE(F$8:F51),"")</f>
        <v>0.53636793101078817</v>
      </c>
      <c r="H51" s="195"/>
      <c r="I51" s="203" t="s">
        <v>191</v>
      </c>
      <c r="J51" s="198">
        <f>SQRT(J50)</f>
        <v>2.0494209578869498</v>
      </c>
    </row>
    <row r="52" spans="1:10" x14ac:dyDescent="0.25">
      <c r="C52" s="203">
        <f t="shared" si="0"/>
        <v>5.5</v>
      </c>
      <c r="E52" s="204">
        <f>E51</f>
        <v>4.2001262626262621</v>
      </c>
      <c r="G52" s="204">
        <f>G51</f>
        <v>0.53636793101078817</v>
      </c>
      <c r="H52" s="205"/>
      <c r="I52" s="203" t="s">
        <v>192</v>
      </c>
      <c r="J52" s="198">
        <f>G52</f>
        <v>0.53636793101078817</v>
      </c>
    </row>
    <row r="53" spans="1:10" x14ac:dyDescent="0.25">
      <c r="I53" s="203" t="s">
        <v>193</v>
      </c>
      <c r="J53" s="198">
        <f>1.25*J52</f>
        <v>0.67045991376348524</v>
      </c>
    </row>
    <row r="56" spans="1:10" x14ac:dyDescent="0.25">
      <c r="I56" s="118">
        <f>ABS(_xlfn.NORM.S.INV(0.025))</f>
        <v>1.9599639845400538</v>
      </c>
      <c r="J56" t="s">
        <v>194</v>
      </c>
    </row>
    <row r="57" spans="1:10" x14ac:dyDescent="0.25">
      <c r="I57" s="118">
        <f>I56*J51</f>
        <v>4.0167912666200003</v>
      </c>
      <c r="J57" t="s">
        <v>195</v>
      </c>
    </row>
    <row r="58" spans="1:10" x14ac:dyDescent="0.25">
      <c r="I58" s="118">
        <f>C52-I56</f>
        <v>3.540036015459946</v>
      </c>
      <c r="J58" t="s">
        <v>6</v>
      </c>
    </row>
    <row r="59" spans="1:10" x14ac:dyDescent="0.25">
      <c r="I59" s="118">
        <f>C52+I57</f>
        <v>9.5167912666200003</v>
      </c>
      <c r="J59" t="s">
        <v>7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2B27A-2613-4EA8-9682-DE9A1189CD4B}">
  <dimension ref="A1:Y33"/>
  <sheetViews>
    <sheetView zoomScale="80" zoomScaleNormal="80" workbookViewId="0">
      <selection sqref="A1:B29"/>
    </sheetView>
  </sheetViews>
  <sheetFormatPr defaultRowHeight="16.5" x14ac:dyDescent="0.3"/>
  <cols>
    <col min="1" max="1" width="7" style="41" customWidth="1"/>
    <col min="2" max="2" width="15.140625" style="41" bestFit="1" customWidth="1"/>
    <col min="3" max="7" width="6.7109375" style="169" customWidth="1"/>
    <col min="8" max="8" width="8.28515625" style="169" customWidth="1"/>
    <col min="9" max="11" width="6.7109375" style="169" customWidth="1"/>
    <col min="12" max="12" width="8.140625" style="169" customWidth="1"/>
    <col min="13" max="13" width="6.7109375" style="169" customWidth="1"/>
    <col min="14" max="14" width="12.5703125" style="41" bestFit="1" customWidth="1"/>
    <col min="15" max="15" width="10.5703125" style="41" bestFit="1" customWidth="1"/>
    <col min="16" max="16" width="11.42578125" style="41" bestFit="1" customWidth="1"/>
    <col min="17" max="17" width="10.5703125" style="41" bestFit="1" customWidth="1"/>
    <col min="18" max="18" width="8.28515625" style="41" bestFit="1" customWidth="1"/>
    <col min="19" max="19" width="16.42578125" style="41" bestFit="1" customWidth="1"/>
    <col min="20" max="20" width="22.140625" style="41" bestFit="1" customWidth="1"/>
    <col min="21" max="21" width="23" style="41" bestFit="1" customWidth="1"/>
    <col min="22" max="22" width="23.28515625" style="41" bestFit="1" customWidth="1"/>
    <col min="23" max="16384" width="9.140625" style="41"/>
  </cols>
  <sheetData>
    <row r="1" spans="1:25" ht="17.25" thickBot="1" x14ac:dyDescent="0.35">
      <c r="A1" s="61" t="s">
        <v>170</v>
      </c>
      <c r="B1" s="206" t="s">
        <v>0</v>
      </c>
      <c r="C1" s="169" t="s">
        <v>196</v>
      </c>
      <c r="D1" s="169" t="s">
        <v>108</v>
      </c>
      <c r="E1" s="169" t="s">
        <v>3</v>
      </c>
      <c r="F1" s="169" t="s">
        <v>2</v>
      </c>
      <c r="G1" s="169" t="s">
        <v>151</v>
      </c>
      <c r="H1" s="169" t="s">
        <v>111</v>
      </c>
      <c r="I1" s="89" t="s">
        <v>117</v>
      </c>
      <c r="J1" s="89" t="s">
        <v>1</v>
      </c>
      <c r="K1" s="89" t="s">
        <v>114</v>
      </c>
      <c r="L1" s="89" t="s">
        <v>113</v>
      </c>
      <c r="M1" s="89" t="s">
        <v>24</v>
      </c>
      <c r="N1" s="41">
        <v>1</v>
      </c>
      <c r="X1" s="41">
        <v>1</v>
      </c>
      <c r="Y1" s="41">
        <v>0</v>
      </c>
    </row>
    <row r="2" spans="1:25" x14ac:dyDescent="0.3">
      <c r="A2" s="5">
        <v>1</v>
      </c>
      <c r="B2" s="207">
        <v>32</v>
      </c>
      <c r="E2" s="89"/>
      <c r="F2" s="89"/>
      <c r="G2" s="89"/>
      <c r="H2" s="89"/>
      <c r="I2" s="89"/>
      <c r="X2" s="41">
        <v>28</v>
      </c>
      <c r="Y2" s="41">
        <v>0</v>
      </c>
    </row>
    <row r="3" spans="1:25" x14ac:dyDescent="0.3">
      <c r="A3" s="5">
        <v>2</v>
      </c>
      <c r="B3" s="207">
        <v>42</v>
      </c>
      <c r="E3" s="208"/>
      <c r="F3" s="208"/>
      <c r="G3" s="208"/>
      <c r="H3" s="208"/>
      <c r="I3" s="104"/>
      <c r="J3" s="208"/>
      <c r="K3" s="208"/>
      <c r="L3" s="208"/>
      <c r="M3" s="208"/>
    </row>
    <row r="4" spans="1:25" x14ac:dyDescent="0.3">
      <c r="A4" s="5">
        <v>3</v>
      </c>
      <c r="B4" s="207">
        <v>37</v>
      </c>
      <c r="C4" s="209">
        <f>AVERAGE(B2:B4)</f>
        <v>37</v>
      </c>
      <c r="D4" s="209"/>
      <c r="E4" s="209"/>
      <c r="F4" s="209"/>
      <c r="G4" s="209"/>
      <c r="H4" s="209"/>
      <c r="I4" s="210"/>
      <c r="J4" s="209"/>
      <c r="K4" s="209"/>
      <c r="L4" s="209"/>
      <c r="M4" s="209"/>
    </row>
    <row r="5" spans="1:25" x14ac:dyDescent="0.3">
      <c r="A5" s="5">
        <v>4</v>
      </c>
      <c r="B5" s="207">
        <v>34</v>
      </c>
      <c r="C5" s="209">
        <f t="shared" ref="C5:C29" si="0">AVERAGE(B3:B5)</f>
        <v>37.666666666666664</v>
      </c>
      <c r="D5" s="209">
        <f>C4+$N$1</f>
        <v>38</v>
      </c>
      <c r="E5" s="209">
        <f>B5-D5</f>
        <v>-4</v>
      </c>
      <c r="F5" s="209">
        <f t="shared" ref="F5:F29" si="1">ABS(E5)</f>
        <v>4</v>
      </c>
      <c r="G5" s="209">
        <f>F5/B5</f>
        <v>0.11764705882352941</v>
      </c>
      <c r="H5" s="209">
        <f t="shared" ref="H5:H29" si="2">E5^2</f>
        <v>16</v>
      </c>
      <c r="I5" s="210">
        <f>SUM(E$5:E5)</f>
        <v>-4</v>
      </c>
      <c r="J5" s="209">
        <f>AVERAGE(F$5:F5)</f>
        <v>4</v>
      </c>
      <c r="K5" s="209">
        <f>AVERAGE(G$5:G5)</f>
        <v>0.11764705882352941</v>
      </c>
      <c r="L5" s="209">
        <f>AVERAGE(H$5:H5)</f>
        <v>16</v>
      </c>
      <c r="M5" s="209">
        <f>I5/J5</f>
        <v>-1</v>
      </c>
      <c r="N5" s="41" t="str">
        <f ca="1">_xlfn.FORMULATEXT(D5)</f>
        <v>=C4+$N$1</v>
      </c>
      <c r="O5" s="41" t="str">
        <f t="shared" ref="O5:V5" ca="1" si="3">_xlfn.FORMULATEXT(E5)</f>
        <v>=B5-D5</v>
      </c>
      <c r="P5" s="41" t="str">
        <f t="shared" ca="1" si="3"/>
        <v>=ABS(E5)</v>
      </c>
      <c r="Q5" s="41" t="str">
        <f t="shared" ca="1" si="3"/>
        <v>=F5/B5</v>
      </c>
      <c r="R5" s="41" t="str">
        <f t="shared" ca="1" si="3"/>
        <v>=E5^2</v>
      </c>
      <c r="S5" s="41" t="str">
        <f t="shared" ca="1" si="3"/>
        <v>=SUM(E$5:E5)</v>
      </c>
      <c r="T5" s="41" t="str">
        <f t="shared" ca="1" si="3"/>
        <v>=AVERAGE(F$5:F5)</v>
      </c>
      <c r="U5" s="41" t="str">
        <f t="shared" ca="1" si="3"/>
        <v>=AVERAGE(G$5:G5)</v>
      </c>
      <c r="V5" s="41" t="str">
        <f t="shared" ca="1" si="3"/>
        <v>=AVERAGE(H$5:H5)</v>
      </c>
      <c r="W5" s="41" t="str">
        <f ca="1">_xlfn.FORMULATEXT(M5)</f>
        <v>=I5/J5</v>
      </c>
    </row>
    <row r="6" spans="1:25" x14ac:dyDescent="0.3">
      <c r="A6" s="5">
        <v>5</v>
      </c>
      <c r="B6" s="207">
        <v>31</v>
      </c>
      <c r="C6" s="209">
        <f t="shared" si="0"/>
        <v>34</v>
      </c>
      <c r="D6" s="209">
        <f t="shared" ref="D6:D29" si="4">C5+$N$1</f>
        <v>38.666666666666664</v>
      </c>
      <c r="E6" s="209">
        <f t="shared" ref="E6:E12" si="5">B6-D6</f>
        <v>-7.6666666666666643</v>
      </c>
      <c r="F6" s="209">
        <f t="shared" si="1"/>
        <v>7.6666666666666643</v>
      </c>
      <c r="G6" s="209">
        <f t="shared" ref="G6:G29" si="6">F6/B6</f>
        <v>0.24731182795698917</v>
      </c>
      <c r="H6" s="209">
        <f t="shared" si="2"/>
        <v>58.777777777777743</v>
      </c>
      <c r="I6" s="210">
        <f>SUM(E$5:E6)</f>
        <v>-11.666666666666664</v>
      </c>
      <c r="J6" s="209">
        <f>AVERAGE(F$5:F6)</f>
        <v>5.8333333333333321</v>
      </c>
      <c r="K6" s="209">
        <f>AVERAGE(G$5:G6)</f>
        <v>0.18247944339025929</v>
      </c>
      <c r="L6" s="209">
        <f>AVERAGE(H$5:H6)</f>
        <v>37.388888888888872</v>
      </c>
      <c r="M6" s="209">
        <f t="shared" ref="M6:M29" si="7">I6/J6</f>
        <v>-2</v>
      </c>
    </row>
    <row r="7" spans="1:25" x14ac:dyDescent="0.3">
      <c r="A7" s="5">
        <v>6</v>
      </c>
      <c r="B7" s="207">
        <v>47</v>
      </c>
      <c r="C7" s="209">
        <f t="shared" si="0"/>
        <v>37.333333333333336</v>
      </c>
      <c r="D7" s="209">
        <f t="shared" si="4"/>
        <v>35</v>
      </c>
      <c r="E7" s="209">
        <f t="shared" si="5"/>
        <v>12</v>
      </c>
      <c r="F7" s="209">
        <f t="shared" si="1"/>
        <v>12</v>
      </c>
      <c r="G7" s="209">
        <f t="shared" si="6"/>
        <v>0.25531914893617019</v>
      </c>
      <c r="H7" s="209">
        <f t="shared" si="2"/>
        <v>144</v>
      </c>
      <c r="I7" s="210">
        <f>SUM(E$5:E7)</f>
        <v>0.3333333333333357</v>
      </c>
      <c r="J7" s="209">
        <f>AVERAGE(F$5:F7)</f>
        <v>7.8888888888888884</v>
      </c>
      <c r="K7" s="209">
        <f>AVERAGE(G$5:G7)</f>
        <v>0.20675934523889627</v>
      </c>
      <c r="L7" s="209">
        <f>AVERAGE(H$5:H7)</f>
        <v>72.92592592592591</v>
      </c>
      <c r="M7" s="209">
        <f t="shared" si="7"/>
        <v>4.2253521126760868E-2</v>
      </c>
    </row>
    <row r="8" spans="1:25" x14ac:dyDescent="0.3">
      <c r="A8" s="5">
        <v>7</v>
      </c>
      <c r="B8" s="207">
        <v>29</v>
      </c>
      <c r="C8" s="209">
        <f t="shared" si="0"/>
        <v>35.666666666666664</v>
      </c>
      <c r="D8" s="209">
        <f t="shared" si="4"/>
        <v>38.333333333333336</v>
      </c>
      <c r="E8" s="209">
        <f t="shared" si="5"/>
        <v>-9.3333333333333357</v>
      </c>
      <c r="F8" s="209">
        <f t="shared" si="1"/>
        <v>9.3333333333333357</v>
      </c>
      <c r="G8" s="209">
        <f t="shared" si="6"/>
        <v>0.32183908045977022</v>
      </c>
      <c r="H8" s="209">
        <f t="shared" si="2"/>
        <v>87.111111111111157</v>
      </c>
      <c r="I8" s="210">
        <f>SUM(E$5:E8)</f>
        <v>-9</v>
      </c>
      <c r="J8" s="209">
        <f>AVERAGE(F$5:F8)</f>
        <v>8.25</v>
      </c>
      <c r="K8" s="209">
        <f>AVERAGE(G$5:G8)</f>
        <v>0.23552927904411475</v>
      </c>
      <c r="L8" s="209">
        <f>AVERAGE(H$5:H8)</f>
        <v>76.472222222222229</v>
      </c>
      <c r="M8" s="209">
        <f t="shared" si="7"/>
        <v>-1.0909090909090908</v>
      </c>
    </row>
    <row r="9" spans="1:25" x14ac:dyDescent="0.3">
      <c r="A9" s="5">
        <v>8</v>
      </c>
      <c r="B9" s="207">
        <v>56</v>
      </c>
      <c r="C9" s="209">
        <f t="shared" si="0"/>
        <v>44</v>
      </c>
      <c r="D9" s="209">
        <f t="shared" si="4"/>
        <v>36.666666666666664</v>
      </c>
      <c r="E9" s="209">
        <f t="shared" si="5"/>
        <v>19.333333333333336</v>
      </c>
      <c r="F9" s="209">
        <f t="shared" si="1"/>
        <v>19.333333333333336</v>
      </c>
      <c r="G9" s="209">
        <f t="shared" si="6"/>
        <v>0.34523809523809529</v>
      </c>
      <c r="H9" s="209">
        <f t="shared" si="2"/>
        <v>373.77777777777789</v>
      </c>
      <c r="I9" s="210">
        <f>SUM(E$5:E9)</f>
        <v>10.333333333333336</v>
      </c>
      <c r="J9" s="209">
        <f>AVERAGE(F$5:F9)</f>
        <v>10.466666666666667</v>
      </c>
      <c r="K9" s="209">
        <f>AVERAGE(G$5:G9)</f>
        <v>0.25747104228291084</v>
      </c>
      <c r="L9" s="209">
        <f>AVERAGE(H$5:H9)</f>
        <v>135.93333333333334</v>
      </c>
      <c r="M9" s="209">
        <f t="shared" si="7"/>
        <v>0.98726114649681551</v>
      </c>
    </row>
    <row r="10" spans="1:25" x14ac:dyDescent="0.3">
      <c r="A10" s="5">
        <v>9</v>
      </c>
      <c r="B10" s="207">
        <v>54</v>
      </c>
      <c r="C10" s="209">
        <f t="shared" si="0"/>
        <v>46.333333333333336</v>
      </c>
      <c r="D10" s="209">
        <f t="shared" si="4"/>
        <v>45</v>
      </c>
      <c r="E10" s="209">
        <f t="shared" si="5"/>
        <v>9</v>
      </c>
      <c r="F10" s="209">
        <f t="shared" si="1"/>
        <v>9</v>
      </c>
      <c r="G10" s="209">
        <f t="shared" si="6"/>
        <v>0.16666666666666666</v>
      </c>
      <c r="H10" s="209">
        <f t="shared" si="2"/>
        <v>81</v>
      </c>
      <c r="I10" s="210">
        <f>SUM(E$5:E10)</f>
        <v>19.333333333333336</v>
      </c>
      <c r="J10" s="209">
        <f>AVERAGE(F$5:F10)</f>
        <v>10.222222222222223</v>
      </c>
      <c r="K10" s="209">
        <f>AVERAGE(G$5:G10)</f>
        <v>0.24233697968020351</v>
      </c>
      <c r="L10" s="209">
        <f>AVERAGE(H$5:H10)</f>
        <v>126.77777777777779</v>
      </c>
      <c r="M10" s="209">
        <f t="shared" si="7"/>
        <v>1.8913043478260869</v>
      </c>
    </row>
    <row r="11" spans="1:25" x14ac:dyDescent="0.3">
      <c r="A11" s="5">
        <v>10</v>
      </c>
      <c r="B11" s="207">
        <v>58</v>
      </c>
      <c r="C11" s="209">
        <f t="shared" si="0"/>
        <v>56</v>
      </c>
      <c r="D11" s="209">
        <f t="shared" si="4"/>
        <v>47.333333333333336</v>
      </c>
      <c r="E11" s="209">
        <f t="shared" si="5"/>
        <v>10.666666666666664</v>
      </c>
      <c r="F11" s="209">
        <f t="shared" si="1"/>
        <v>10.666666666666664</v>
      </c>
      <c r="G11" s="209">
        <f t="shared" si="6"/>
        <v>0.18390804597701146</v>
      </c>
      <c r="H11" s="209">
        <f t="shared" si="2"/>
        <v>113.77777777777773</v>
      </c>
      <c r="I11" s="210">
        <f>SUM(E$5:E11)</f>
        <v>30</v>
      </c>
      <c r="J11" s="209">
        <f>AVERAGE(F$5:F11)</f>
        <v>10.285714285714286</v>
      </c>
      <c r="K11" s="209">
        <f>AVERAGE(G$5:G11)</f>
        <v>0.23398998915117608</v>
      </c>
      <c r="L11" s="209">
        <f>AVERAGE(H$5:H11)</f>
        <v>124.92063492063492</v>
      </c>
      <c r="M11" s="209">
        <f t="shared" si="7"/>
        <v>2.9166666666666665</v>
      </c>
    </row>
    <row r="12" spans="1:25" x14ac:dyDescent="0.3">
      <c r="A12" s="5">
        <v>11</v>
      </c>
      <c r="B12" s="207">
        <v>66</v>
      </c>
      <c r="C12" s="209">
        <f t="shared" si="0"/>
        <v>59.333333333333336</v>
      </c>
      <c r="D12" s="209">
        <f t="shared" si="4"/>
        <v>57</v>
      </c>
      <c r="E12" s="209">
        <f t="shared" si="5"/>
        <v>9</v>
      </c>
      <c r="F12" s="209">
        <f t="shared" si="1"/>
        <v>9</v>
      </c>
      <c r="G12" s="209">
        <f t="shared" si="6"/>
        <v>0.13636363636363635</v>
      </c>
      <c r="H12" s="209">
        <f t="shared" si="2"/>
        <v>81</v>
      </c>
      <c r="I12" s="210">
        <f>SUM(E$5:E12)</f>
        <v>39</v>
      </c>
      <c r="J12" s="209">
        <f>AVERAGE(F$5:F12)</f>
        <v>10.125</v>
      </c>
      <c r="K12" s="209">
        <f>AVERAGE(G$5:G12)</f>
        <v>0.22178669505273363</v>
      </c>
      <c r="L12" s="209">
        <f>AVERAGE(H$5:H12)</f>
        <v>119.43055555555556</v>
      </c>
      <c r="M12" s="209">
        <f t="shared" si="7"/>
        <v>3.8518518518518516</v>
      </c>
    </row>
    <row r="13" spans="1:25" x14ac:dyDescent="0.3">
      <c r="A13" s="5">
        <v>12</v>
      </c>
      <c r="B13" s="207">
        <v>29</v>
      </c>
      <c r="C13" s="209">
        <f t="shared" si="0"/>
        <v>51</v>
      </c>
      <c r="D13" s="209">
        <f t="shared" si="4"/>
        <v>60.333333333333336</v>
      </c>
      <c r="E13" s="209">
        <f>B13-D13</f>
        <v>-31.333333333333336</v>
      </c>
      <c r="F13" s="209">
        <f t="shared" si="1"/>
        <v>31.333333333333336</v>
      </c>
      <c r="G13" s="209">
        <f t="shared" si="6"/>
        <v>1.0804597701149425</v>
      </c>
      <c r="H13" s="209">
        <f t="shared" si="2"/>
        <v>981.77777777777794</v>
      </c>
      <c r="I13" s="210">
        <f>SUM(E$5:E13)</f>
        <v>7.6666666666666643</v>
      </c>
      <c r="J13" s="209">
        <f>AVERAGE(F$5:F13)</f>
        <v>12.481481481481483</v>
      </c>
      <c r="K13" s="209">
        <f>AVERAGE(G$5:G13)</f>
        <v>0.31719481450409021</v>
      </c>
      <c r="L13" s="209">
        <f>AVERAGE(H$5:H13)</f>
        <v>215.24691358024694</v>
      </c>
      <c r="M13" s="209">
        <f t="shared" si="7"/>
        <v>0.61424332344213628</v>
      </c>
    </row>
    <row r="14" spans="1:25" x14ac:dyDescent="0.3">
      <c r="A14" s="5">
        <v>13</v>
      </c>
      <c r="B14" s="207">
        <v>41</v>
      </c>
      <c r="C14" s="209">
        <f t="shared" si="0"/>
        <v>45.333333333333336</v>
      </c>
      <c r="D14" s="209">
        <f t="shared" si="4"/>
        <v>52</v>
      </c>
      <c r="E14" s="209">
        <f t="shared" ref="E14:E29" si="8">B14-D14</f>
        <v>-11</v>
      </c>
      <c r="F14" s="209">
        <f t="shared" si="1"/>
        <v>11</v>
      </c>
      <c r="G14" s="209">
        <f t="shared" si="6"/>
        <v>0.26829268292682928</v>
      </c>
      <c r="H14" s="209">
        <f t="shared" si="2"/>
        <v>121</v>
      </c>
      <c r="I14" s="210">
        <f>SUM(E$5:E14)</f>
        <v>-3.3333333333333357</v>
      </c>
      <c r="J14" s="209">
        <f>AVERAGE(F$5:F14)</f>
        <v>12.333333333333334</v>
      </c>
      <c r="K14" s="209">
        <f>AVERAGE(G$5:G14)</f>
        <v>0.31230460134636412</v>
      </c>
      <c r="L14" s="209">
        <f>AVERAGE(H$5:H14)</f>
        <v>205.82222222222225</v>
      </c>
      <c r="M14" s="209">
        <f t="shared" si="7"/>
        <v>-0.27027027027027045</v>
      </c>
    </row>
    <row r="15" spans="1:25" x14ac:dyDescent="0.3">
      <c r="A15" s="5">
        <v>14</v>
      </c>
      <c r="B15" s="207">
        <v>37</v>
      </c>
      <c r="C15" s="209">
        <f t="shared" si="0"/>
        <v>35.666666666666664</v>
      </c>
      <c r="D15" s="209">
        <f t="shared" si="4"/>
        <v>46.333333333333336</v>
      </c>
      <c r="E15" s="209">
        <f t="shared" si="8"/>
        <v>-9.3333333333333357</v>
      </c>
      <c r="F15" s="209">
        <f t="shared" si="1"/>
        <v>9.3333333333333357</v>
      </c>
      <c r="G15" s="209">
        <f t="shared" si="6"/>
        <v>0.25225225225225234</v>
      </c>
      <c r="H15" s="209">
        <f t="shared" si="2"/>
        <v>87.111111111111157</v>
      </c>
      <c r="I15" s="210">
        <f>SUM(E$5:E15)</f>
        <v>-12.666666666666671</v>
      </c>
      <c r="J15" s="209">
        <f>AVERAGE(F$5:F15)</f>
        <v>12.060606060606062</v>
      </c>
      <c r="K15" s="209">
        <f>AVERAGE(G$5:G15)</f>
        <v>0.30684529688326306</v>
      </c>
      <c r="L15" s="209">
        <f>AVERAGE(H$5:H15)</f>
        <v>195.03030303030309</v>
      </c>
      <c r="M15" s="209">
        <f t="shared" si="7"/>
        <v>-1.0502512562814073</v>
      </c>
    </row>
    <row r="16" spans="1:25" x14ac:dyDescent="0.3">
      <c r="A16" s="5">
        <v>15</v>
      </c>
      <c r="B16" s="207">
        <v>50</v>
      </c>
      <c r="C16" s="209">
        <f t="shared" si="0"/>
        <v>42.666666666666664</v>
      </c>
      <c r="D16" s="209">
        <f t="shared" si="4"/>
        <v>36.666666666666664</v>
      </c>
      <c r="E16" s="209">
        <f t="shared" si="8"/>
        <v>13.333333333333336</v>
      </c>
      <c r="F16" s="209">
        <f t="shared" si="1"/>
        <v>13.333333333333336</v>
      </c>
      <c r="G16" s="209">
        <f t="shared" si="6"/>
        <v>0.26666666666666672</v>
      </c>
      <c r="H16" s="209">
        <f t="shared" si="2"/>
        <v>177.77777777777783</v>
      </c>
      <c r="I16" s="210">
        <f>SUM(E$5:E16)</f>
        <v>0.6666666666666643</v>
      </c>
      <c r="J16" s="209">
        <f>AVERAGE(F$5:F16)</f>
        <v>12.16666666666667</v>
      </c>
      <c r="K16" s="209">
        <f>AVERAGE(G$5:G16)</f>
        <v>0.30349707769854667</v>
      </c>
      <c r="L16" s="209">
        <f>AVERAGE(H$5:H16)</f>
        <v>193.59259259259264</v>
      </c>
      <c r="M16" s="209">
        <f t="shared" si="7"/>
        <v>5.4794520547944994E-2</v>
      </c>
    </row>
    <row r="17" spans="1:23" x14ac:dyDescent="0.3">
      <c r="A17" s="5">
        <v>16</v>
      </c>
      <c r="B17" s="207">
        <v>39</v>
      </c>
      <c r="C17" s="209">
        <f t="shared" si="0"/>
        <v>42</v>
      </c>
      <c r="D17" s="209">
        <f t="shared" si="4"/>
        <v>43.666666666666664</v>
      </c>
      <c r="E17" s="209">
        <f t="shared" si="8"/>
        <v>-4.6666666666666643</v>
      </c>
      <c r="F17" s="209">
        <f t="shared" si="1"/>
        <v>4.6666666666666643</v>
      </c>
      <c r="G17" s="209">
        <f t="shared" si="6"/>
        <v>0.11965811965811959</v>
      </c>
      <c r="H17" s="209">
        <f t="shared" si="2"/>
        <v>21.777777777777757</v>
      </c>
      <c r="I17" s="210">
        <f>SUM(E$5:E17)</f>
        <v>-4</v>
      </c>
      <c r="J17" s="209">
        <f>AVERAGE(F$5:F17)</f>
        <v>11.589743589743591</v>
      </c>
      <c r="K17" s="209">
        <f>AVERAGE(G$5:G17)</f>
        <v>0.28935561938774462</v>
      </c>
      <c r="L17" s="209">
        <f>AVERAGE(H$5:H17)</f>
        <v>180.37606837606842</v>
      </c>
      <c r="M17" s="209">
        <f t="shared" si="7"/>
        <v>-0.34513274336283184</v>
      </c>
    </row>
    <row r="18" spans="1:23" x14ac:dyDescent="0.3">
      <c r="A18" s="5">
        <v>17</v>
      </c>
      <c r="B18" s="207">
        <v>33</v>
      </c>
      <c r="C18" s="209">
        <f t="shared" si="0"/>
        <v>40.666666666666664</v>
      </c>
      <c r="D18" s="209">
        <f t="shared" si="4"/>
        <v>43</v>
      </c>
      <c r="E18" s="209">
        <f t="shared" si="8"/>
        <v>-10</v>
      </c>
      <c r="F18" s="209">
        <f t="shared" si="1"/>
        <v>10</v>
      </c>
      <c r="G18" s="209">
        <f t="shared" si="6"/>
        <v>0.30303030303030304</v>
      </c>
      <c r="H18" s="209">
        <f t="shared" si="2"/>
        <v>100</v>
      </c>
      <c r="I18" s="210">
        <f>SUM(E$5:E18)</f>
        <v>-14</v>
      </c>
      <c r="J18" s="209">
        <f>AVERAGE(F$5:F18)</f>
        <v>11.476190476190478</v>
      </c>
      <c r="K18" s="209">
        <f>AVERAGE(G$5:G18)</f>
        <v>0.29033238250507021</v>
      </c>
      <c r="L18" s="209">
        <f>AVERAGE(H$5:H18)</f>
        <v>174.63492063492069</v>
      </c>
      <c r="M18" s="209">
        <f t="shared" si="7"/>
        <v>-1.2199170124481327</v>
      </c>
    </row>
    <row r="19" spans="1:23" x14ac:dyDescent="0.3">
      <c r="A19" s="5">
        <v>18</v>
      </c>
      <c r="B19" s="207">
        <v>34</v>
      </c>
      <c r="C19" s="209">
        <f t="shared" si="0"/>
        <v>35.333333333333336</v>
      </c>
      <c r="D19" s="209">
        <f t="shared" si="4"/>
        <v>41.666666666666664</v>
      </c>
      <c r="E19" s="209">
        <f t="shared" si="8"/>
        <v>-7.6666666666666643</v>
      </c>
      <c r="F19" s="209">
        <f t="shared" si="1"/>
        <v>7.6666666666666643</v>
      </c>
      <c r="G19" s="209">
        <f t="shared" si="6"/>
        <v>0.22549019607843129</v>
      </c>
      <c r="H19" s="209">
        <f t="shared" si="2"/>
        <v>58.777777777777743</v>
      </c>
      <c r="I19" s="210">
        <f>SUM(E$5:E19)</f>
        <v>-21.666666666666664</v>
      </c>
      <c r="J19" s="209">
        <f>AVERAGE(F$5:F19)</f>
        <v>11.222222222222223</v>
      </c>
      <c r="K19" s="209">
        <f>AVERAGE(G$5:G19)</f>
        <v>0.28600957007662764</v>
      </c>
      <c r="L19" s="209">
        <f>AVERAGE(H$5:H19)</f>
        <v>166.91111111111115</v>
      </c>
      <c r="M19" s="209">
        <f t="shared" si="7"/>
        <v>-1.9306930693069304</v>
      </c>
    </row>
    <row r="20" spans="1:23" x14ac:dyDescent="0.3">
      <c r="A20" s="5">
        <v>19</v>
      </c>
      <c r="B20" s="207">
        <v>30</v>
      </c>
      <c r="C20" s="209">
        <f t="shared" si="0"/>
        <v>32.333333333333336</v>
      </c>
      <c r="D20" s="209">
        <f t="shared" si="4"/>
        <v>36.333333333333336</v>
      </c>
      <c r="E20" s="209">
        <f t="shared" si="8"/>
        <v>-6.3333333333333357</v>
      </c>
      <c r="F20" s="209">
        <f t="shared" si="1"/>
        <v>6.3333333333333357</v>
      </c>
      <c r="G20" s="209">
        <f t="shared" si="6"/>
        <v>0.21111111111111119</v>
      </c>
      <c r="H20" s="209">
        <f t="shared" si="2"/>
        <v>40.111111111111143</v>
      </c>
      <c r="I20" s="210">
        <f>SUM(E$5:E20)</f>
        <v>-28</v>
      </c>
      <c r="J20" s="209">
        <f>AVERAGE(F$5:F20)</f>
        <v>10.916666666666668</v>
      </c>
      <c r="K20" s="209">
        <f>AVERAGE(G$5:G20)</f>
        <v>0.28132841639128287</v>
      </c>
      <c r="L20" s="209">
        <f>AVERAGE(H$5:H20)</f>
        <v>158.98611111111117</v>
      </c>
      <c r="M20" s="209">
        <f t="shared" si="7"/>
        <v>-2.5648854961832059</v>
      </c>
    </row>
    <row r="21" spans="1:23" x14ac:dyDescent="0.3">
      <c r="A21" s="5">
        <v>20</v>
      </c>
      <c r="B21" s="207">
        <v>36</v>
      </c>
      <c r="C21" s="209">
        <f t="shared" si="0"/>
        <v>33.333333333333336</v>
      </c>
      <c r="D21" s="209">
        <f t="shared" si="4"/>
        <v>33.333333333333336</v>
      </c>
      <c r="E21" s="209">
        <f t="shared" si="8"/>
        <v>2.6666666666666643</v>
      </c>
      <c r="F21" s="209">
        <f t="shared" si="1"/>
        <v>2.6666666666666643</v>
      </c>
      <c r="G21" s="209">
        <f t="shared" si="6"/>
        <v>7.4074074074074014E-2</v>
      </c>
      <c r="H21" s="209">
        <f t="shared" si="2"/>
        <v>7.1111111111110983</v>
      </c>
      <c r="I21" s="210">
        <f>SUM(E$5:E21)</f>
        <v>-25.333333333333336</v>
      </c>
      <c r="J21" s="209">
        <f>AVERAGE(F$5:F21)</f>
        <v>10.431372549019608</v>
      </c>
      <c r="K21" s="209">
        <f>AVERAGE(G$5:G21)</f>
        <v>0.26913698449027063</v>
      </c>
      <c r="L21" s="209">
        <f>AVERAGE(H$5:H21)</f>
        <v>150.0522875816994</v>
      </c>
      <c r="M21" s="209">
        <f t="shared" si="7"/>
        <v>-2.4285714285714288</v>
      </c>
    </row>
    <row r="22" spans="1:23" x14ac:dyDescent="0.3">
      <c r="A22" s="5">
        <v>21</v>
      </c>
      <c r="B22" s="207">
        <v>62</v>
      </c>
      <c r="C22" s="209">
        <f t="shared" si="0"/>
        <v>42.666666666666664</v>
      </c>
      <c r="D22" s="209">
        <f t="shared" si="4"/>
        <v>34.333333333333336</v>
      </c>
      <c r="E22" s="209">
        <f t="shared" si="8"/>
        <v>27.666666666666664</v>
      </c>
      <c r="F22" s="209">
        <f t="shared" si="1"/>
        <v>27.666666666666664</v>
      </c>
      <c r="G22" s="209">
        <f t="shared" si="6"/>
        <v>0.44623655913978488</v>
      </c>
      <c r="H22" s="209">
        <f t="shared" si="2"/>
        <v>765.44444444444434</v>
      </c>
      <c r="I22" s="210">
        <f>SUM(E$5:E22)</f>
        <v>2.3333333333333286</v>
      </c>
      <c r="J22" s="209">
        <f>AVERAGE(F$5:F22)</f>
        <v>11.388888888888889</v>
      </c>
      <c r="K22" s="209">
        <f>AVERAGE(G$5:G22)</f>
        <v>0.27897584974857698</v>
      </c>
      <c r="L22" s="209">
        <f>AVERAGE(H$5:H22)</f>
        <v>184.24074074074079</v>
      </c>
      <c r="M22" s="209">
        <f t="shared" si="7"/>
        <v>0.20487804878048738</v>
      </c>
    </row>
    <row r="23" spans="1:23" x14ac:dyDescent="0.3">
      <c r="A23" s="5">
        <v>22</v>
      </c>
      <c r="B23" s="207">
        <v>30</v>
      </c>
      <c r="C23" s="209">
        <f t="shared" si="0"/>
        <v>42.666666666666664</v>
      </c>
      <c r="D23" s="209">
        <f t="shared" si="4"/>
        <v>43.666666666666664</v>
      </c>
      <c r="E23" s="209">
        <f t="shared" si="8"/>
        <v>-13.666666666666664</v>
      </c>
      <c r="F23" s="209">
        <f t="shared" si="1"/>
        <v>13.666666666666664</v>
      </c>
      <c r="G23" s="209">
        <f t="shared" si="6"/>
        <v>0.45555555555555549</v>
      </c>
      <c r="H23" s="209">
        <f t="shared" si="2"/>
        <v>186.77777777777771</v>
      </c>
      <c r="I23" s="210">
        <f>SUM(E$5:E23)</f>
        <v>-11.333333333333336</v>
      </c>
      <c r="J23" s="209">
        <f>AVERAGE(F$5:F23)</f>
        <v>11.508771929824562</v>
      </c>
      <c r="K23" s="209">
        <f>AVERAGE(G$5:G23)</f>
        <v>0.28826951847526006</v>
      </c>
      <c r="L23" s="209">
        <f>AVERAGE(H$5:H23)</f>
        <v>184.37426900584802</v>
      </c>
      <c r="M23" s="209">
        <f t="shared" si="7"/>
        <v>-0.98475609756097582</v>
      </c>
    </row>
    <row r="24" spans="1:23" x14ac:dyDescent="0.3">
      <c r="A24" s="5">
        <v>23</v>
      </c>
      <c r="B24" s="207">
        <v>42</v>
      </c>
      <c r="C24" s="209">
        <f t="shared" si="0"/>
        <v>44.666666666666664</v>
      </c>
      <c r="D24" s="209">
        <f t="shared" si="4"/>
        <v>43.666666666666664</v>
      </c>
      <c r="E24" s="209">
        <f t="shared" si="8"/>
        <v>-1.6666666666666643</v>
      </c>
      <c r="F24" s="209">
        <f t="shared" si="1"/>
        <v>1.6666666666666643</v>
      </c>
      <c r="G24" s="209">
        <f t="shared" si="6"/>
        <v>3.9682539682539625E-2</v>
      </c>
      <c r="H24" s="209">
        <f t="shared" si="2"/>
        <v>2.7777777777777697</v>
      </c>
      <c r="I24" s="210">
        <f>SUM(E$5:E24)</f>
        <v>-13</v>
      </c>
      <c r="J24" s="209">
        <f>AVERAGE(F$5:F24)</f>
        <v>11.016666666666666</v>
      </c>
      <c r="K24" s="209">
        <f>AVERAGE(G$5:G24)</f>
        <v>0.27584016953562401</v>
      </c>
      <c r="L24" s="209">
        <f>AVERAGE(H$5:H24)</f>
        <v>175.29444444444451</v>
      </c>
      <c r="M24" s="209">
        <f t="shared" si="7"/>
        <v>-1.1800302571860819</v>
      </c>
    </row>
    <row r="25" spans="1:23" x14ac:dyDescent="0.3">
      <c r="A25" s="5">
        <v>24</v>
      </c>
      <c r="B25" s="207">
        <v>47</v>
      </c>
      <c r="C25" s="209">
        <f t="shared" si="0"/>
        <v>39.666666666666664</v>
      </c>
      <c r="D25" s="209">
        <f t="shared" si="4"/>
        <v>45.666666666666664</v>
      </c>
      <c r="E25" s="209">
        <f t="shared" si="8"/>
        <v>1.3333333333333357</v>
      </c>
      <c r="F25" s="209">
        <f t="shared" si="1"/>
        <v>1.3333333333333357</v>
      </c>
      <c r="G25" s="209">
        <f t="shared" si="6"/>
        <v>2.8368794326241186E-2</v>
      </c>
      <c r="H25" s="209">
        <f t="shared" si="2"/>
        <v>1.7777777777777841</v>
      </c>
      <c r="I25" s="210">
        <f>SUM(E$5:E25)</f>
        <v>-11.666666666666664</v>
      </c>
      <c r="J25" s="209">
        <f>AVERAGE(F$5:F25)</f>
        <v>10.555555555555555</v>
      </c>
      <c r="K25" s="209">
        <f>AVERAGE(G$5:G25)</f>
        <v>0.26405581833517722</v>
      </c>
      <c r="L25" s="209">
        <f>AVERAGE(H$5:H25)</f>
        <v>167.03174603174608</v>
      </c>
      <c r="M25" s="209">
        <f t="shared" si="7"/>
        <v>-1.1052631578947367</v>
      </c>
    </row>
    <row r="26" spans="1:23" x14ac:dyDescent="0.3">
      <c r="A26" s="5">
        <v>25</v>
      </c>
      <c r="B26" s="207">
        <v>88</v>
      </c>
      <c r="C26" s="209">
        <f t="shared" si="0"/>
        <v>59</v>
      </c>
      <c r="D26" s="209">
        <f t="shared" si="4"/>
        <v>40.666666666666664</v>
      </c>
      <c r="E26" s="209">
        <f t="shared" si="8"/>
        <v>47.333333333333336</v>
      </c>
      <c r="F26" s="209">
        <f t="shared" si="1"/>
        <v>47.333333333333336</v>
      </c>
      <c r="G26" s="209">
        <f t="shared" si="6"/>
        <v>0.53787878787878796</v>
      </c>
      <c r="H26" s="209">
        <f t="shared" si="2"/>
        <v>2240.4444444444448</v>
      </c>
      <c r="I26" s="210">
        <f>SUM(E$5:E26)</f>
        <v>35.666666666666671</v>
      </c>
      <c r="J26" s="209">
        <f>AVERAGE(F$5:F26)</f>
        <v>12.227272727272727</v>
      </c>
      <c r="K26" s="209">
        <f>AVERAGE(G$5:G26)</f>
        <v>0.27650231695079591</v>
      </c>
      <c r="L26" s="209">
        <f>AVERAGE(H$5:H26)</f>
        <v>261.27777777777789</v>
      </c>
      <c r="M26" s="209">
        <f t="shared" si="7"/>
        <v>2.9169764560099138</v>
      </c>
    </row>
    <row r="27" spans="1:23" x14ac:dyDescent="0.3">
      <c r="A27" s="5">
        <v>26</v>
      </c>
      <c r="B27" s="207">
        <v>38</v>
      </c>
      <c r="C27" s="209">
        <f t="shared" si="0"/>
        <v>57.666666666666664</v>
      </c>
      <c r="D27" s="209">
        <f t="shared" si="4"/>
        <v>60</v>
      </c>
      <c r="E27" s="209">
        <f t="shared" si="8"/>
        <v>-22</v>
      </c>
      <c r="F27" s="209">
        <f t="shared" si="1"/>
        <v>22</v>
      </c>
      <c r="G27" s="209">
        <f t="shared" si="6"/>
        <v>0.57894736842105265</v>
      </c>
      <c r="H27" s="209">
        <f t="shared" si="2"/>
        <v>484</v>
      </c>
      <c r="I27" s="210">
        <f>SUM(E$5:E27)</f>
        <v>13.666666666666671</v>
      </c>
      <c r="J27" s="209">
        <f>AVERAGE(F$5:F27)</f>
        <v>12.652173913043478</v>
      </c>
      <c r="K27" s="209">
        <f>AVERAGE(G$5:G27)</f>
        <v>0.28965210179732886</v>
      </c>
      <c r="L27" s="209">
        <f>AVERAGE(H$5:H27)</f>
        <v>270.96135265700491</v>
      </c>
      <c r="M27" s="209">
        <f t="shared" si="7"/>
        <v>1.0801832760595651</v>
      </c>
    </row>
    <row r="28" spans="1:23" x14ac:dyDescent="0.3">
      <c r="A28" s="5">
        <v>27</v>
      </c>
      <c r="B28" s="207">
        <v>46</v>
      </c>
      <c r="C28" s="209">
        <f t="shared" si="0"/>
        <v>57.333333333333336</v>
      </c>
      <c r="D28" s="209">
        <f t="shared" si="4"/>
        <v>58.666666666666664</v>
      </c>
      <c r="E28" s="209">
        <f t="shared" si="8"/>
        <v>-12.666666666666664</v>
      </c>
      <c r="F28" s="209">
        <f t="shared" si="1"/>
        <v>12.666666666666664</v>
      </c>
      <c r="G28" s="209">
        <f t="shared" si="6"/>
        <v>0.27536231884057966</v>
      </c>
      <c r="H28" s="209">
        <f t="shared" si="2"/>
        <v>160.44444444444437</v>
      </c>
      <c r="I28" s="210">
        <f>SUM(E$5:E28)</f>
        <v>1.0000000000000071</v>
      </c>
      <c r="J28" s="209">
        <f>AVERAGE(F$5:F28)</f>
        <v>12.652777777777779</v>
      </c>
      <c r="K28" s="209">
        <f>AVERAGE(G$5:G28)</f>
        <v>0.28905669417413099</v>
      </c>
      <c r="L28" s="209">
        <f>AVERAGE(H$5:H28)</f>
        <v>266.35648148148158</v>
      </c>
      <c r="M28" s="209">
        <f t="shared" si="7"/>
        <v>7.9034028540066414E-2</v>
      </c>
    </row>
    <row r="29" spans="1:23" ht="17.25" thickBot="1" x14ac:dyDescent="0.35">
      <c r="A29" s="5">
        <v>28</v>
      </c>
      <c r="B29" s="211">
        <v>49</v>
      </c>
      <c r="C29" s="209">
        <f t="shared" si="0"/>
        <v>44.333333333333336</v>
      </c>
      <c r="D29" s="209">
        <f t="shared" si="4"/>
        <v>58.333333333333336</v>
      </c>
      <c r="E29" s="209">
        <f t="shared" si="8"/>
        <v>-9.3333333333333357</v>
      </c>
      <c r="F29" s="209">
        <f t="shared" si="1"/>
        <v>9.3333333333333357</v>
      </c>
      <c r="G29" s="209">
        <f t="shared" si="6"/>
        <v>0.19047619047619052</v>
      </c>
      <c r="H29" s="209">
        <f t="shared" si="2"/>
        <v>87.111111111111157</v>
      </c>
      <c r="I29" s="210">
        <f>SUM(E$5:E29)</f>
        <v>-8.3333333333333286</v>
      </c>
      <c r="J29" s="209">
        <f>AVERAGE(F$5:F29)</f>
        <v>12.52</v>
      </c>
      <c r="K29" s="209">
        <f>AVERAGE(G$5:G29)</f>
        <v>0.28511347402621334</v>
      </c>
      <c r="L29" s="209">
        <f>AVERAGE(H$5:H29)</f>
        <v>259.18666666666672</v>
      </c>
      <c r="M29" s="209">
        <f t="shared" si="7"/>
        <v>-0.66560170394036178</v>
      </c>
      <c r="N29" s="41" t="str">
        <f t="shared" ref="N29:W29" ca="1" si="9">_xlfn.FORMULATEXT(D29)</f>
        <v>=C28+$N$1</v>
      </c>
      <c r="O29" s="41" t="str">
        <f t="shared" ca="1" si="9"/>
        <v>=B29-D29</v>
      </c>
      <c r="P29" s="41" t="str">
        <f t="shared" ca="1" si="9"/>
        <v>=ABS(E29)</v>
      </c>
      <c r="Q29" s="41" t="str">
        <f t="shared" ca="1" si="9"/>
        <v>=F29/B29</v>
      </c>
      <c r="R29" s="41" t="str">
        <f t="shared" ca="1" si="9"/>
        <v>=E29^2</v>
      </c>
      <c r="S29" s="41" t="str">
        <f t="shared" ca="1" si="9"/>
        <v>=SUM(E$5:E29)</v>
      </c>
      <c r="T29" s="41" t="str">
        <f t="shared" ca="1" si="9"/>
        <v>=AVERAGE(F$5:F29)</v>
      </c>
      <c r="U29" s="41" t="str">
        <f t="shared" ca="1" si="9"/>
        <v>=AVERAGE(G$5:G29)</v>
      </c>
      <c r="V29" s="41" t="str">
        <f t="shared" ca="1" si="9"/>
        <v>=AVERAGE(H$5:H29)</v>
      </c>
      <c r="W29" s="41" t="str">
        <f t="shared" ca="1" si="9"/>
        <v>=I29/J29</v>
      </c>
    </row>
    <row r="30" spans="1:23" x14ac:dyDescent="0.3">
      <c r="D30" s="209">
        <f t="shared" ref="D30" si="10">C29</f>
        <v>44.333333333333336</v>
      </c>
      <c r="E30" s="208"/>
      <c r="F30" s="208"/>
      <c r="G30" s="208"/>
      <c r="H30" s="208"/>
      <c r="I30" s="104"/>
      <c r="J30" s="208"/>
      <c r="K30" s="208"/>
      <c r="L30" s="208"/>
      <c r="M30" s="208"/>
    </row>
    <row r="31" spans="1:23" x14ac:dyDescent="0.3">
      <c r="D31" s="209">
        <f>$D$30</f>
        <v>44.333333333333336</v>
      </c>
    </row>
    <row r="32" spans="1:23" x14ac:dyDescent="0.3">
      <c r="D32" s="209">
        <f t="shared" ref="D32:D33" si="11">$D$30</f>
        <v>44.333333333333336</v>
      </c>
    </row>
    <row r="33" spans="4:4" x14ac:dyDescent="0.3">
      <c r="D33" s="209">
        <f t="shared" si="11"/>
        <v>44.333333333333336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F7E41-65CD-4134-93B6-C2E824BB7942}">
  <dimension ref="A1:R52"/>
  <sheetViews>
    <sheetView workbookViewId="0">
      <selection activeCell="J30" sqref="J30"/>
    </sheetView>
  </sheetViews>
  <sheetFormatPr defaultRowHeight="16.5" x14ac:dyDescent="0.3"/>
  <cols>
    <col min="1" max="4" width="9.140625" style="41"/>
    <col min="5" max="5" width="10.85546875" style="41" bestFit="1" customWidth="1"/>
    <col min="6" max="16384" width="9.140625" style="41"/>
  </cols>
  <sheetData>
    <row r="1" spans="1:18" x14ac:dyDescent="0.3">
      <c r="D1" s="41" t="s">
        <v>197</v>
      </c>
      <c r="Q1" s="41">
        <v>0</v>
      </c>
      <c r="R1" s="41">
        <f>AVERAGE(B3:B52)</f>
        <v>3.06</v>
      </c>
    </row>
    <row r="2" spans="1:18" x14ac:dyDescent="0.3">
      <c r="A2" s="41" t="str">
        <f>'MA.1P.AP'!B2</f>
        <v>t</v>
      </c>
      <c r="B2" s="41" t="s">
        <v>198</v>
      </c>
      <c r="C2" s="41" t="s">
        <v>199</v>
      </c>
      <c r="E2" s="41" t="s">
        <v>103</v>
      </c>
      <c r="F2" s="41" t="s">
        <v>199</v>
      </c>
      <c r="Q2" s="41">
        <v>50</v>
      </c>
      <c r="R2" s="41">
        <f>R1</f>
        <v>3.06</v>
      </c>
    </row>
    <row r="3" spans="1:18" x14ac:dyDescent="0.3">
      <c r="A3" s="41">
        <f>'MA.1P.AP'!B3</f>
        <v>1</v>
      </c>
      <c r="B3" s="41">
        <f>'MA.1P.AP'!C3</f>
        <v>2</v>
      </c>
      <c r="C3" s="41">
        <f>SUM(B$3:B3)</f>
        <v>2</v>
      </c>
      <c r="E3" s="121">
        <v>32</v>
      </c>
      <c r="F3" s="41">
        <v>3</v>
      </c>
    </row>
    <row r="4" spans="1:18" x14ac:dyDescent="0.3">
      <c r="A4" s="41">
        <f>'MA.1P.AP'!B4</f>
        <v>2</v>
      </c>
      <c r="B4" s="41">
        <f>'MA.1P.AP'!C4</f>
        <v>2</v>
      </c>
      <c r="C4" s="41">
        <f>SUM(B$3:B4)</f>
        <v>4</v>
      </c>
      <c r="E4" s="121">
        <v>42</v>
      </c>
      <c r="F4" s="41">
        <v>6</v>
      </c>
    </row>
    <row r="5" spans="1:18" x14ac:dyDescent="0.3">
      <c r="A5" s="41">
        <f>'MA.1P.AP'!B5</f>
        <v>3</v>
      </c>
      <c r="B5" s="41">
        <f>'MA.1P.AP'!C5</f>
        <v>1</v>
      </c>
      <c r="C5" s="41">
        <f>SUM(B$3:B5)</f>
        <v>5</v>
      </c>
      <c r="E5" s="121">
        <v>37</v>
      </c>
      <c r="F5" s="41">
        <v>9</v>
      </c>
    </row>
    <row r="6" spans="1:18" x14ac:dyDescent="0.3">
      <c r="A6" s="41">
        <f>'MA.1P.AP'!B6</f>
        <v>4</v>
      </c>
      <c r="B6" s="41">
        <f>'MA.1P.AP'!C6</f>
        <v>0</v>
      </c>
      <c r="C6" s="41">
        <f>SUM(B$3:B6)</f>
        <v>5</v>
      </c>
      <c r="E6" s="121">
        <v>34</v>
      </c>
      <c r="F6" s="41">
        <v>11</v>
      </c>
    </row>
    <row r="7" spans="1:18" x14ac:dyDescent="0.3">
      <c r="A7" s="41">
        <f>'MA.1P.AP'!B7</f>
        <v>5</v>
      </c>
      <c r="B7" s="41">
        <f>'MA.1P.AP'!C7</f>
        <v>2</v>
      </c>
      <c r="C7" s="41">
        <f>SUM(B$3:B7)</f>
        <v>7</v>
      </c>
      <c r="E7" s="121">
        <v>31</v>
      </c>
      <c r="F7" s="41">
        <v>14</v>
      </c>
    </row>
    <row r="8" spans="1:18" x14ac:dyDescent="0.3">
      <c r="A8" s="41">
        <f>'MA.1P.AP'!B8</f>
        <v>6</v>
      </c>
      <c r="B8" s="41">
        <f>'MA.1P.AP'!C8</f>
        <v>1</v>
      </c>
      <c r="C8" s="41">
        <f>SUM(B$3:B8)</f>
        <v>8</v>
      </c>
      <c r="E8" s="121">
        <v>47</v>
      </c>
      <c r="F8" s="41">
        <v>17</v>
      </c>
    </row>
    <row r="9" spans="1:18" x14ac:dyDescent="0.3">
      <c r="A9" s="41">
        <f>'MA.1P.AP'!B9</f>
        <v>7</v>
      </c>
      <c r="B9" s="41">
        <f>'MA.1P.AP'!C9</f>
        <v>0</v>
      </c>
      <c r="C9" s="41">
        <f>SUM(B$3:B9)</f>
        <v>8</v>
      </c>
      <c r="E9" s="121">
        <v>29</v>
      </c>
      <c r="F9" s="41">
        <v>19</v>
      </c>
    </row>
    <row r="10" spans="1:18" x14ac:dyDescent="0.3">
      <c r="A10" s="41">
        <f>'MA.1P.AP'!B10</f>
        <v>8</v>
      </c>
      <c r="B10" s="41">
        <f>'MA.1P.AP'!C10</f>
        <v>2</v>
      </c>
      <c r="C10" s="41">
        <f>SUM(B$3:B10)</f>
        <v>10</v>
      </c>
      <c r="E10" s="121">
        <v>56</v>
      </c>
      <c r="F10" s="41">
        <v>24</v>
      </c>
    </row>
    <row r="11" spans="1:18" x14ac:dyDescent="0.3">
      <c r="A11" s="41">
        <f>'MA.1P.AP'!B11</f>
        <v>9</v>
      </c>
      <c r="B11" s="41">
        <f>'MA.1P.AP'!C11</f>
        <v>2</v>
      </c>
      <c r="C11" s="41">
        <f>SUM(B$3:B11)</f>
        <v>12</v>
      </c>
      <c r="E11" s="121">
        <v>54</v>
      </c>
      <c r="F11" s="41">
        <v>28</v>
      </c>
    </row>
    <row r="12" spans="1:18" x14ac:dyDescent="0.3">
      <c r="A12" s="41">
        <f>'MA.1P.AP'!B12</f>
        <v>10</v>
      </c>
      <c r="B12" s="41">
        <f>'MA.1P.AP'!C12</f>
        <v>3</v>
      </c>
      <c r="C12" s="41">
        <f>SUM(B$3:B12)</f>
        <v>15</v>
      </c>
      <c r="E12" s="121">
        <v>58</v>
      </c>
      <c r="F12" s="41">
        <v>32</v>
      </c>
    </row>
    <row r="13" spans="1:18" x14ac:dyDescent="0.3">
      <c r="A13" s="41">
        <f>'MA.1P.AP'!B13</f>
        <v>11</v>
      </c>
      <c r="B13" s="41">
        <f>'MA.1P.AP'!C13</f>
        <v>1</v>
      </c>
      <c r="C13" s="41">
        <f>SUM(B$3:B13)</f>
        <v>16</v>
      </c>
      <c r="E13" s="121">
        <v>66</v>
      </c>
      <c r="F13" s="41">
        <v>37</v>
      </c>
    </row>
    <row r="14" spans="1:18" x14ac:dyDescent="0.3">
      <c r="A14" s="41">
        <f>'MA.1P.AP'!B14</f>
        <v>12</v>
      </c>
      <c r="B14" s="41">
        <f>'MA.1P.AP'!C14</f>
        <v>3</v>
      </c>
      <c r="C14" s="41">
        <f>SUM(B$3:B14)</f>
        <v>19</v>
      </c>
      <c r="E14" s="121">
        <v>29</v>
      </c>
      <c r="F14" s="41">
        <v>39</v>
      </c>
    </row>
    <row r="15" spans="1:18" x14ac:dyDescent="0.3">
      <c r="A15" s="41">
        <f>'MA.1P.AP'!B15</f>
        <v>13</v>
      </c>
      <c r="B15" s="41">
        <f>'MA.1P.AP'!C15</f>
        <v>3</v>
      </c>
      <c r="C15" s="41">
        <f>SUM(B$3:B15)</f>
        <v>22</v>
      </c>
      <c r="E15" s="121">
        <v>41</v>
      </c>
      <c r="F15" s="41">
        <v>42</v>
      </c>
    </row>
    <row r="16" spans="1:18" x14ac:dyDescent="0.3">
      <c r="A16" s="41">
        <f>'MA.1P.AP'!B16</f>
        <v>14</v>
      </c>
      <c r="B16" s="41">
        <f>'MA.1P.AP'!C16</f>
        <v>2</v>
      </c>
      <c r="C16" s="41">
        <f>SUM(B$3:B16)</f>
        <v>24</v>
      </c>
      <c r="E16" s="121">
        <v>37</v>
      </c>
      <c r="F16" s="41">
        <v>45</v>
      </c>
    </row>
    <row r="17" spans="1:6" x14ac:dyDescent="0.3">
      <c r="A17" s="41">
        <f>'MA.1P.AP'!B17</f>
        <v>15</v>
      </c>
      <c r="B17" s="41">
        <f>'MA.1P.AP'!C17</f>
        <v>1</v>
      </c>
      <c r="C17" s="41">
        <f>SUM(B$3:B17)</f>
        <v>25</v>
      </c>
      <c r="E17" s="121">
        <v>50</v>
      </c>
      <c r="F17" s="41">
        <v>49</v>
      </c>
    </row>
    <row r="18" spans="1:6" x14ac:dyDescent="0.3">
      <c r="A18" s="41">
        <f>'MA.1P.AP'!B18</f>
        <v>16</v>
      </c>
      <c r="B18" s="41">
        <f>'MA.1P.AP'!C18</f>
        <v>6</v>
      </c>
      <c r="C18" s="41">
        <f>SUM(B$3:B18)</f>
        <v>31</v>
      </c>
      <c r="E18" s="121">
        <v>39</v>
      </c>
      <c r="F18" s="41">
        <v>52</v>
      </c>
    </row>
    <row r="19" spans="1:6" x14ac:dyDescent="0.3">
      <c r="A19" s="41">
        <f>'MA.1P.AP'!B19</f>
        <v>17</v>
      </c>
      <c r="B19" s="41">
        <f>'MA.1P.AP'!C19</f>
        <v>2</v>
      </c>
      <c r="C19" s="41">
        <f>SUM(B$3:B19)</f>
        <v>33</v>
      </c>
      <c r="E19" s="121">
        <v>33</v>
      </c>
      <c r="F19" s="41">
        <v>54</v>
      </c>
    </row>
    <row r="20" spans="1:6" x14ac:dyDescent="0.3">
      <c r="A20" s="41">
        <f>'MA.1P.AP'!B20</f>
        <v>18</v>
      </c>
      <c r="B20" s="41">
        <f>'MA.1P.AP'!C20</f>
        <v>1</v>
      </c>
      <c r="C20" s="41">
        <f>SUM(B$3:B20)</f>
        <v>34</v>
      </c>
      <c r="E20" s="121">
        <v>34</v>
      </c>
      <c r="F20" s="41">
        <v>57</v>
      </c>
    </row>
    <row r="21" spans="1:6" x14ac:dyDescent="0.3">
      <c r="A21" s="41">
        <f>'MA.1P.AP'!B21</f>
        <v>19</v>
      </c>
      <c r="B21" s="41">
        <f>'MA.1P.AP'!C21</f>
        <v>2</v>
      </c>
      <c r="C21" s="41">
        <f>SUM(B$3:B21)</f>
        <v>36</v>
      </c>
      <c r="E21" s="121">
        <v>30</v>
      </c>
      <c r="F21" s="41">
        <v>59</v>
      </c>
    </row>
    <row r="22" spans="1:6" x14ac:dyDescent="0.3">
      <c r="A22" s="41">
        <f>'MA.1P.AP'!B22</f>
        <v>20</v>
      </c>
      <c r="B22" s="41">
        <f>'MA.1P.AP'!C22</f>
        <v>2</v>
      </c>
      <c r="C22" s="41">
        <f>SUM(B$3:B22)</f>
        <v>38</v>
      </c>
      <c r="E22" s="121">
        <v>36</v>
      </c>
      <c r="F22" s="41">
        <v>62</v>
      </c>
    </row>
    <row r="23" spans="1:6" x14ac:dyDescent="0.3">
      <c r="A23" s="41">
        <f>'MA.1P.AP'!B23</f>
        <v>21</v>
      </c>
      <c r="B23" s="41">
        <f>'MA.1P.AP'!C23</f>
        <v>3</v>
      </c>
      <c r="C23" s="41">
        <f>SUM(B$3:B23)</f>
        <v>41</v>
      </c>
      <c r="E23" s="121">
        <v>62</v>
      </c>
      <c r="F23" s="41">
        <v>67</v>
      </c>
    </row>
    <row r="24" spans="1:6" x14ac:dyDescent="0.3">
      <c r="A24" s="41">
        <f>'MA.1P.AP'!B24</f>
        <v>22</v>
      </c>
      <c r="B24" s="41">
        <f>'MA.1P.AP'!C24</f>
        <v>4</v>
      </c>
      <c r="C24" s="41">
        <f>SUM(B$3:B24)</f>
        <v>45</v>
      </c>
      <c r="E24" s="121">
        <v>30</v>
      </c>
      <c r="F24" s="41">
        <v>69</v>
      </c>
    </row>
    <row r="25" spans="1:6" x14ac:dyDescent="0.3">
      <c r="A25" s="41">
        <f>'MA.1P.AP'!B25</f>
        <v>23</v>
      </c>
      <c r="B25" s="41">
        <f>'MA.1P.AP'!C25</f>
        <v>4</v>
      </c>
      <c r="C25" s="41">
        <f>SUM(B$3:B25)</f>
        <v>49</v>
      </c>
      <c r="E25" s="121">
        <v>42</v>
      </c>
      <c r="F25" s="41">
        <v>72</v>
      </c>
    </row>
    <row r="26" spans="1:6" x14ac:dyDescent="0.3">
      <c r="A26" s="41">
        <f>'MA.1P.AP'!B26</f>
        <v>24</v>
      </c>
      <c r="B26" s="41">
        <f>'MA.1P.AP'!C26</f>
        <v>5</v>
      </c>
      <c r="C26" s="41">
        <f>SUM(B$3:B26)</f>
        <v>54</v>
      </c>
      <c r="E26" s="121">
        <v>47</v>
      </c>
      <c r="F26" s="41">
        <v>76</v>
      </c>
    </row>
    <row r="27" spans="1:6" x14ac:dyDescent="0.3">
      <c r="A27" s="41">
        <f>'MA.1P.AP'!B27</f>
        <v>25</v>
      </c>
      <c r="B27" s="41">
        <f>'MA.1P.AP'!C27</f>
        <v>4</v>
      </c>
      <c r="C27" s="41">
        <f>SUM(B$3:B27)</f>
        <v>58</v>
      </c>
      <c r="E27" s="121">
        <v>88</v>
      </c>
      <c r="F27" s="41">
        <v>82</v>
      </c>
    </row>
    <row r="28" spans="1:6" x14ac:dyDescent="0.3">
      <c r="A28" s="41">
        <f>'MA.1P.AP'!B28</f>
        <v>26</v>
      </c>
      <c r="B28" s="41">
        <f>'MA.1P.AP'!C28</f>
        <v>2</v>
      </c>
      <c r="C28" s="41">
        <f>SUM(B$3:B28)</f>
        <v>60</v>
      </c>
      <c r="E28" s="121">
        <v>38</v>
      </c>
      <c r="F28" s="41">
        <v>85</v>
      </c>
    </row>
    <row r="29" spans="1:6" x14ac:dyDescent="0.3">
      <c r="A29" s="41">
        <f>'MA.1P.AP'!B29</f>
        <v>27</v>
      </c>
      <c r="B29" s="41">
        <f>'MA.1P.AP'!C29</f>
        <v>1</v>
      </c>
      <c r="C29" s="41">
        <f>SUM(B$3:B29)</f>
        <v>61</v>
      </c>
      <c r="E29" s="121">
        <v>46</v>
      </c>
      <c r="F29" s="41">
        <v>88</v>
      </c>
    </row>
    <row r="30" spans="1:6" x14ac:dyDescent="0.3">
      <c r="A30" s="41">
        <f>'MA.1P.AP'!B30</f>
        <v>28</v>
      </c>
      <c r="B30" s="41">
        <f>'MA.1P.AP'!C30</f>
        <v>4</v>
      </c>
      <c r="C30" s="41">
        <f>SUM(B$3:B30)</f>
        <v>65</v>
      </c>
      <c r="E30" s="121">
        <v>49</v>
      </c>
      <c r="F30" s="41">
        <v>92</v>
      </c>
    </row>
    <row r="31" spans="1:6" x14ac:dyDescent="0.3">
      <c r="A31" s="41">
        <f>'MA.1P.AP'!B31</f>
        <v>29</v>
      </c>
      <c r="B31" s="41">
        <f>'MA.1P.AP'!C31</f>
        <v>3</v>
      </c>
      <c r="C31" s="41">
        <f>SUM(B$3:B31)</f>
        <v>68</v>
      </c>
      <c r="E31" s="121">
        <v>37</v>
      </c>
      <c r="F31" s="41">
        <v>95</v>
      </c>
    </row>
    <row r="32" spans="1:6" x14ac:dyDescent="0.3">
      <c r="A32" s="41">
        <f>'MA.1P.AP'!B32</f>
        <v>30</v>
      </c>
      <c r="B32" s="41">
        <f>'MA.1P.AP'!C32</f>
        <v>4</v>
      </c>
      <c r="C32" s="41">
        <f>SUM(B$3:B32)</f>
        <v>72</v>
      </c>
      <c r="E32" s="121">
        <v>30</v>
      </c>
      <c r="F32" s="41">
        <v>97</v>
      </c>
    </row>
    <row r="33" spans="1:6" x14ac:dyDescent="0.3">
      <c r="A33" s="41">
        <f>'MA.1P.AP'!B33</f>
        <v>31</v>
      </c>
      <c r="B33" s="41">
        <f>'MA.1P.AP'!C33</f>
        <v>3</v>
      </c>
      <c r="C33" s="41">
        <f>SUM(B$3:B33)</f>
        <v>75</v>
      </c>
      <c r="E33" s="121">
        <v>29</v>
      </c>
      <c r="F33" s="41">
        <v>99</v>
      </c>
    </row>
    <row r="34" spans="1:6" x14ac:dyDescent="0.3">
      <c r="A34" s="41">
        <f>'MA.1P.AP'!B34</f>
        <v>32</v>
      </c>
      <c r="B34" s="41">
        <f>'MA.1P.AP'!C34</f>
        <v>1</v>
      </c>
      <c r="C34" s="41">
        <f>SUM(B$3:B34)</f>
        <v>76</v>
      </c>
      <c r="E34" s="121">
        <v>32</v>
      </c>
      <c r="F34" s="41">
        <v>102</v>
      </c>
    </row>
    <row r="35" spans="1:6" x14ac:dyDescent="0.3">
      <c r="A35" s="41">
        <f>'MA.1P.AP'!B35</f>
        <v>33</v>
      </c>
      <c r="B35" s="41">
        <f>'MA.1P.AP'!C35</f>
        <v>5</v>
      </c>
      <c r="C35" s="41">
        <f>SUM(B$3:B35)</f>
        <v>81</v>
      </c>
      <c r="E35" s="121">
        <v>34</v>
      </c>
      <c r="F35" s="41">
        <v>104</v>
      </c>
    </row>
    <row r="36" spans="1:6" x14ac:dyDescent="0.3">
      <c r="A36" s="41">
        <f>'MA.1P.AP'!B36</f>
        <v>34</v>
      </c>
      <c r="B36" s="41">
        <f>'MA.1P.AP'!C36</f>
        <v>2</v>
      </c>
      <c r="C36" s="41">
        <f>SUM(B$3:B36)</f>
        <v>83</v>
      </c>
      <c r="E36" s="121">
        <v>50</v>
      </c>
      <c r="F36" s="41">
        <v>108</v>
      </c>
    </row>
    <row r="37" spans="1:6" x14ac:dyDescent="0.3">
      <c r="A37" s="41">
        <f>'MA.1P.AP'!B37</f>
        <v>35</v>
      </c>
      <c r="B37" s="41">
        <f>'MA.1P.AP'!C37</f>
        <v>0</v>
      </c>
      <c r="C37" s="41">
        <f>SUM(B$3:B37)</f>
        <v>83</v>
      </c>
      <c r="E37" s="121">
        <v>58</v>
      </c>
      <c r="F37" s="41">
        <v>113</v>
      </c>
    </row>
    <row r="38" spans="1:6" x14ac:dyDescent="0.3">
      <c r="A38" s="41">
        <f>'MA.1P.AP'!B38</f>
        <v>36</v>
      </c>
      <c r="B38" s="41">
        <f>'MA.1P.AP'!C38</f>
        <v>7</v>
      </c>
      <c r="C38" s="41">
        <f>SUM(B$3:B38)</f>
        <v>90</v>
      </c>
      <c r="E38" s="121">
        <v>62</v>
      </c>
      <c r="F38" s="41">
        <v>117</v>
      </c>
    </row>
    <row r="39" spans="1:6" x14ac:dyDescent="0.3">
      <c r="A39" s="41">
        <f>'MA.1P.AP'!B39</f>
        <v>37</v>
      </c>
      <c r="B39" s="41">
        <f>'MA.1P.AP'!C39</f>
        <v>3</v>
      </c>
      <c r="C39" s="41">
        <f>SUM(B$3:B39)</f>
        <v>93</v>
      </c>
      <c r="E39" s="121">
        <v>33</v>
      </c>
      <c r="F39" s="41">
        <v>120</v>
      </c>
    </row>
    <row r="40" spans="1:6" x14ac:dyDescent="0.3">
      <c r="A40" s="41">
        <f>'MA.1P.AP'!B40</f>
        <v>38</v>
      </c>
      <c r="B40" s="41">
        <f>'MA.1P.AP'!C40</f>
        <v>5</v>
      </c>
      <c r="C40" s="41">
        <f>SUM(B$3:B40)</f>
        <v>98</v>
      </c>
      <c r="E40" s="121">
        <v>42</v>
      </c>
      <c r="F40" s="41">
        <v>123</v>
      </c>
    </row>
    <row r="41" spans="1:6" x14ac:dyDescent="0.3">
      <c r="A41" s="41">
        <f>'MA.1P.AP'!B41</f>
        <v>39</v>
      </c>
      <c r="B41" s="41">
        <f>'MA.1P.AP'!C41</f>
        <v>5</v>
      </c>
      <c r="C41" s="41">
        <f>SUM(B$3:B41)</f>
        <v>103</v>
      </c>
      <c r="E41" s="121">
        <v>31</v>
      </c>
      <c r="F41" s="41">
        <v>125</v>
      </c>
    </row>
    <row r="42" spans="1:6" x14ac:dyDescent="0.3">
      <c r="A42" s="41">
        <f>'MA.1P.AP'!B42</f>
        <v>40</v>
      </c>
      <c r="B42" s="41">
        <f>'MA.1P.AP'!C42</f>
        <v>6</v>
      </c>
      <c r="C42" s="41">
        <f>SUM(B$3:B42)</f>
        <v>109</v>
      </c>
      <c r="E42" s="121">
        <v>47</v>
      </c>
      <c r="F42" s="41">
        <v>129</v>
      </c>
    </row>
    <row r="43" spans="1:6" x14ac:dyDescent="0.3">
      <c r="A43" s="41">
        <f>'MA.1P.AP'!B43</f>
        <v>41</v>
      </c>
      <c r="B43" s="41">
        <f>'MA.1P.AP'!C43</f>
        <v>2</v>
      </c>
      <c r="C43" s="41">
        <f>SUM(B$3:B43)</f>
        <v>111</v>
      </c>
      <c r="E43" s="121">
        <v>30</v>
      </c>
      <c r="F43" s="41">
        <v>131</v>
      </c>
    </row>
    <row r="44" spans="1:6" x14ac:dyDescent="0.3">
      <c r="A44" s="41">
        <f>'MA.1P.AP'!B44</f>
        <v>42</v>
      </c>
      <c r="B44" s="41">
        <f>'MA.1P.AP'!C44</f>
        <v>3</v>
      </c>
      <c r="C44" s="41">
        <f>SUM(B$3:B44)</f>
        <v>114</v>
      </c>
      <c r="E44" s="121">
        <v>34</v>
      </c>
      <c r="F44" s="41">
        <v>134</v>
      </c>
    </row>
    <row r="45" spans="1:6" x14ac:dyDescent="0.3">
      <c r="A45" s="41">
        <f>'MA.1P.AP'!B45</f>
        <v>43</v>
      </c>
      <c r="B45" s="41">
        <f>'MA.1P.AP'!C45</f>
        <v>4</v>
      </c>
      <c r="C45" s="41">
        <f>SUM(B$3:B45)</f>
        <v>118</v>
      </c>
      <c r="E45" s="121">
        <v>36</v>
      </c>
      <c r="F45" s="41">
        <v>136</v>
      </c>
    </row>
    <row r="46" spans="1:6" x14ac:dyDescent="0.3">
      <c r="A46" s="41">
        <f>'MA.1P.AP'!B46</f>
        <v>44</v>
      </c>
      <c r="B46" s="41">
        <f>'MA.1P.AP'!C46</f>
        <v>2</v>
      </c>
      <c r="C46" s="41">
        <f>SUM(B$3:B46)</f>
        <v>120</v>
      </c>
      <c r="E46" s="121">
        <v>39</v>
      </c>
      <c r="F46" s="41">
        <v>139</v>
      </c>
    </row>
    <row r="47" spans="1:6" x14ac:dyDescent="0.3">
      <c r="A47" s="41">
        <f>'MA.1P.AP'!B47</f>
        <v>45</v>
      </c>
      <c r="B47" s="41">
        <f>'MA.1P.AP'!C47</f>
        <v>3</v>
      </c>
      <c r="C47" s="41">
        <f>SUM(B$3:B47)</f>
        <v>123</v>
      </c>
      <c r="E47" s="121">
        <v>37</v>
      </c>
      <c r="F47" s="41">
        <v>142</v>
      </c>
    </row>
    <row r="48" spans="1:6" x14ac:dyDescent="0.3">
      <c r="A48" s="41">
        <f>'MA.1P.AP'!B48</f>
        <v>46</v>
      </c>
      <c r="B48" s="41">
        <f>'MA.1P.AP'!C48</f>
        <v>3</v>
      </c>
      <c r="C48" s="41">
        <f>SUM(B$3:B48)</f>
        <v>126</v>
      </c>
      <c r="E48" s="121">
        <v>66</v>
      </c>
      <c r="F48" s="41">
        <v>147</v>
      </c>
    </row>
    <row r="49" spans="1:6" x14ac:dyDescent="0.3">
      <c r="A49" s="41">
        <f>'MA.1P.AP'!B49</f>
        <v>47</v>
      </c>
      <c r="B49" s="41">
        <f>'MA.1P.AP'!C49</f>
        <v>6</v>
      </c>
      <c r="C49" s="41">
        <f>SUM(B$3:B49)</f>
        <v>132</v>
      </c>
      <c r="E49" s="121">
        <v>56</v>
      </c>
      <c r="F49" s="41">
        <v>151</v>
      </c>
    </row>
    <row r="50" spans="1:6" x14ac:dyDescent="0.3">
      <c r="A50" s="41">
        <f>'MA.1P.AP'!B50</f>
        <v>48</v>
      </c>
      <c r="B50" s="41">
        <f>'MA.1P.AP'!C50</f>
        <v>11</v>
      </c>
      <c r="C50" s="41">
        <f>SUM(B$3:B50)</f>
        <v>143</v>
      </c>
      <c r="E50" s="121">
        <v>54</v>
      </c>
      <c r="F50" s="41">
        <v>155</v>
      </c>
    </row>
    <row r="51" spans="1:6" x14ac:dyDescent="0.3">
      <c r="A51" s="41">
        <f>'MA.1P.AP'!B51</f>
        <v>49</v>
      </c>
      <c r="B51" s="41">
        <f>'MA.1P.AP'!C51</f>
        <v>5</v>
      </c>
      <c r="C51" s="41">
        <f>SUM(B$3:B51)</f>
        <v>148</v>
      </c>
      <c r="E51" s="121">
        <v>29</v>
      </c>
      <c r="F51" s="41">
        <v>157</v>
      </c>
    </row>
    <row r="52" spans="1:6" x14ac:dyDescent="0.3">
      <c r="A52" s="41">
        <f>'MA.1P.AP'!B52</f>
        <v>50</v>
      </c>
      <c r="B52" s="41">
        <f>'MA.1P.AP'!C52</f>
        <v>5</v>
      </c>
      <c r="C52" s="41">
        <f>SUM(B$3:B52)</f>
        <v>153</v>
      </c>
      <c r="E52" s="121">
        <v>41</v>
      </c>
      <c r="F52" s="41">
        <v>160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AD63-B031-4155-B0F2-594CAA72C5F7}">
  <dimension ref="A1:E29"/>
  <sheetViews>
    <sheetView showZeros="0" workbookViewId="0">
      <selection activeCell="G17" sqref="G17:I20"/>
    </sheetView>
  </sheetViews>
  <sheetFormatPr defaultRowHeight="15" x14ac:dyDescent="0.25"/>
  <cols>
    <col min="1" max="1" width="5.28515625" customWidth="1"/>
    <col min="2" max="2" width="15.140625" bestFit="1" customWidth="1"/>
    <col min="5" max="5" width="86.28515625" bestFit="1" customWidth="1"/>
    <col min="15" max="15" width="6.7109375" customWidth="1"/>
  </cols>
  <sheetData>
    <row r="1" spans="1:5" ht="17.25" thickBot="1" x14ac:dyDescent="0.35">
      <c r="A1" s="61" t="s">
        <v>170</v>
      </c>
      <c r="B1" s="206" t="s">
        <v>0</v>
      </c>
      <c r="C1" t="s">
        <v>108</v>
      </c>
      <c r="D1">
        <f ca="1">RANDBETWEEN(2,22)</f>
        <v>5</v>
      </c>
    </row>
    <row r="2" spans="1:5" ht="16.5" x14ac:dyDescent="0.3">
      <c r="A2" s="5">
        <v>1</v>
      </c>
      <c r="B2" s="207">
        <v>32</v>
      </c>
      <c r="C2" t="str" cm="1">
        <f t="array" aca="1" ref="C2" ca="1">IF(A2&lt;$D$1," ",IF(A2=$D$1,AVERAGE(B$2:B2),C1+B2/$D$1-INDEX($B$2:$B$29,A2-$D$1)/$D$1))</f>
        <v xml:space="preserve"> </v>
      </c>
    </row>
    <row r="3" spans="1:5" ht="16.5" x14ac:dyDescent="0.3">
      <c r="A3" s="5">
        <v>2</v>
      </c>
      <c r="B3" s="207">
        <v>42</v>
      </c>
      <c r="C3" t="str" cm="1">
        <f t="array" aca="1" ref="C3" ca="1">IF(A3&lt;$D$1," ",IF(A3=$D$1,AVERAGE(B$2:B3),C2+B3/$D$1-INDEX($B$2:$B$29,A3-$D$1)/$D$1))</f>
        <v xml:space="preserve"> </v>
      </c>
    </row>
    <row r="4" spans="1:5" ht="16.5" x14ac:dyDescent="0.3">
      <c r="A4" s="5">
        <v>3</v>
      </c>
      <c r="B4" s="207">
        <v>37</v>
      </c>
      <c r="C4" t="str" cm="1">
        <f t="array" aca="1" ref="C4" ca="1">IF(A4&lt;$D$1," ",IF(A4=$D$1,AVERAGE(B$2:B4),C3+B4/$D$1-INDEX($B$2:$B$29,A4-$D$1)/$D$1))</f>
        <v xml:space="preserve"> </v>
      </c>
      <c r="E4" s="202"/>
    </row>
    <row r="5" spans="1:5" ht="16.5" x14ac:dyDescent="0.3">
      <c r="A5" s="5">
        <v>4</v>
      </c>
      <c r="B5" s="207">
        <v>34</v>
      </c>
      <c r="C5" t="str" cm="1">
        <f t="array" aca="1" ref="C5" ca="1">IF(A5&lt;$D$1," ",IF(A5=$D$1,AVERAGE(B$2:B5),C4+B5/$D$1-INDEX($B$2:$B$29,A5-$D$1)/$D$1))</f>
        <v xml:space="preserve"> </v>
      </c>
    </row>
    <row r="6" spans="1:5" ht="16.5" x14ac:dyDescent="0.3">
      <c r="A6" s="5">
        <v>5</v>
      </c>
      <c r="B6" s="207">
        <v>31</v>
      </c>
      <c r="C6" cm="1">
        <f t="array" aca="1" ref="C6" ca="1">IF(A6&lt;$D$1," ",IF(A6=$D$1,AVERAGE(B$2:B6),C5+B6/$D$1-INDEX($B$2:$B$29,A6-$D$1)/$D$1))</f>
        <v>35.200000000000003</v>
      </c>
      <c r="E6" s="202"/>
    </row>
    <row r="7" spans="1:5" ht="16.5" x14ac:dyDescent="0.3">
      <c r="A7" s="5">
        <v>6</v>
      </c>
      <c r="B7" s="207">
        <v>47</v>
      </c>
      <c r="C7" cm="1">
        <f t="array" aca="1" ref="C7" ca="1">IF(A7&lt;$D$1," ",IF(A7=$D$1,AVERAGE(B$2:B7),C6+B7/$D$1-INDEX($B$2:$B$29,A7-$D$1)/$D$1))</f>
        <v>38.200000000000003</v>
      </c>
    </row>
    <row r="8" spans="1:5" ht="16.5" x14ac:dyDescent="0.3">
      <c r="A8" s="5">
        <v>7</v>
      </c>
      <c r="B8" s="207">
        <v>29</v>
      </c>
      <c r="C8" cm="1">
        <f t="array" aca="1" ref="C8" ca="1">IF(A8&lt;$D$1," ",IF(A8=$D$1,AVERAGE(B$2:B8),C7+B8/$D$1-INDEX($B$2:$B$29,A8-$D$1)/$D$1))</f>
        <v>35.6</v>
      </c>
    </row>
    <row r="9" spans="1:5" ht="16.5" x14ac:dyDescent="0.3">
      <c r="A9" s="5">
        <v>8</v>
      </c>
      <c r="B9" s="207">
        <v>56</v>
      </c>
      <c r="C9" cm="1">
        <f t="array" aca="1" ref="C9" ca="1">IF(A9&lt;$D$1," ",IF(A9=$D$1,AVERAGE(B$2:B9),C8+B9/$D$1-INDEX($B$2:$B$29,A9-$D$1)/$D$1))</f>
        <v>39.4</v>
      </c>
    </row>
    <row r="10" spans="1:5" ht="16.5" x14ac:dyDescent="0.3">
      <c r="A10" s="5">
        <v>9</v>
      </c>
      <c r="B10" s="207">
        <v>54</v>
      </c>
      <c r="C10" cm="1">
        <f t="array" aca="1" ref="C10" ca="1">IF(A10&lt;$D$1," ",IF(A10=$D$1,AVERAGE(B$2:B10),C9+B10/$D$1-INDEX($B$2:$B$29,A10-$D$1)/$D$1))</f>
        <v>43.400000000000006</v>
      </c>
    </row>
    <row r="11" spans="1:5" ht="16.5" x14ac:dyDescent="0.3">
      <c r="A11" s="5">
        <v>10</v>
      </c>
      <c r="B11" s="207">
        <v>58</v>
      </c>
      <c r="C11" cm="1">
        <f t="array" aca="1" ref="C11" ca="1">IF(A11&lt;$D$1," ",IF(A11=$D$1,AVERAGE(B$2:B11),C10+B11/$D$1-INDEX($B$2:$B$29,A11-$D$1)/$D$1))</f>
        <v>48.800000000000004</v>
      </c>
    </row>
    <row r="12" spans="1:5" ht="16.5" x14ac:dyDescent="0.3">
      <c r="A12" s="5">
        <v>11</v>
      </c>
      <c r="B12" s="207">
        <v>66</v>
      </c>
      <c r="C12" cm="1">
        <f t="array" aca="1" ref="C12" ca="1">IF(A12&lt;$D$1," ",IF(A12=$D$1,AVERAGE(B$2:B12),C11+B12/$D$1-INDEX($B$2:$B$29,A12-$D$1)/$D$1))</f>
        <v>52.6</v>
      </c>
    </row>
    <row r="13" spans="1:5" ht="16.5" x14ac:dyDescent="0.3">
      <c r="A13" s="5">
        <v>12</v>
      </c>
      <c r="B13" s="207">
        <v>29</v>
      </c>
      <c r="C13" cm="1">
        <f t="array" aca="1" ref="C13" ca="1">IF(A13&lt;$D$1," ",IF(A13=$D$1,AVERAGE(B$2:B13),C12+B13/$D$1-INDEX($B$2:$B$29,A13-$D$1)/$D$1))</f>
        <v>52.6</v>
      </c>
    </row>
    <row r="14" spans="1:5" ht="16.5" x14ac:dyDescent="0.3">
      <c r="A14" s="5">
        <v>13</v>
      </c>
      <c r="B14" s="207">
        <v>41</v>
      </c>
      <c r="C14" cm="1">
        <f t="array" aca="1" ref="C14" ca="1">IF(A14&lt;$D$1," ",IF(A14=$D$1,AVERAGE(B$2:B14),C13+B14/$D$1-INDEX($B$2:$B$29,A14-$D$1)/$D$1))</f>
        <v>49.599999999999994</v>
      </c>
    </row>
    <row r="15" spans="1:5" ht="16.5" x14ac:dyDescent="0.3">
      <c r="A15" s="5">
        <v>14</v>
      </c>
      <c r="B15" s="207">
        <v>37</v>
      </c>
      <c r="C15" cm="1">
        <f t="array" aca="1" ref="C15" ca="1">IF(A15&lt;$D$1," ",IF(A15=$D$1,AVERAGE(B$2:B15),C14+B15/$D$1-INDEX($B$2:$B$29,A15-$D$1)/$D$1))</f>
        <v>46.199999999999989</v>
      </c>
    </row>
    <row r="16" spans="1:5" ht="16.5" x14ac:dyDescent="0.3">
      <c r="A16" s="5">
        <v>15</v>
      </c>
      <c r="B16" s="207">
        <v>50</v>
      </c>
      <c r="C16" cm="1">
        <f t="array" aca="1" ref="C16" ca="1">IF(A16&lt;$D$1," ",IF(A16=$D$1,AVERAGE(B$2:B16),C15+B16/$D$1-INDEX($B$2:$B$29,A16-$D$1)/$D$1))</f>
        <v>44.599999999999987</v>
      </c>
    </row>
    <row r="17" spans="1:5" ht="16.5" x14ac:dyDescent="0.3">
      <c r="A17" s="5">
        <v>16</v>
      </c>
      <c r="B17" s="207">
        <v>39</v>
      </c>
      <c r="C17" cm="1">
        <f t="array" aca="1" ref="C17" ca="1">IF(A17&lt;$D$1," ",IF(A17=$D$1,AVERAGE(B$2:B17),C16+B17/$D$1-INDEX($B$2:$B$29,A17-$D$1)/$D$1))</f>
        <v>39.199999999999989</v>
      </c>
    </row>
    <row r="18" spans="1:5" ht="16.5" x14ac:dyDescent="0.3">
      <c r="A18" s="5">
        <v>17</v>
      </c>
      <c r="B18" s="207">
        <v>33</v>
      </c>
      <c r="C18" cm="1">
        <f t="array" aca="1" ref="C18" ca="1">IF(A18&lt;$D$1," ",IF(A18=$D$1,AVERAGE(B$2:B18),C17+B18/$D$1-INDEX($B$2:$B$29,A18-$D$1)/$D$1))</f>
        <v>39.999999999999993</v>
      </c>
    </row>
    <row r="19" spans="1:5" ht="16.5" x14ac:dyDescent="0.3">
      <c r="A19" s="5">
        <v>18</v>
      </c>
      <c r="B19" s="207">
        <v>34</v>
      </c>
      <c r="C19" cm="1">
        <f t="array" aca="1" ref="C19" ca="1">IF(A19&lt;$D$1," ",IF(A19=$D$1,AVERAGE(B$2:B19),C18+B19/$D$1-INDEX($B$2:$B$29,A19-$D$1)/$D$1))</f>
        <v>38.599999999999994</v>
      </c>
    </row>
    <row r="20" spans="1:5" ht="16.5" x14ac:dyDescent="0.3">
      <c r="A20" s="5">
        <v>19</v>
      </c>
      <c r="B20" s="207">
        <v>30</v>
      </c>
      <c r="C20" cm="1">
        <f t="array" aca="1" ref="C20" ca="1">IF(A20&lt;$D$1," ",IF(A20=$D$1,AVERAGE(B$2:B20),C19+B20/$D$1-INDEX($B$2:$B$29,A20-$D$1)/$D$1))</f>
        <v>37.199999999999996</v>
      </c>
      <c r="E20" t="str" cm="1">
        <f t="array" aca="1" ref="E20" ca="1">IF(A2&lt;$D$1,"",IF(A2=$D$1,AVERAGE(B$2:B2),D1+B2/$D$1-INDEX($B$2:$B$13,A2-$D$1+1))/$D$1)</f>
        <v/>
      </c>
    </row>
    <row r="21" spans="1:5" ht="16.5" x14ac:dyDescent="0.3">
      <c r="A21" s="5">
        <v>20</v>
      </c>
      <c r="B21" s="207">
        <v>36</v>
      </c>
      <c r="C21" cm="1">
        <f t="array" aca="1" ref="C21" ca="1">IF(A21&lt;$D$1," ",IF(A21=$D$1,AVERAGE(B$2:B21),C20+B21/$D$1-INDEX($B$2:$B$29,A21-$D$1)/$D$1))</f>
        <v>34.4</v>
      </c>
    </row>
    <row r="22" spans="1:5" ht="16.5" x14ac:dyDescent="0.3">
      <c r="A22" s="5">
        <v>21</v>
      </c>
      <c r="B22" s="207">
        <v>62</v>
      </c>
      <c r="C22" cm="1">
        <f t="array" aca="1" ref="C22" ca="1">IF(A22&lt;$D$1," ",IF(A22=$D$1,AVERAGE(B$2:B22),C21+B22/$D$1-INDEX($B$2:$B$29,A22-$D$1)/$D$1))</f>
        <v>39</v>
      </c>
      <c r="E22" s="202" t="str">
        <f ca="1">_xlfn.FORMULATEXT(C8)</f>
        <v>=IF(A8&lt;$D$1," ",IF(A8=$D$1,AVERAGE(B$2:B8),C7+B8/$D$1-INDEX($B$2:$B$29,A8-$D$1)/$D$1))</v>
      </c>
    </row>
    <row r="23" spans="1:5" ht="16.5" x14ac:dyDescent="0.3">
      <c r="A23" s="5">
        <v>22</v>
      </c>
      <c r="B23" s="207">
        <v>30</v>
      </c>
      <c r="C23" cm="1">
        <f t="array" aca="1" ref="C23" ca="1">IF(A23&lt;$D$1," ",IF(A23=$D$1,AVERAGE(B$2:B23),C22+B23/$D$1-INDEX($B$2:$B$29,A23-$D$1)/$D$1))</f>
        <v>38.4</v>
      </c>
    </row>
    <row r="24" spans="1:5" ht="16.5" x14ac:dyDescent="0.3">
      <c r="A24" s="5">
        <v>23</v>
      </c>
      <c r="B24" s="207">
        <v>42</v>
      </c>
      <c r="C24" cm="1">
        <f t="array" aca="1" ref="C24" ca="1">IF(A24&lt;$D$1," ",IF(A24=$D$1,AVERAGE(B$2:B24),C23+B24/$D$1-INDEX($B$2:$B$29,A24-$D$1)/$D$1))</f>
        <v>40</v>
      </c>
    </row>
    <row r="25" spans="1:5" ht="16.5" x14ac:dyDescent="0.3">
      <c r="A25" s="5">
        <v>24</v>
      </c>
      <c r="B25" s="207">
        <v>47</v>
      </c>
      <c r="C25" cm="1">
        <f t="array" aca="1" ref="C25" ca="1">IF(A25&lt;$D$1," ",IF(A25=$D$1,AVERAGE(B$2:B25),C24+B25/$D$1-INDEX($B$2:$B$29,A25-$D$1)/$D$1))</f>
        <v>43.4</v>
      </c>
    </row>
    <row r="26" spans="1:5" ht="16.5" x14ac:dyDescent="0.3">
      <c r="A26" s="5">
        <v>25</v>
      </c>
      <c r="B26" s="207">
        <v>88</v>
      </c>
      <c r="C26" cm="1">
        <f t="array" aca="1" ref="C26" ca="1">IF(A26&lt;$D$1," ",IF(A26=$D$1,AVERAGE(B$2:B26),C25+B26/$D$1-INDEX($B$2:$B$29,A26-$D$1)/$D$1))</f>
        <v>53.8</v>
      </c>
    </row>
    <row r="27" spans="1:5" ht="16.5" x14ac:dyDescent="0.3">
      <c r="A27" s="5">
        <v>26</v>
      </c>
      <c r="B27" s="207">
        <v>38</v>
      </c>
      <c r="C27" cm="1">
        <f t="array" aca="1" ref="C27" ca="1">IF(A27&lt;$D$1," ",IF(A27=$D$1,AVERAGE(B$2:B27),C26+B27/$D$1-INDEX($B$2:$B$29,A27-$D$1)/$D$1))</f>
        <v>49</v>
      </c>
    </row>
    <row r="28" spans="1:5" ht="16.5" x14ac:dyDescent="0.3">
      <c r="A28" s="5">
        <v>27</v>
      </c>
      <c r="B28" s="207">
        <v>46</v>
      </c>
      <c r="C28" cm="1">
        <f t="array" aca="1" ref="C28" ca="1">IF(A28&lt;$D$1," ",IF(A28=$D$1,AVERAGE(B$2:B28),C27+B28/$D$1-INDEX($B$2:$B$29,A28-$D$1)/$D$1))</f>
        <v>52.2</v>
      </c>
    </row>
    <row r="29" spans="1:5" ht="17.25" thickBot="1" x14ac:dyDescent="0.35">
      <c r="A29" s="5">
        <v>28</v>
      </c>
      <c r="B29" s="211">
        <v>49</v>
      </c>
      <c r="C29" cm="1">
        <f t="array" aca="1" ref="C29" ca="1">IF(A29&lt;$D$1," ",IF(A29=$D$1,AVERAGE(B$2:B29),C28+B29/$D$1-INDEX($B$2:$B$29,A29-$D$1)/$D$1))</f>
        <v>53.6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D9130-46C0-481B-AC68-C7B014E6BB06}">
  <dimension ref="A1:BH299"/>
  <sheetViews>
    <sheetView zoomScale="96" zoomScaleNormal="96" workbookViewId="0">
      <selection activeCell="N23" sqref="N23"/>
    </sheetView>
  </sheetViews>
  <sheetFormatPr defaultColWidth="9.140625" defaultRowHeight="15" x14ac:dyDescent="0.25"/>
  <cols>
    <col min="1" max="1" width="4.5703125" style="57" bestFit="1" customWidth="1"/>
    <col min="2" max="2" width="10.85546875" style="57" bestFit="1" customWidth="1"/>
    <col min="3" max="3" width="13" style="57" customWidth="1"/>
    <col min="4" max="4" width="8.7109375" style="57" customWidth="1"/>
    <col min="5" max="5" width="5.85546875" style="57" customWidth="1"/>
    <col min="6" max="6" width="9.7109375" style="57" customWidth="1"/>
    <col min="7" max="7" width="10.7109375" style="57" customWidth="1"/>
    <col min="8" max="8" width="7.28515625" style="57" customWidth="1"/>
    <col min="9" max="9" width="8.7109375" style="57" bestFit="1" customWidth="1"/>
    <col min="10" max="10" width="9.140625" style="57"/>
    <col min="11" max="11" width="12.140625" style="57" bestFit="1" customWidth="1"/>
    <col min="12" max="12" width="13.85546875" style="57" bestFit="1" customWidth="1"/>
    <col min="13" max="13" width="12.42578125" style="57" bestFit="1" customWidth="1"/>
    <col min="14" max="14" width="12.140625" style="57" bestFit="1" customWidth="1"/>
    <col min="15" max="18" width="9.28515625" style="57" bestFit="1" customWidth="1"/>
    <col min="19" max="20" width="9.140625" style="57"/>
    <col min="21" max="21" width="9.28515625" style="57" bestFit="1" customWidth="1"/>
    <col min="22" max="32" width="9.140625" style="57"/>
    <col min="33" max="33" width="9.140625" style="57" customWidth="1"/>
    <col min="34" max="36" width="9.140625" style="57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57"/>
  </cols>
  <sheetData>
    <row r="1" spans="1:43" customFormat="1" ht="15.75" thickBot="1" x14ac:dyDescent="0.3">
      <c r="J1" t="s">
        <v>115</v>
      </c>
      <c r="K1" s="118">
        <v>0.5</v>
      </c>
      <c r="M1" t="str">
        <f>"Expo.Smoo: Alpha = "&amp;ROUND(K1,2)</f>
        <v>Expo.Smoo: Alpha = 0.5</v>
      </c>
    </row>
    <row r="2" spans="1:43" ht="17.25" thickBot="1" x14ac:dyDescent="0.35">
      <c r="A2" s="61" t="s">
        <v>170</v>
      </c>
      <c r="B2" s="62" t="s">
        <v>286</v>
      </c>
      <c r="C2" s="1" t="s">
        <v>108</v>
      </c>
      <c r="D2" s="1" t="s">
        <v>109</v>
      </c>
      <c r="E2" s="1" t="s">
        <v>110</v>
      </c>
      <c r="F2" s="1" t="s">
        <v>111</v>
      </c>
      <c r="G2" s="1" t="s">
        <v>112</v>
      </c>
      <c r="H2" s="1" t="s">
        <v>1</v>
      </c>
      <c r="I2" s="1" t="s">
        <v>113</v>
      </c>
      <c r="J2" s="1" t="s">
        <v>114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43" ht="16.5" x14ac:dyDescent="0.3">
      <c r="A3" s="121">
        <v>1</v>
      </c>
      <c r="B3" s="72">
        <v>50</v>
      </c>
      <c r="C3" s="1">
        <f>B3</f>
        <v>50</v>
      </c>
      <c r="D3" s="119">
        <f>B3-C3</f>
        <v>0</v>
      </c>
      <c r="E3" s="1">
        <f>ABS(D3)</f>
        <v>0</v>
      </c>
      <c r="F3" s="119">
        <f>D3^2</f>
        <v>0</v>
      </c>
      <c r="G3" s="119">
        <f>E3/B3</f>
        <v>0</v>
      </c>
      <c r="H3" s="119">
        <f>AVERAGE(E$3:E3)</f>
        <v>0</v>
      </c>
      <c r="I3" s="119">
        <f>AVERAGE(F$3:F3)</f>
        <v>0</v>
      </c>
      <c r="J3" s="119">
        <f>AVERAGE(G$3:G3)</f>
        <v>0</v>
      </c>
      <c r="K3"/>
      <c r="L3">
        <v>0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43" ht="16.5" x14ac:dyDescent="0.3">
      <c r="A4" s="121">
        <v>2</v>
      </c>
      <c r="B4" s="72">
        <v>63</v>
      </c>
      <c r="C4" s="119">
        <f>(1-$K$1)*C3+$K$1*B3</f>
        <v>50</v>
      </c>
      <c r="D4" s="119">
        <f t="shared" ref="D4:D30" si="0">B4-C4</f>
        <v>13</v>
      </c>
      <c r="E4" s="1">
        <f t="shared" ref="E4:E30" si="1">ABS(D4)</f>
        <v>13</v>
      </c>
      <c r="F4" s="119">
        <f t="shared" ref="F4:F30" si="2">D4^2</f>
        <v>169</v>
      </c>
      <c r="G4" s="119">
        <f t="shared" ref="G4:G30" si="3">E4/B4</f>
        <v>0.20634920634920634</v>
      </c>
      <c r="H4" s="119">
        <f>AVERAGE(E$3:E4)</f>
        <v>6.5</v>
      </c>
      <c r="I4" s="119">
        <f>AVERAGE(F$3:F4)</f>
        <v>84.5</v>
      </c>
      <c r="J4" s="119">
        <f>AVERAGE(G$3:G4)</f>
        <v>0.10317460317460317</v>
      </c>
      <c r="K4"/>
      <c r="L4">
        <v>0.1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43" ht="17.25" thickBot="1" x14ac:dyDescent="0.35">
      <c r="A5" s="121">
        <v>3</v>
      </c>
      <c r="B5" s="72">
        <v>50</v>
      </c>
      <c r="C5" s="119">
        <f t="shared" ref="C5:C31" si="4">(1-$K$1)*C4+$K$1*B4</f>
        <v>56.5</v>
      </c>
      <c r="D5" s="119">
        <f t="shared" si="0"/>
        <v>-6.5</v>
      </c>
      <c r="E5" s="1">
        <f t="shared" si="1"/>
        <v>6.5</v>
      </c>
      <c r="F5" s="119">
        <f t="shared" si="2"/>
        <v>42.25</v>
      </c>
      <c r="G5" s="119">
        <f t="shared" si="3"/>
        <v>0.13</v>
      </c>
      <c r="H5" s="119">
        <f>AVERAGE(E$3:E5)</f>
        <v>6.5</v>
      </c>
      <c r="I5" s="119">
        <f>AVERAGE(F$3:F5)</f>
        <v>70.416666666666671</v>
      </c>
      <c r="J5" s="119">
        <f>AVERAGE(G$3:G5)</f>
        <v>0.11211640211640211</v>
      </c>
      <c r="K5"/>
      <c r="L5"/>
      <c r="M5" s="118">
        <f>J30</f>
        <v>0.24830237017684512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43" ht="16.5" x14ac:dyDescent="0.3">
      <c r="A6" s="121">
        <v>4</v>
      </c>
      <c r="B6" s="72">
        <v>44</v>
      </c>
      <c r="C6" s="119">
        <f t="shared" si="4"/>
        <v>53.25</v>
      </c>
      <c r="D6" s="119">
        <f t="shared" si="0"/>
        <v>-9.25</v>
      </c>
      <c r="E6" s="1">
        <f t="shared" si="1"/>
        <v>9.25</v>
      </c>
      <c r="F6" s="119">
        <f t="shared" si="2"/>
        <v>85.5625</v>
      </c>
      <c r="G6" s="119">
        <f t="shared" si="3"/>
        <v>0.21022727272727273</v>
      </c>
      <c r="H6" s="119">
        <f>AVERAGE(E$3:E6)</f>
        <v>7.1875</v>
      </c>
      <c r="I6" s="119">
        <f>AVERAGE(F$3:F6)</f>
        <v>74.203125</v>
      </c>
      <c r="J6" s="119">
        <f>AVERAGE(G$3:G6)</f>
        <v>0.13664411976911978</v>
      </c>
      <c r="K6"/>
      <c r="L6">
        <f>L3</f>
        <v>0</v>
      </c>
      <c r="M6" s="324">
        <f t="dataTable" ref="M6:M16" dt2D="0" dtr="0" r1="K1"/>
        <v>0.28844314349640193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43" ht="16.5" x14ac:dyDescent="0.3">
      <c r="A7" s="121">
        <v>5</v>
      </c>
      <c r="B7" s="72">
        <v>49</v>
      </c>
      <c r="C7" s="119">
        <f t="shared" si="4"/>
        <v>48.625</v>
      </c>
      <c r="D7" s="119">
        <f t="shared" si="0"/>
        <v>0.375</v>
      </c>
      <c r="E7" s="1">
        <f t="shared" si="1"/>
        <v>0.375</v>
      </c>
      <c r="F7" s="119">
        <f t="shared" si="2"/>
        <v>0.140625</v>
      </c>
      <c r="G7" s="119">
        <f t="shared" si="3"/>
        <v>7.6530612244897957E-3</v>
      </c>
      <c r="H7" s="119">
        <f>AVERAGE(E$3:E7)</f>
        <v>5.8250000000000002</v>
      </c>
      <c r="I7" s="119">
        <f>AVERAGE(F$3:F7)</f>
        <v>59.390625</v>
      </c>
      <c r="J7" s="119">
        <f>AVERAGE(G$3:G7)</f>
        <v>0.11084590806019379</v>
      </c>
      <c r="K7"/>
      <c r="L7">
        <f>L6+L$4</f>
        <v>0.1</v>
      </c>
      <c r="M7" s="325">
        <v>0.25412777244823331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43" ht="16.5" x14ac:dyDescent="0.3">
      <c r="A8" s="121">
        <v>6</v>
      </c>
      <c r="B8" s="72">
        <v>48</v>
      </c>
      <c r="C8" s="119">
        <f t="shared" si="4"/>
        <v>48.8125</v>
      </c>
      <c r="D8" s="119">
        <f t="shared" si="0"/>
        <v>-0.8125</v>
      </c>
      <c r="E8" s="1">
        <f t="shared" si="1"/>
        <v>0.8125</v>
      </c>
      <c r="F8" s="119">
        <f t="shared" si="2"/>
        <v>0.66015625</v>
      </c>
      <c r="G8" s="119">
        <f t="shared" si="3"/>
        <v>1.6927083333333332E-2</v>
      </c>
      <c r="H8" s="119">
        <f>AVERAGE(E$3:E8)</f>
        <v>4.989583333333333</v>
      </c>
      <c r="I8" s="119">
        <f>AVERAGE(F$3:F8)</f>
        <v>49.602213541666664</v>
      </c>
      <c r="J8" s="119">
        <f>AVERAGE(G$3:G8)</f>
        <v>9.5192770605717056E-2</v>
      </c>
      <c r="K8"/>
      <c r="L8">
        <f t="shared" ref="L8:L16" si="5">L7+L$4</f>
        <v>0.2</v>
      </c>
      <c r="M8" s="325">
        <v>0.24014491822127096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43" ht="16.5" x14ac:dyDescent="0.3">
      <c r="A9" s="121">
        <v>7</v>
      </c>
      <c r="B9" s="72">
        <v>42</v>
      </c>
      <c r="C9" s="119">
        <f t="shared" si="4"/>
        <v>48.40625</v>
      </c>
      <c r="D9" s="119">
        <f t="shared" si="0"/>
        <v>-6.40625</v>
      </c>
      <c r="E9" s="1">
        <f t="shared" si="1"/>
        <v>6.40625</v>
      </c>
      <c r="F9" s="119">
        <f t="shared" si="2"/>
        <v>41.0400390625</v>
      </c>
      <c r="G9" s="119">
        <f t="shared" si="3"/>
        <v>0.15252976190476192</v>
      </c>
      <c r="H9" s="119">
        <f>AVERAGE(E$3:E9)</f>
        <v>5.1919642857142856</v>
      </c>
      <c r="I9" s="119">
        <f>AVERAGE(F$3:F9)</f>
        <v>48.379045758928569</v>
      </c>
      <c r="J9" s="119">
        <f>AVERAGE(G$3:G9)</f>
        <v>0.10338376936272346</v>
      </c>
      <c r="K9"/>
      <c r="L9">
        <f t="shared" si="5"/>
        <v>0.30000000000000004</v>
      </c>
      <c r="M9" s="325">
        <v>0.23953052212731918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43" ht="16.5" x14ac:dyDescent="0.3">
      <c r="A10" s="121">
        <v>8</v>
      </c>
      <c r="B10" s="72">
        <v>49</v>
      </c>
      <c r="C10" s="119">
        <f t="shared" si="4"/>
        <v>45.203125</v>
      </c>
      <c r="D10" s="119">
        <f t="shared" si="0"/>
        <v>3.796875</v>
      </c>
      <c r="E10" s="1">
        <f t="shared" si="1"/>
        <v>3.796875</v>
      </c>
      <c r="F10" s="119">
        <f t="shared" si="2"/>
        <v>14.416259765625</v>
      </c>
      <c r="G10" s="119">
        <f t="shared" si="3"/>
        <v>7.748724489795919E-2</v>
      </c>
      <c r="H10" s="119">
        <f>AVERAGE(E$3:E10)</f>
        <v>5.017578125</v>
      </c>
      <c r="I10" s="119">
        <f>AVERAGE(F$3:F10)</f>
        <v>44.133697509765625</v>
      </c>
      <c r="J10" s="119">
        <f>AVERAGE(G$3:G10)</f>
        <v>0.10014670380462794</v>
      </c>
      <c r="K10"/>
      <c r="L10">
        <f t="shared" si="5"/>
        <v>0.4</v>
      </c>
      <c r="M10" s="325">
        <v>0.24450408034858426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43" ht="16.5" x14ac:dyDescent="0.3">
      <c r="A11" s="121">
        <v>9</v>
      </c>
      <c r="B11" s="72">
        <v>50</v>
      </c>
      <c r="C11" s="119">
        <f t="shared" si="4"/>
        <v>47.1015625</v>
      </c>
      <c r="D11" s="119">
        <f t="shared" si="0"/>
        <v>2.8984375</v>
      </c>
      <c r="E11" s="1">
        <f t="shared" si="1"/>
        <v>2.8984375</v>
      </c>
      <c r="F11" s="119">
        <f t="shared" si="2"/>
        <v>8.40093994140625</v>
      </c>
      <c r="G11" s="119">
        <f t="shared" si="3"/>
        <v>5.7968749999999999E-2</v>
      </c>
      <c r="H11" s="119">
        <f>AVERAGE(E$3:E11)</f>
        <v>4.7821180555555554</v>
      </c>
      <c r="I11" s="119">
        <f>AVERAGE(F$3:F11)</f>
        <v>40.16339111328125</v>
      </c>
      <c r="J11" s="119">
        <f>AVERAGE(G$3:G11)</f>
        <v>9.5460264493002614E-2</v>
      </c>
      <c r="K11"/>
      <c r="L11">
        <f t="shared" si="5"/>
        <v>0.5</v>
      </c>
      <c r="M11" s="325">
        <v>0.24830237017684512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43" ht="16.5" x14ac:dyDescent="0.3">
      <c r="A12" s="121">
        <v>10</v>
      </c>
      <c r="B12" s="72">
        <v>48</v>
      </c>
      <c r="C12" s="119">
        <f t="shared" si="4"/>
        <v>48.55078125</v>
      </c>
      <c r="D12" s="119">
        <f t="shared" si="0"/>
        <v>-0.55078125</v>
      </c>
      <c r="E12" s="1">
        <f t="shared" si="1"/>
        <v>0.55078125</v>
      </c>
      <c r="F12" s="119">
        <f t="shared" si="2"/>
        <v>0.3033599853515625</v>
      </c>
      <c r="G12" s="119">
        <f t="shared" si="3"/>
        <v>1.1474609375E-2</v>
      </c>
      <c r="H12" s="119">
        <f>AVERAGE(E$3:E12)</f>
        <v>4.3589843750000004</v>
      </c>
      <c r="I12" s="119">
        <f>AVERAGE(F$3:F12)</f>
        <v>36.177388000488278</v>
      </c>
      <c r="J12" s="119">
        <f>AVERAGE(G$3:G12)</f>
        <v>8.7061698981202348E-2</v>
      </c>
      <c r="K12"/>
      <c r="L12">
        <f t="shared" si="5"/>
        <v>0.6</v>
      </c>
      <c r="M12" s="325">
        <v>0.25131492136940292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43" ht="16.5" x14ac:dyDescent="0.3">
      <c r="A13" s="121">
        <v>11</v>
      </c>
      <c r="B13" s="72">
        <v>44</v>
      </c>
      <c r="C13" s="119">
        <f t="shared" si="4"/>
        <v>48.275390625</v>
      </c>
      <c r="D13" s="119">
        <f t="shared" si="0"/>
        <v>-4.275390625</v>
      </c>
      <c r="E13" s="1">
        <f t="shared" si="1"/>
        <v>4.275390625</v>
      </c>
      <c r="F13" s="119">
        <f t="shared" si="2"/>
        <v>18.278964996337891</v>
      </c>
      <c r="G13" s="119">
        <f t="shared" si="3"/>
        <v>9.716796875E-2</v>
      </c>
      <c r="H13" s="119">
        <f>AVERAGE(E$3:E13)</f>
        <v>4.3513849431818183</v>
      </c>
      <c r="I13" s="119">
        <f>AVERAGE(F$3:F13)</f>
        <v>34.550258636474609</v>
      </c>
      <c r="J13" s="119">
        <f>AVERAGE(G$3:G13)</f>
        <v>8.7980450778365776E-2</v>
      </c>
      <c r="K13"/>
      <c r="L13">
        <f t="shared" si="5"/>
        <v>0.7</v>
      </c>
      <c r="M13" s="325">
        <v>0.25305169582340331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43" ht="16.5" x14ac:dyDescent="0.3">
      <c r="A14" s="121">
        <v>12</v>
      </c>
      <c r="B14" s="72">
        <v>66</v>
      </c>
      <c r="C14" s="119">
        <f t="shared" si="4"/>
        <v>46.1376953125</v>
      </c>
      <c r="D14" s="119">
        <f t="shared" si="0"/>
        <v>19.8623046875</v>
      </c>
      <c r="E14" s="1">
        <f t="shared" si="1"/>
        <v>19.8623046875</v>
      </c>
      <c r="F14" s="119">
        <f t="shared" si="2"/>
        <v>394.51114749908447</v>
      </c>
      <c r="G14" s="119">
        <f t="shared" si="3"/>
        <v>0.30094401041666669</v>
      </c>
      <c r="H14" s="119">
        <f>AVERAGE(E$3:E14)</f>
        <v>5.643961588541667</v>
      </c>
      <c r="I14" s="119">
        <f>AVERAGE(F$3:F14)</f>
        <v>64.546999375025436</v>
      </c>
      <c r="J14" s="119">
        <f>AVERAGE(G$3:G14)</f>
        <v>0.10572741408155752</v>
      </c>
      <c r="K14"/>
      <c r="L14">
        <f t="shared" si="5"/>
        <v>0.79999999999999993</v>
      </c>
      <c r="M14" s="325">
        <v>0.25751098421100377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43" ht="16.5" x14ac:dyDescent="0.3">
      <c r="A15" s="121">
        <v>13</v>
      </c>
      <c r="B15" s="72">
        <v>30</v>
      </c>
      <c r="C15" s="119">
        <f t="shared" si="4"/>
        <v>56.06884765625</v>
      </c>
      <c r="D15" s="119">
        <f t="shared" si="0"/>
        <v>-26.06884765625</v>
      </c>
      <c r="E15" s="1">
        <f t="shared" si="1"/>
        <v>26.06884765625</v>
      </c>
      <c r="F15" s="119">
        <f t="shared" si="2"/>
        <v>679.58481812477112</v>
      </c>
      <c r="G15" s="119">
        <f t="shared" si="3"/>
        <v>0.86896158854166672</v>
      </c>
      <c r="H15" s="119">
        <f>AVERAGE(E$3:E15)</f>
        <v>7.2151066706730766</v>
      </c>
      <c r="I15" s="119">
        <f>AVERAGE(F$3:F15)</f>
        <v>111.85760081731357</v>
      </c>
      <c r="J15" s="119">
        <f>AVERAGE(G$3:G15)</f>
        <v>0.16443773519387361</v>
      </c>
      <c r="K15"/>
      <c r="L15">
        <f t="shared" si="5"/>
        <v>0.89999999999999991</v>
      </c>
      <c r="M15" s="325">
        <v>0.26869247680404323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43" ht="17.25" thickBot="1" x14ac:dyDescent="0.35">
      <c r="A16" s="121">
        <v>14</v>
      </c>
      <c r="B16" s="72">
        <v>59</v>
      </c>
      <c r="C16" s="119">
        <f t="shared" si="4"/>
        <v>43.034423828125</v>
      </c>
      <c r="D16" s="119">
        <f t="shared" si="0"/>
        <v>15.965576171875</v>
      </c>
      <c r="E16" s="1">
        <f t="shared" si="1"/>
        <v>15.965576171875</v>
      </c>
      <c r="F16" s="119">
        <f t="shared" si="2"/>
        <v>254.89962249994278</v>
      </c>
      <c r="G16" s="119">
        <f t="shared" si="3"/>
        <v>0.27060298596398308</v>
      </c>
      <c r="H16" s="119">
        <f>AVERAGE(E$3:E16)</f>
        <v>7.8401402064732144</v>
      </c>
      <c r="I16" s="119">
        <f>AVERAGE(F$3:F16)</f>
        <v>122.07488808035851</v>
      </c>
      <c r="J16" s="119">
        <f>AVERAGE(G$3:G16)</f>
        <v>0.17202096739173858</v>
      </c>
      <c r="K16" s="6"/>
      <c r="L16">
        <f t="shared" si="5"/>
        <v>0.99999999999999989</v>
      </c>
      <c r="M16" s="326">
        <v>0.28297497184823406</v>
      </c>
      <c r="N16" s="6"/>
      <c r="O16" s="6"/>
      <c r="P16" s="6"/>
      <c r="Q16" s="6"/>
      <c r="R16" s="6"/>
      <c r="S16" s="6"/>
      <c r="T16" s="6"/>
      <c r="U16" s="6"/>
      <c r="V16"/>
      <c r="W16" s="6"/>
      <c r="X16" s="6"/>
      <c r="Y16" s="6"/>
      <c r="Z16" s="6"/>
      <c r="AA16" s="6"/>
      <c r="AB16" s="6"/>
      <c r="AC16" s="65"/>
      <c r="AD16" s="65"/>
      <c r="AE16" s="65"/>
      <c r="AF16" s="65"/>
      <c r="AG16" s="65"/>
      <c r="AH16" s="65"/>
      <c r="AI16" s="65"/>
      <c r="AJ16" s="65"/>
      <c r="AK16" s="6"/>
      <c r="AL16" s="6"/>
      <c r="AM16" s="6"/>
      <c r="AN16" s="6"/>
      <c r="AO16" s="6"/>
      <c r="AP16" s="6"/>
      <c r="AQ16" s="6"/>
    </row>
    <row r="17" spans="1:60" ht="16.5" x14ac:dyDescent="0.3">
      <c r="A17" s="121">
        <v>15</v>
      </c>
      <c r="B17" s="72">
        <v>49</v>
      </c>
      <c r="C17" s="119">
        <f t="shared" si="4"/>
        <v>51.0172119140625</v>
      </c>
      <c r="D17" s="119">
        <f t="shared" si="0"/>
        <v>-2.0172119140625</v>
      </c>
      <c r="E17" s="1">
        <f t="shared" si="1"/>
        <v>2.0172119140625</v>
      </c>
      <c r="F17" s="119">
        <f t="shared" si="2"/>
        <v>4.0691439062356949</v>
      </c>
      <c r="G17" s="119">
        <f t="shared" si="3"/>
        <v>4.1167590082908163E-2</v>
      </c>
      <c r="H17" s="119">
        <f>AVERAGE(E$3:E17)</f>
        <v>7.451944986979167</v>
      </c>
      <c r="I17" s="119">
        <f>AVERAGE(F$3:F17)</f>
        <v>114.20783846875032</v>
      </c>
      <c r="J17" s="119">
        <f>AVERAGE(G$3:G17)</f>
        <v>0.16329740890448322</v>
      </c>
      <c r="K17" s="65"/>
      <c r="L17"/>
      <c r="M17" s="65">
        <f>MIN(M6:M16)</f>
        <v>0.23953052212731918</v>
      </c>
      <c r="N17" s="65"/>
      <c r="O17" s="65"/>
      <c r="P17" s="65"/>
      <c r="Q17" s="65"/>
      <c r="R17" s="65"/>
      <c r="S17" s="65"/>
      <c r="T17" s="65"/>
      <c r="U17" s="65"/>
      <c r="V17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"/>
      <c r="AL17" s="6"/>
      <c r="AM17" s="6"/>
      <c r="AN17" s="6"/>
      <c r="AO17" s="6"/>
      <c r="AP17" s="6"/>
      <c r="AQ17" s="6"/>
    </row>
    <row r="18" spans="1:60" ht="16.5" x14ac:dyDescent="0.3">
      <c r="A18" s="121">
        <v>16</v>
      </c>
      <c r="B18" s="72">
        <v>37</v>
      </c>
      <c r="C18" s="119">
        <f t="shared" si="4"/>
        <v>50.00860595703125</v>
      </c>
      <c r="D18" s="119">
        <f t="shared" si="0"/>
        <v>-13.00860595703125</v>
      </c>
      <c r="E18" s="1">
        <f t="shared" si="1"/>
        <v>13.00860595703125</v>
      </c>
      <c r="F18" s="119">
        <f t="shared" si="2"/>
        <v>169.22382894530892</v>
      </c>
      <c r="G18" s="119">
        <f t="shared" si="3"/>
        <v>0.3515839447846284</v>
      </c>
      <c r="H18" s="119">
        <f>AVERAGE(E$3:E18)</f>
        <v>7.7992362976074219</v>
      </c>
      <c r="I18" s="119">
        <f>AVERAGE(F$3:F18)</f>
        <v>117.64633787353523</v>
      </c>
      <c r="J18" s="119">
        <f>AVERAGE(G$3:G18)</f>
        <v>0.1750653173969923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"/>
      <c r="AL18" s="6"/>
      <c r="AM18" s="6"/>
      <c r="AN18" s="6"/>
      <c r="AO18" s="6"/>
      <c r="AP18" s="6"/>
      <c r="AQ18" s="6"/>
    </row>
    <row r="19" spans="1:60" ht="16.5" x14ac:dyDescent="0.3">
      <c r="A19" s="121">
        <v>17</v>
      </c>
      <c r="B19" s="72">
        <v>58</v>
      </c>
      <c r="C19" s="119">
        <f t="shared" si="4"/>
        <v>43.504302978515625</v>
      </c>
      <c r="D19" s="119">
        <f t="shared" si="0"/>
        <v>14.495697021484375</v>
      </c>
      <c r="E19" s="1">
        <f t="shared" si="1"/>
        <v>14.495697021484375</v>
      </c>
      <c r="F19" s="119">
        <f t="shared" si="2"/>
        <v>210.12523213867098</v>
      </c>
      <c r="G19" s="119">
        <f t="shared" si="3"/>
        <v>0.24992581071524783</v>
      </c>
      <c r="H19" s="119">
        <f>AVERAGE(E$3:E19)</f>
        <v>8.193145751953125</v>
      </c>
      <c r="I19" s="119">
        <f>AVERAGE(F$3:F19)</f>
        <v>123.08627283030792</v>
      </c>
      <c r="J19" s="119">
        <f>AVERAGE(G$3:G19)</f>
        <v>0.17946887582747792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"/>
      <c r="AL19" s="6"/>
      <c r="AM19" s="6"/>
      <c r="AN19" s="6"/>
      <c r="AO19" s="6"/>
      <c r="AP19" s="6"/>
      <c r="AQ19" s="6"/>
    </row>
    <row r="20" spans="1:60" ht="16.5" x14ac:dyDescent="0.3">
      <c r="A20" s="121">
        <v>18</v>
      </c>
      <c r="B20" s="72">
        <v>49</v>
      </c>
      <c r="C20" s="119">
        <f t="shared" si="4"/>
        <v>50.752151489257813</v>
      </c>
      <c r="D20" s="119">
        <f t="shared" si="0"/>
        <v>-1.7521514892578125</v>
      </c>
      <c r="E20" s="1">
        <f t="shared" si="1"/>
        <v>1.7521514892578125</v>
      </c>
      <c r="F20" s="119">
        <f t="shared" si="2"/>
        <v>3.0700348413083702</v>
      </c>
      <c r="G20" s="119">
        <f t="shared" si="3"/>
        <v>3.5758193658322703E-2</v>
      </c>
      <c r="H20" s="119">
        <f>AVERAGE(E$3:E20)</f>
        <v>7.8353127373589411</v>
      </c>
      <c r="I20" s="119">
        <f>AVERAGE(F$3:F20)</f>
        <v>116.41870405314128</v>
      </c>
      <c r="J20" s="119">
        <f>AVERAGE(G$3:G20)</f>
        <v>0.17148494904030265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"/>
      <c r="AL20" s="6"/>
      <c r="AM20" s="6"/>
      <c r="AN20" s="6"/>
      <c r="AO20" s="6"/>
      <c r="AP20" s="6"/>
      <c r="AQ20" s="6"/>
    </row>
    <row r="21" spans="1:60" ht="16.5" x14ac:dyDescent="0.3">
      <c r="A21" s="121">
        <v>19</v>
      </c>
      <c r="B21" s="72">
        <v>23</v>
      </c>
      <c r="C21" s="119">
        <f t="shared" si="4"/>
        <v>49.876075744628906</v>
      </c>
      <c r="D21" s="119">
        <f t="shared" si="0"/>
        <v>-26.876075744628906</v>
      </c>
      <c r="E21" s="1">
        <f t="shared" si="1"/>
        <v>26.876075744628906</v>
      </c>
      <c r="F21" s="119">
        <f t="shared" si="2"/>
        <v>722.32344743103022</v>
      </c>
      <c r="G21" s="119">
        <f t="shared" si="3"/>
        <v>1.1685250323751699</v>
      </c>
      <c r="H21" s="119">
        <f>AVERAGE(E$3:E21)</f>
        <v>8.8374581587942025</v>
      </c>
      <c r="I21" s="119">
        <f>AVERAGE(F$3:F21)</f>
        <v>148.30842738881964</v>
      </c>
      <c r="J21" s="119">
        <f>AVERAGE(G$3:G21)</f>
        <v>0.22396074290003251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"/>
      <c r="AL21" s="6"/>
      <c r="AM21" s="6"/>
      <c r="AN21" s="6"/>
      <c r="AO21" s="6"/>
      <c r="AP21" s="6"/>
      <c r="AQ21" s="6"/>
    </row>
    <row r="22" spans="1:60" ht="16.5" x14ac:dyDescent="0.3">
      <c r="A22" s="121">
        <v>20</v>
      </c>
      <c r="B22" s="72">
        <v>27</v>
      </c>
      <c r="C22" s="119">
        <f t="shared" si="4"/>
        <v>36.438037872314453</v>
      </c>
      <c r="D22" s="119">
        <f t="shared" si="0"/>
        <v>-9.4380378723144531</v>
      </c>
      <c r="E22" s="1">
        <f t="shared" si="1"/>
        <v>9.4380378723144531</v>
      </c>
      <c r="F22" s="119">
        <f t="shared" si="2"/>
        <v>89.076558879241929</v>
      </c>
      <c r="G22" s="119">
        <f t="shared" si="3"/>
        <v>0.34955695823386862</v>
      </c>
      <c r="H22" s="119">
        <f>AVERAGE(E$3:E22)</f>
        <v>8.8674871444702141</v>
      </c>
      <c r="I22" s="119">
        <f>AVERAGE(F$3:F22)</f>
        <v>145.34683396334077</v>
      </c>
      <c r="J22" s="119">
        <f>AVERAGE(G$3:G22)</f>
        <v>0.23024055366672433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"/>
      <c r="AL22" s="6"/>
      <c r="AM22" s="6"/>
      <c r="AN22" s="6"/>
      <c r="AO22" s="6"/>
      <c r="AP22" s="6"/>
      <c r="AQ22" s="6"/>
    </row>
    <row r="23" spans="1:60" ht="16.5" x14ac:dyDescent="0.3">
      <c r="A23" s="121">
        <v>21</v>
      </c>
      <c r="B23" s="72">
        <v>23</v>
      </c>
      <c r="C23" s="119">
        <f t="shared" si="4"/>
        <v>31.719018936157227</v>
      </c>
      <c r="D23" s="119">
        <f t="shared" si="0"/>
        <v>-8.7190189361572266</v>
      </c>
      <c r="E23" s="1">
        <f t="shared" si="1"/>
        <v>8.7190189361572266</v>
      </c>
      <c r="F23" s="119">
        <f t="shared" si="2"/>
        <v>76.021291209068295</v>
      </c>
      <c r="G23" s="119">
        <f t="shared" si="3"/>
        <v>0.37908777983292291</v>
      </c>
      <c r="H23" s="119">
        <f>AVERAGE(E$3:E23)</f>
        <v>8.8604172297886432</v>
      </c>
      <c r="I23" s="119">
        <f>AVERAGE(F$3:F23)</f>
        <v>142.04561764170873</v>
      </c>
      <c r="J23" s="119">
        <f>AVERAGE(G$3:G23)</f>
        <v>0.2373285168174957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"/>
      <c r="AL23" s="6"/>
      <c r="AM23" s="6"/>
      <c r="AN23" s="6"/>
      <c r="AO23" s="6"/>
      <c r="AP23" s="6"/>
      <c r="AQ23" s="6"/>
    </row>
    <row r="24" spans="1:60" ht="16.5" x14ac:dyDescent="0.3">
      <c r="A24" s="121">
        <v>22</v>
      </c>
      <c r="B24" s="72">
        <v>39</v>
      </c>
      <c r="C24" s="119">
        <f t="shared" si="4"/>
        <v>27.359509468078613</v>
      </c>
      <c r="D24" s="119">
        <f t="shared" si="0"/>
        <v>11.640490531921387</v>
      </c>
      <c r="E24" s="1">
        <f t="shared" si="1"/>
        <v>11.640490531921387</v>
      </c>
      <c r="F24" s="119">
        <f t="shared" si="2"/>
        <v>135.50101982375145</v>
      </c>
      <c r="G24" s="119">
        <f t="shared" si="3"/>
        <v>0.29847411620311248</v>
      </c>
      <c r="H24" s="119">
        <f>AVERAGE(E$3:E24)</f>
        <v>8.9867841980674044</v>
      </c>
      <c r="I24" s="119">
        <f>AVERAGE(F$3:F24)</f>
        <v>141.74813592271067</v>
      </c>
      <c r="J24" s="119">
        <f>AVERAGE(G$3:G24)</f>
        <v>0.24010786224411465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"/>
      <c r="AL24" s="6"/>
      <c r="AM24" s="6"/>
      <c r="AN24" s="6"/>
      <c r="AO24" s="6"/>
      <c r="AP24" s="6"/>
      <c r="AQ24" s="6"/>
    </row>
    <row r="25" spans="1:60" ht="16.5" x14ac:dyDescent="0.3">
      <c r="A25" s="121">
        <v>23</v>
      </c>
      <c r="B25" s="72">
        <v>35</v>
      </c>
      <c r="C25" s="119">
        <f t="shared" si="4"/>
        <v>33.179754734039307</v>
      </c>
      <c r="D25" s="119">
        <f t="shared" si="0"/>
        <v>1.8202452659606934</v>
      </c>
      <c r="E25" s="1">
        <f t="shared" si="1"/>
        <v>1.8202452659606934</v>
      </c>
      <c r="F25" s="119">
        <f t="shared" si="2"/>
        <v>3.3132928282523153</v>
      </c>
      <c r="G25" s="119">
        <f t="shared" si="3"/>
        <v>5.2007007598876956E-2</v>
      </c>
      <c r="H25" s="119">
        <f>AVERAGE(E$3:E25)</f>
        <v>8.6751955488453749</v>
      </c>
      <c r="I25" s="119">
        <f>AVERAGE(F$3:F25)</f>
        <v>135.72922970121249</v>
      </c>
      <c r="J25" s="119">
        <f>AVERAGE(G$3:G25)</f>
        <v>0.23192956421606081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"/>
      <c r="AL25" s="6"/>
      <c r="AM25" s="6"/>
      <c r="AN25" s="6"/>
      <c r="AO25" s="6"/>
      <c r="AP25" s="6"/>
      <c r="AQ25" s="6"/>
    </row>
    <row r="26" spans="1:60" ht="16.5" x14ac:dyDescent="0.3">
      <c r="A26" s="121">
        <v>24</v>
      </c>
      <c r="B26" s="72">
        <v>27</v>
      </c>
      <c r="C26" s="119">
        <f t="shared" si="4"/>
        <v>34.089877367019653</v>
      </c>
      <c r="D26" s="119">
        <f t="shared" si="0"/>
        <v>-7.0898773670196533</v>
      </c>
      <c r="E26" s="1">
        <f t="shared" si="1"/>
        <v>7.0898773670196533</v>
      </c>
      <c r="F26" s="119">
        <f t="shared" si="2"/>
        <v>50.266361079377532</v>
      </c>
      <c r="G26" s="119">
        <f t="shared" si="3"/>
        <v>0.26258805063035751</v>
      </c>
      <c r="H26" s="119">
        <f>AVERAGE(E$3:E26)</f>
        <v>8.6091406246026363</v>
      </c>
      <c r="I26" s="119">
        <f>AVERAGE(F$3:F26)</f>
        <v>132.16827684196934</v>
      </c>
      <c r="J26" s="119">
        <f>AVERAGE(G$3:G26)</f>
        <v>0.23320700114998985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"/>
      <c r="AL26" s="6"/>
      <c r="AM26" s="6"/>
      <c r="AN26" s="6"/>
      <c r="AO26" s="6"/>
      <c r="AP26" s="6"/>
      <c r="AQ26" s="6"/>
    </row>
    <row r="27" spans="1:60" ht="16.5" x14ac:dyDescent="0.3">
      <c r="A27" s="121">
        <v>25</v>
      </c>
      <c r="B27" s="72">
        <v>71</v>
      </c>
      <c r="C27" s="119">
        <f t="shared" si="4"/>
        <v>30.544938683509827</v>
      </c>
      <c r="D27" s="119">
        <f t="shared" si="0"/>
        <v>40.455061316490173</v>
      </c>
      <c r="E27" s="1">
        <f t="shared" si="1"/>
        <v>40.455061316490173</v>
      </c>
      <c r="F27" s="119">
        <f t="shared" si="2"/>
        <v>1636.6119861209797</v>
      </c>
      <c r="G27" s="119">
        <f t="shared" si="3"/>
        <v>0.56978959600690382</v>
      </c>
      <c r="H27" s="119">
        <f>AVERAGE(E$3:E27)</f>
        <v>9.8829774522781371</v>
      </c>
      <c r="I27" s="119">
        <f>AVERAGE(F$3:F27)</f>
        <v>192.34602521312976</v>
      </c>
      <c r="J27" s="119">
        <f>AVERAGE(G$3:G27)</f>
        <v>0.24667030494426639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"/>
      <c r="AL27" s="6"/>
      <c r="AM27" s="6"/>
      <c r="AN27" s="6"/>
      <c r="AO27" s="6"/>
      <c r="AP27" s="6"/>
      <c r="AQ27" s="6"/>
    </row>
    <row r="28" spans="1:60" ht="16.5" x14ac:dyDescent="0.3">
      <c r="A28" s="121">
        <v>26</v>
      </c>
      <c r="B28" s="72">
        <v>61</v>
      </c>
      <c r="C28" s="119">
        <f t="shared" si="4"/>
        <v>50.772469341754913</v>
      </c>
      <c r="D28" s="119">
        <f t="shared" si="0"/>
        <v>10.227530658245087</v>
      </c>
      <c r="E28" s="1">
        <f t="shared" si="1"/>
        <v>10.227530658245087</v>
      </c>
      <c r="F28" s="119">
        <f t="shared" si="2"/>
        <v>104.60238336534317</v>
      </c>
      <c r="G28" s="119">
        <f t="shared" si="3"/>
        <v>0.16766443702041126</v>
      </c>
      <c r="H28" s="119">
        <f>AVERAGE(E$3:E28)</f>
        <v>9.8962294986614818</v>
      </c>
      <c r="I28" s="119">
        <f>AVERAGE(F$3:F28)</f>
        <v>188.97126975744567</v>
      </c>
      <c r="J28" s="119">
        <f>AVERAGE(G$3:G28)</f>
        <v>0.24363161771642583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"/>
      <c r="AL28" s="6"/>
      <c r="AM28" s="6"/>
      <c r="AN28" s="6"/>
      <c r="AO28" s="6"/>
      <c r="AP28" s="6"/>
      <c r="AQ28" s="6"/>
    </row>
    <row r="29" spans="1:60" ht="16.5" x14ac:dyDescent="0.3">
      <c r="A29" s="121">
        <v>27</v>
      </c>
      <c r="B29" s="72">
        <v>47</v>
      </c>
      <c r="C29" s="119">
        <f t="shared" si="4"/>
        <v>55.886234670877457</v>
      </c>
      <c r="D29" s="119">
        <f t="shared" si="0"/>
        <v>-8.8862346708774567</v>
      </c>
      <c r="E29" s="1">
        <f t="shared" si="1"/>
        <v>8.8862346708774567</v>
      </c>
      <c r="F29" s="119">
        <f t="shared" si="2"/>
        <v>78.965166625904587</v>
      </c>
      <c r="G29" s="119">
        <f t="shared" si="3"/>
        <v>0.18906882278462675</v>
      </c>
      <c r="H29" s="119">
        <f>AVERAGE(E$3:E29)</f>
        <v>9.8588222828176288</v>
      </c>
      <c r="I29" s="119">
        <f>AVERAGE(F$3:F29)</f>
        <v>184.89696964146265</v>
      </c>
      <c r="J29" s="119">
        <f>AVERAGE(G$3:G29)</f>
        <v>0.24161077345969253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"/>
      <c r="AL29" s="6"/>
      <c r="AM29" s="6"/>
      <c r="AN29" s="6"/>
      <c r="AO29" s="6"/>
      <c r="AP29" s="6"/>
      <c r="AQ29" s="6"/>
    </row>
    <row r="30" spans="1:60" ht="16.5" x14ac:dyDescent="0.3">
      <c r="A30" s="121">
        <v>28</v>
      </c>
      <c r="B30" s="72">
        <v>36</v>
      </c>
      <c r="C30" s="119">
        <f t="shared" si="4"/>
        <v>51.443117335438728</v>
      </c>
      <c r="D30" s="119">
        <f t="shared" si="0"/>
        <v>-15.443117335438728</v>
      </c>
      <c r="E30" s="1">
        <f t="shared" si="1"/>
        <v>15.443117335438728</v>
      </c>
      <c r="F30" s="119">
        <f t="shared" si="2"/>
        <v>238.48987303612816</v>
      </c>
      <c r="G30" s="119">
        <f t="shared" si="3"/>
        <v>0.42897548153996468</v>
      </c>
      <c r="H30" s="119">
        <f>AVERAGE(E$3:E30)</f>
        <v>10.05826139183981</v>
      </c>
      <c r="I30" s="119">
        <f>AVERAGE(F$3:F30)</f>
        <v>186.81100190555784</v>
      </c>
      <c r="J30" s="119">
        <f>AVERAGE(G$3:G30)</f>
        <v>0.24830237017684512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"/>
      <c r="AL30" s="6"/>
      <c r="AM30" s="6"/>
      <c r="AN30" s="6"/>
      <c r="AO30" s="6"/>
      <c r="AP30" s="6"/>
      <c r="AQ30" s="6"/>
    </row>
    <row r="31" spans="1:60" ht="16.5" x14ac:dyDescent="0.3">
      <c r="A31" s="120">
        <v>29</v>
      </c>
      <c r="B31"/>
      <c r="C31" s="119">
        <f t="shared" si="4"/>
        <v>43.721558667719364</v>
      </c>
      <c r="D31" s="109"/>
      <c r="E31" s="1"/>
      <c r="F31" s="119"/>
      <c r="G31" s="119"/>
      <c r="H31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"/>
      <c r="AL31" s="6"/>
      <c r="AM31" s="6"/>
      <c r="AN31" s="6"/>
      <c r="AO31" s="6"/>
      <c r="AP31" s="6"/>
      <c r="AQ31" s="6"/>
      <c r="BD31"/>
      <c r="BE31"/>
      <c r="BF31"/>
      <c r="BG31"/>
      <c r="BH31"/>
    </row>
    <row r="32" spans="1:60" x14ac:dyDescent="0.25">
      <c r="A32"/>
      <c r="B32"/>
      <c r="C32" s="6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"/>
      <c r="AL32" s="6"/>
      <c r="AM32" s="6"/>
      <c r="AN32" s="6"/>
      <c r="AO32" s="6"/>
      <c r="AP32" s="6"/>
      <c r="AQ32" s="6"/>
      <c r="BD32"/>
      <c r="BE32"/>
      <c r="BF32"/>
      <c r="BG32"/>
      <c r="BH32"/>
    </row>
    <row r="33" spans="1:60" x14ac:dyDescent="0.25">
      <c r="A33"/>
      <c r="B33"/>
      <c r="C33" s="6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"/>
      <c r="AL33" s="6"/>
      <c r="AM33" s="6"/>
      <c r="AN33" s="6"/>
      <c r="AO33" s="6"/>
      <c r="AP33" s="6"/>
      <c r="AQ33" s="6"/>
      <c r="BD33"/>
      <c r="BE33"/>
      <c r="BF33"/>
      <c r="BG33"/>
      <c r="BH33"/>
    </row>
    <row r="34" spans="1:60" x14ac:dyDescent="0.25">
      <c r="A34"/>
      <c r="B34"/>
      <c r="C34" s="6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"/>
      <c r="AL34" s="6"/>
      <c r="AM34" s="6"/>
      <c r="AN34" s="6"/>
      <c r="AO34" s="6"/>
      <c r="AP34" s="6"/>
      <c r="AQ34" s="6"/>
      <c r="BD34"/>
      <c r="BE34"/>
      <c r="BF34"/>
      <c r="BG34"/>
      <c r="BH34"/>
    </row>
    <row r="35" spans="1:60" x14ac:dyDescent="0.25">
      <c r="A35"/>
      <c r="B35"/>
      <c r="C35" s="6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"/>
      <c r="AL35" s="6"/>
      <c r="AM35" s="6"/>
      <c r="AN35" s="6"/>
      <c r="AO35" s="6"/>
      <c r="AP35" s="6"/>
      <c r="AQ35" s="6"/>
      <c r="BD35"/>
      <c r="BE35"/>
      <c r="BF35"/>
      <c r="BG35"/>
      <c r="BH35"/>
    </row>
    <row r="36" spans="1:60" x14ac:dyDescent="0.25">
      <c r="A36"/>
      <c r="B36"/>
      <c r="C36" s="6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"/>
      <c r="AL36" s="6"/>
      <c r="AM36" s="6"/>
      <c r="AN36" s="6"/>
      <c r="AO36" s="6"/>
      <c r="AP36" s="6"/>
      <c r="AQ36" s="6"/>
      <c r="BD36"/>
      <c r="BE36"/>
      <c r="BF36"/>
      <c r="BG36"/>
      <c r="BH36"/>
    </row>
    <row r="37" spans="1:60" x14ac:dyDescent="0.25">
      <c r="A37"/>
      <c r="B37"/>
      <c r="C37" s="6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"/>
      <c r="AL37" s="6"/>
      <c r="AM37" s="6"/>
      <c r="AN37" s="6"/>
      <c r="AO37" s="6"/>
      <c r="AP37" s="6"/>
      <c r="AQ37" s="6"/>
      <c r="BD37"/>
      <c r="BE37"/>
      <c r="BF37"/>
      <c r="BG37"/>
      <c r="BH37"/>
    </row>
    <row r="38" spans="1:60" x14ac:dyDescent="0.25">
      <c r="A38"/>
      <c r="B38"/>
      <c r="C38" s="6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"/>
      <c r="AL38" s="6"/>
      <c r="AM38" s="6"/>
      <c r="AN38" s="6"/>
      <c r="AO38" s="6"/>
      <c r="AP38" s="6"/>
      <c r="AQ38" s="6"/>
      <c r="BD38"/>
      <c r="BE38"/>
      <c r="BF38"/>
      <c r="BG38"/>
      <c r="BH38"/>
    </row>
    <row r="39" spans="1:60" x14ac:dyDescent="0.25">
      <c r="A39"/>
      <c r="B39"/>
      <c r="C39" s="6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"/>
      <c r="AL39" s="6"/>
      <c r="AM39" s="6"/>
      <c r="AN39" s="6"/>
      <c r="AO39" s="6"/>
      <c r="AP39" s="6"/>
      <c r="AQ39" s="6"/>
      <c r="BD39"/>
      <c r="BE39"/>
      <c r="BF39"/>
      <c r="BG39"/>
      <c r="BH39"/>
    </row>
    <row r="40" spans="1:60" x14ac:dyDescent="0.25">
      <c r="A40"/>
      <c r="B40"/>
      <c r="C40" s="6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"/>
      <c r="AL40" s="6"/>
      <c r="AM40" s="6"/>
      <c r="AN40" s="6"/>
      <c r="AO40" s="6"/>
      <c r="AP40" s="6"/>
      <c r="AQ40" s="6"/>
      <c r="BD40"/>
      <c r="BE40"/>
      <c r="BF40"/>
      <c r="BG40"/>
      <c r="BH40"/>
    </row>
    <row r="41" spans="1:60" x14ac:dyDescent="0.25">
      <c r="A41"/>
      <c r="B41"/>
      <c r="C41" s="6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"/>
      <c r="AL41" s="6"/>
      <c r="AM41" s="6"/>
      <c r="AN41" s="6"/>
      <c r="AO41" s="6"/>
      <c r="AP41" s="6"/>
      <c r="AQ41" s="6"/>
      <c r="BD41"/>
      <c r="BE41"/>
      <c r="BF41"/>
      <c r="BG41"/>
      <c r="BH41"/>
    </row>
    <row r="42" spans="1:60" x14ac:dyDescent="0.25">
      <c r="A42"/>
      <c r="B42"/>
      <c r="C42" s="6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"/>
      <c r="AL42" s="6"/>
      <c r="AM42" s="6"/>
      <c r="AN42" s="6"/>
      <c r="AO42" s="6"/>
      <c r="AP42" s="6"/>
      <c r="AQ42" s="6"/>
      <c r="BD42"/>
      <c r="BE42"/>
      <c r="BF42"/>
      <c r="BG42"/>
      <c r="BH42"/>
    </row>
    <row r="43" spans="1:60" x14ac:dyDescent="0.25">
      <c r="A43"/>
      <c r="B43"/>
      <c r="C43" s="6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"/>
      <c r="AL43" s="6"/>
      <c r="AM43" s="6"/>
      <c r="AN43" s="6"/>
      <c r="AO43" s="6"/>
      <c r="AP43" s="6"/>
      <c r="AQ43" s="6"/>
      <c r="BD43"/>
      <c r="BE43"/>
      <c r="BF43"/>
      <c r="BG43"/>
      <c r="BH43"/>
    </row>
    <row r="44" spans="1:60" x14ac:dyDescent="0.25">
      <c r="A44"/>
      <c r="B44"/>
      <c r="C44" s="6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"/>
      <c r="AL44" s="6"/>
      <c r="AM44" s="6"/>
      <c r="AN44" s="6"/>
      <c r="AO44" s="6"/>
      <c r="AP44" s="6"/>
      <c r="AQ44" s="6"/>
      <c r="BD44"/>
      <c r="BE44"/>
      <c r="BF44"/>
      <c r="BG44"/>
      <c r="BH44"/>
    </row>
    <row r="45" spans="1:60" x14ac:dyDescent="0.25">
      <c r="A45"/>
      <c r="B45"/>
      <c r="C45" s="6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"/>
      <c r="AL45" s="6"/>
      <c r="AM45" s="6"/>
      <c r="AN45" s="6"/>
      <c r="AO45" s="6"/>
      <c r="AP45" s="6"/>
      <c r="AQ45" s="6"/>
      <c r="BD45"/>
      <c r="BE45"/>
      <c r="BF45"/>
      <c r="BG45"/>
      <c r="BH45"/>
    </row>
    <row r="46" spans="1:60" x14ac:dyDescent="0.25">
      <c r="A46"/>
      <c r="B46"/>
      <c r="C46" s="6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"/>
      <c r="AL46" s="6"/>
      <c r="AM46" s="6"/>
      <c r="AN46" s="6"/>
      <c r="AO46" s="6"/>
      <c r="AP46" s="6"/>
      <c r="AQ46" s="6"/>
      <c r="BD46"/>
      <c r="BE46"/>
      <c r="BF46"/>
      <c r="BG46"/>
      <c r="BH46"/>
    </row>
    <row r="47" spans="1:60" x14ac:dyDescent="0.25">
      <c r="A47"/>
      <c r="B47"/>
      <c r="C47" s="6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"/>
      <c r="AL47" s="6"/>
      <c r="AM47" s="6"/>
      <c r="AN47" s="6"/>
      <c r="AO47" s="6"/>
      <c r="AP47" s="6"/>
      <c r="AQ47" s="6"/>
      <c r="BD47"/>
      <c r="BE47"/>
      <c r="BF47"/>
      <c r="BG47"/>
      <c r="BH47"/>
    </row>
    <row r="48" spans="1:60" x14ac:dyDescent="0.25">
      <c r="A48"/>
      <c r="B48"/>
      <c r="C48" s="6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"/>
      <c r="AL48" s="6"/>
      <c r="AM48" s="6"/>
      <c r="AN48" s="6"/>
      <c r="AO48" s="6"/>
      <c r="AP48" s="6"/>
      <c r="AQ48" s="6"/>
      <c r="BD48"/>
      <c r="BE48"/>
      <c r="BF48"/>
      <c r="BG48"/>
      <c r="BH48"/>
    </row>
    <row r="49" spans="1:60" x14ac:dyDescent="0.25">
      <c r="A49"/>
      <c r="B49"/>
      <c r="C49" s="6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"/>
      <c r="AL49" s="6"/>
      <c r="AM49" s="6"/>
      <c r="AN49" s="6"/>
      <c r="AO49" s="6"/>
      <c r="AP49" s="6"/>
      <c r="AQ49" s="6"/>
      <c r="BD49"/>
      <c r="BE49"/>
      <c r="BF49"/>
      <c r="BG49"/>
      <c r="BH49"/>
    </row>
    <row r="50" spans="1:60" x14ac:dyDescent="0.25">
      <c r="A50"/>
      <c r="B50"/>
      <c r="C50" s="6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"/>
      <c r="AL50" s="6"/>
      <c r="AM50" s="6"/>
      <c r="AN50" s="6"/>
      <c r="AO50" s="6"/>
      <c r="AP50" s="6"/>
      <c r="AQ50" s="6"/>
      <c r="BD50"/>
      <c r="BE50"/>
      <c r="BF50"/>
      <c r="BG50"/>
      <c r="BH50"/>
    </row>
    <row r="51" spans="1:60" x14ac:dyDescent="0.25">
      <c r="A51"/>
      <c r="B51"/>
      <c r="C51" s="6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"/>
      <c r="AL51" s="6"/>
      <c r="AM51" s="6"/>
      <c r="AN51" s="6"/>
      <c r="AO51" s="6"/>
      <c r="AP51" s="6"/>
      <c r="AQ51" s="6"/>
      <c r="BD51"/>
      <c r="BE51"/>
      <c r="BF51"/>
      <c r="BG51"/>
      <c r="BH51"/>
    </row>
    <row r="52" spans="1:60" x14ac:dyDescent="0.25">
      <c r="A52"/>
      <c r="B52"/>
      <c r="C52" s="6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"/>
      <c r="AL52" s="6"/>
      <c r="AM52" s="6"/>
      <c r="AN52" s="6"/>
      <c r="AO52" s="6"/>
      <c r="AP52" s="6"/>
      <c r="AQ52" s="6"/>
      <c r="BD52"/>
      <c r="BE52"/>
      <c r="BF52"/>
      <c r="BG52"/>
      <c r="BH52"/>
    </row>
    <row r="53" spans="1:60" x14ac:dyDescent="0.25">
      <c r="A53"/>
      <c r="B53"/>
      <c r="C53" s="6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"/>
      <c r="AL53" s="6"/>
      <c r="AM53" s="6"/>
      <c r="AN53" s="6"/>
      <c r="AO53" s="6"/>
      <c r="AP53" s="6"/>
      <c r="AQ53" s="6"/>
      <c r="BD53"/>
      <c r="BE53"/>
      <c r="BF53"/>
      <c r="BG53"/>
      <c r="BH53"/>
    </row>
    <row r="54" spans="1:60" x14ac:dyDescent="0.25">
      <c r="A54"/>
      <c r="B54"/>
      <c r="C54" s="6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"/>
      <c r="AL54" s="6"/>
      <c r="AM54" s="6"/>
      <c r="AN54" s="6"/>
      <c r="AO54" s="6"/>
      <c r="AP54" s="6"/>
      <c r="AQ54" s="6"/>
      <c r="BD54"/>
      <c r="BE54"/>
      <c r="BF54"/>
      <c r="BG54"/>
      <c r="BH54"/>
    </row>
    <row r="55" spans="1:60" x14ac:dyDescent="0.25">
      <c r="A55"/>
      <c r="B55"/>
      <c r="C55" s="6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"/>
      <c r="AL55" s="6"/>
      <c r="AM55" s="6"/>
      <c r="AN55" s="6"/>
      <c r="AO55" s="6"/>
      <c r="AP55" s="6"/>
      <c r="AQ55" s="6"/>
      <c r="BD55"/>
      <c r="BE55"/>
      <c r="BF55"/>
      <c r="BG55"/>
      <c r="BH55"/>
    </row>
    <row r="56" spans="1:60" x14ac:dyDescent="0.25">
      <c r="A56"/>
      <c r="B56"/>
      <c r="C56" s="6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"/>
      <c r="AL56" s="6"/>
      <c r="AM56" s="6"/>
      <c r="AN56" s="6"/>
      <c r="AO56" s="6"/>
      <c r="AP56" s="6"/>
      <c r="AQ56" s="6"/>
      <c r="BD56"/>
      <c r="BE56"/>
      <c r="BF56"/>
      <c r="BG56"/>
      <c r="BH56"/>
    </row>
    <row r="57" spans="1:60" x14ac:dyDescent="0.25">
      <c r="A57"/>
      <c r="B57"/>
      <c r="C57" s="6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"/>
      <c r="AL57" s="6"/>
      <c r="AM57" s="6"/>
      <c r="AN57" s="6"/>
      <c r="AO57" s="6"/>
      <c r="AP57" s="6"/>
      <c r="AQ57" s="6"/>
      <c r="BD57"/>
      <c r="BE57"/>
      <c r="BF57"/>
      <c r="BG57"/>
      <c r="BH57"/>
    </row>
    <row r="58" spans="1:60" x14ac:dyDescent="0.25">
      <c r="A58"/>
      <c r="B58"/>
      <c r="C58" s="6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"/>
      <c r="AL58" s="6"/>
      <c r="AM58" s="6"/>
      <c r="AN58" s="6"/>
      <c r="AO58" s="6"/>
      <c r="AP58" s="6"/>
      <c r="AQ58" s="6"/>
      <c r="BD58"/>
      <c r="BE58"/>
      <c r="BF58"/>
      <c r="BG58"/>
      <c r="BH58"/>
    </row>
    <row r="59" spans="1:60" x14ac:dyDescent="0.25">
      <c r="A59"/>
      <c r="B59"/>
      <c r="C59" s="6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"/>
      <c r="AL59" s="6"/>
      <c r="AM59" s="6"/>
      <c r="AN59" s="6"/>
      <c r="AO59" s="6"/>
      <c r="AP59" s="6"/>
      <c r="AQ59" s="6"/>
      <c r="BD59"/>
      <c r="BE59"/>
      <c r="BF59"/>
      <c r="BG59"/>
      <c r="BH59"/>
    </row>
    <row r="60" spans="1:60" x14ac:dyDescent="0.25">
      <c r="A60"/>
      <c r="B60"/>
      <c r="C60" s="6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"/>
      <c r="AL60" s="6"/>
      <c r="AM60" s="6"/>
      <c r="AN60" s="6"/>
      <c r="AO60" s="6"/>
      <c r="AP60" s="6"/>
      <c r="AQ60" s="6"/>
      <c r="BD60"/>
      <c r="BE60"/>
      <c r="BF60"/>
      <c r="BG60"/>
      <c r="BH60"/>
    </row>
    <row r="61" spans="1:60" x14ac:dyDescent="0.25">
      <c r="A61"/>
      <c r="B61"/>
      <c r="C61" s="6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"/>
      <c r="AL61" s="6"/>
      <c r="AM61" s="6"/>
      <c r="AN61" s="6"/>
      <c r="AO61" s="6"/>
      <c r="AP61" s="6"/>
      <c r="AQ61" s="6"/>
      <c r="BD61"/>
      <c r="BE61"/>
      <c r="BF61"/>
      <c r="BG61"/>
      <c r="BH61"/>
    </row>
    <row r="62" spans="1:60" x14ac:dyDescent="0.25">
      <c r="A62"/>
      <c r="B62"/>
      <c r="C62" s="6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"/>
      <c r="AL62" s="6"/>
      <c r="AM62" s="6"/>
      <c r="AN62" s="6"/>
      <c r="AO62" s="6"/>
      <c r="AP62" s="6"/>
      <c r="AQ62" s="6"/>
      <c r="BD62"/>
      <c r="BE62"/>
      <c r="BF62"/>
      <c r="BG62"/>
      <c r="BH62"/>
    </row>
    <row r="63" spans="1:60" x14ac:dyDescent="0.25">
      <c r="A63"/>
      <c r="B63"/>
      <c r="C63" s="6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"/>
      <c r="AL63" s="6"/>
      <c r="AM63" s="6"/>
      <c r="AN63" s="6"/>
      <c r="AO63" s="6"/>
      <c r="AP63" s="6"/>
      <c r="AQ63" s="6"/>
      <c r="BD63"/>
      <c r="BE63"/>
      <c r="BF63"/>
      <c r="BG63"/>
      <c r="BH63"/>
    </row>
    <row r="64" spans="1:60" x14ac:dyDescent="0.25">
      <c r="A64"/>
      <c r="B64"/>
      <c r="C64" s="6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"/>
      <c r="AL64" s="6"/>
      <c r="AM64" s="6"/>
      <c r="AN64" s="6"/>
      <c r="AO64" s="6"/>
      <c r="AP64" s="6"/>
      <c r="AQ64" s="6"/>
      <c r="BD64"/>
      <c r="BE64"/>
      <c r="BF64"/>
      <c r="BG64"/>
      <c r="BH64"/>
    </row>
    <row r="65" spans="1:60" x14ac:dyDescent="0.25">
      <c r="A65"/>
      <c r="B65"/>
      <c r="C65" s="6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"/>
      <c r="AL65" s="6"/>
      <c r="AM65" s="6"/>
      <c r="AN65" s="6"/>
      <c r="AO65" s="6"/>
      <c r="AP65" s="6"/>
      <c r="AQ65" s="6"/>
      <c r="BD65"/>
      <c r="BE65"/>
      <c r="BF65"/>
      <c r="BG65"/>
      <c r="BH65"/>
    </row>
    <row r="66" spans="1:60" x14ac:dyDescent="0.25">
      <c r="A66"/>
      <c r="B66"/>
      <c r="C66" s="6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"/>
      <c r="AL66" s="6"/>
      <c r="AM66" s="6"/>
      <c r="AN66" s="6"/>
      <c r="AO66" s="6"/>
      <c r="AP66" s="6"/>
      <c r="AQ66" s="6"/>
      <c r="BD66"/>
      <c r="BE66"/>
      <c r="BF66"/>
      <c r="BG66"/>
      <c r="BH66"/>
    </row>
    <row r="67" spans="1:60" x14ac:dyDescent="0.25">
      <c r="A67"/>
      <c r="B67"/>
      <c r="C67" s="6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"/>
      <c r="AL67" s="6"/>
      <c r="AM67" s="6"/>
      <c r="AN67" s="6"/>
      <c r="AO67" s="6"/>
      <c r="AP67" s="6"/>
      <c r="AQ67" s="6"/>
      <c r="BD67"/>
      <c r="BE67"/>
      <c r="BF67"/>
      <c r="BG67"/>
      <c r="BH67"/>
    </row>
    <row r="68" spans="1:60" x14ac:dyDescent="0.25">
      <c r="A68"/>
      <c r="B68"/>
      <c r="C68" s="6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"/>
      <c r="AL68" s="6"/>
      <c r="AM68" s="6"/>
      <c r="AN68" s="6"/>
      <c r="AO68" s="6"/>
      <c r="AP68" s="6"/>
      <c r="AQ68" s="6"/>
      <c r="BD68"/>
      <c r="BE68"/>
      <c r="BF68"/>
      <c r="BG68"/>
      <c r="BH68"/>
    </row>
    <row r="69" spans="1:60" x14ac:dyDescent="0.25">
      <c r="A69"/>
      <c r="B69"/>
      <c r="C69" s="6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"/>
      <c r="AL69" s="6"/>
      <c r="AM69" s="6"/>
      <c r="AN69" s="6"/>
      <c r="AO69" s="6"/>
      <c r="AP69" s="6"/>
      <c r="AQ69" s="6"/>
      <c r="BD69"/>
      <c r="BE69"/>
      <c r="BF69"/>
      <c r="BG69"/>
      <c r="BH69"/>
    </row>
    <row r="70" spans="1:60" x14ac:dyDescent="0.25">
      <c r="A70"/>
      <c r="B70"/>
      <c r="C70" s="6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"/>
      <c r="AL70" s="6"/>
      <c r="AM70" s="6"/>
      <c r="AN70" s="6"/>
      <c r="AO70" s="6"/>
      <c r="AP70" s="6"/>
      <c r="AQ70" s="6"/>
      <c r="BD70"/>
      <c r="BE70"/>
      <c r="BF70"/>
      <c r="BG70"/>
      <c r="BH70"/>
    </row>
    <row r="71" spans="1:60" x14ac:dyDescent="0.25">
      <c r="A71"/>
      <c r="B71"/>
      <c r="C71" s="6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"/>
      <c r="AL71" s="6"/>
      <c r="AM71" s="6"/>
      <c r="AN71" s="6"/>
      <c r="AO71" s="6"/>
      <c r="AP71" s="6"/>
      <c r="AQ71" s="6"/>
      <c r="BD71"/>
      <c r="BE71"/>
      <c r="BF71"/>
      <c r="BG71"/>
      <c r="BH71"/>
    </row>
    <row r="72" spans="1:60" x14ac:dyDescent="0.25">
      <c r="A72"/>
      <c r="B72"/>
      <c r="C72" s="6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"/>
      <c r="AL72" s="6"/>
      <c r="AM72" s="6"/>
      <c r="AN72" s="6"/>
      <c r="AO72" s="6"/>
      <c r="AP72" s="6"/>
      <c r="AQ72" s="6"/>
      <c r="BD72"/>
      <c r="BE72"/>
      <c r="BF72"/>
      <c r="BG72"/>
      <c r="BH72"/>
    </row>
    <row r="73" spans="1:60" x14ac:dyDescent="0.25">
      <c r="A73"/>
      <c r="B73"/>
      <c r="C73"/>
      <c r="BD73"/>
      <c r="BE73"/>
      <c r="BF73"/>
      <c r="BG73"/>
      <c r="BH73"/>
    </row>
    <row r="74" spans="1:60" x14ac:dyDescent="0.25">
      <c r="A74"/>
      <c r="B74"/>
      <c r="C74"/>
      <c r="BD74"/>
      <c r="BE74"/>
      <c r="BF74"/>
      <c r="BG74"/>
      <c r="BH74"/>
    </row>
    <row r="75" spans="1:60" x14ac:dyDescent="0.25">
      <c r="A75"/>
      <c r="B75"/>
      <c r="C75"/>
      <c r="BD75"/>
      <c r="BE75"/>
      <c r="BF75"/>
      <c r="BG75"/>
      <c r="BH75"/>
    </row>
    <row r="76" spans="1:60" x14ac:dyDescent="0.25">
      <c r="A76"/>
      <c r="B76"/>
      <c r="C76"/>
      <c r="BD76"/>
      <c r="BE76"/>
      <c r="BF76"/>
      <c r="BG76"/>
      <c r="BH76"/>
    </row>
    <row r="77" spans="1:60" x14ac:dyDescent="0.25">
      <c r="A77"/>
      <c r="B77"/>
      <c r="C77"/>
      <c r="BD77"/>
      <c r="BE77"/>
      <c r="BF77"/>
      <c r="BG77"/>
      <c r="BH77"/>
    </row>
    <row r="78" spans="1:60" ht="16.5" x14ac:dyDescent="0.3">
      <c r="A78"/>
      <c r="B78"/>
      <c r="C78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BD78"/>
      <c r="BE78"/>
      <c r="BF78"/>
      <c r="BG78"/>
      <c r="BH78"/>
    </row>
    <row r="79" spans="1:60" ht="16.5" x14ac:dyDescent="0.3">
      <c r="A79"/>
      <c r="B79"/>
      <c r="C79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BD79"/>
      <c r="BE79"/>
      <c r="BF79"/>
      <c r="BG79"/>
      <c r="BH79"/>
    </row>
    <row r="80" spans="1:60" ht="16.5" x14ac:dyDescent="0.3">
      <c r="A80"/>
      <c r="B80"/>
      <c r="C80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BD80"/>
      <c r="BE80"/>
      <c r="BF80"/>
      <c r="BG80"/>
      <c r="BH80"/>
    </row>
    <row r="81" spans="1:60" ht="16.5" x14ac:dyDescent="0.3">
      <c r="A81"/>
      <c r="B81"/>
      <c r="C8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BD81"/>
      <c r="BE81"/>
      <c r="BF81"/>
      <c r="BG81"/>
      <c r="BH81"/>
    </row>
    <row r="82" spans="1:60" ht="16.5" x14ac:dyDescent="0.3">
      <c r="A82"/>
      <c r="B82"/>
      <c r="C82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BD82"/>
      <c r="BE82"/>
      <c r="BF82"/>
      <c r="BG82"/>
      <c r="BH82"/>
    </row>
    <row r="83" spans="1:60" ht="16.5" x14ac:dyDescent="0.3">
      <c r="A83"/>
      <c r="B83"/>
      <c r="C83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BD83"/>
      <c r="BE83"/>
      <c r="BF83"/>
      <c r="BG83"/>
      <c r="BH83"/>
    </row>
    <row r="84" spans="1:60" ht="16.5" x14ac:dyDescent="0.3">
      <c r="A84"/>
      <c r="B84"/>
      <c r="C84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BD84"/>
      <c r="BE84"/>
      <c r="BF84"/>
      <c r="BG84"/>
      <c r="BH84"/>
    </row>
    <row r="85" spans="1:60" ht="16.5" x14ac:dyDescent="0.3">
      <c r="A85"/>
      <c r="B85"/>
      <c r="C85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BD85"/>
      <c r="BE85"/>
      <c r="BF85"/>
      <c r="BG85"/>
      <c r="BH85"/>
    </row>
    <row r="86" spans="1:60" ht="16.5" x14ac:dyDescent="0.3">
      <c r="A86"/>
      <c r="B86"/>
      <c r="C86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BD86"/>
      <c r="BE86"/>
      <c r="BF86"/>
      <c r="BG86"/>
      <c r="BH86"/>
    </row>
    <row r="87" spans="1:60" ht="16.5" x14ac:dyDescent="0.3">
      <c r="A87"/>
      <c r="B87"/>
      <c r="C87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</row>
    <row r="88" spans="1:60" ht="16.5" x14ac:dyDescent="0.3">
      <c r="A88"/>
      <c r="B88"/>
      <c r="C88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</row>
    <row r="89" spans="1:60" ht="16.5" x14ac:dyDescent="0.3">
      <c r="A89"/>
      <c r="B89"/>
      <c r="C89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</row>
    <row r="90" spans="1:60" x14ac:dyDescent="0.25">
      <c r="A90"/>
      <c r="B90"/>
      <c r="C90"/>
    </row>
    <row r="91" spans="1:60" x14ac:dyDescent="0.25">
      <c r="A91"/>
      <c r="B91"/>
      <c r="C91"/>
    </row>
    <row r="92" spans="1:60" x14ac:dyDescent="0.25">
      <c r="A92"/>
      <c r="B92"/>
      <c r="C92"/>
    </row>
    <row r="93" spans="1:60" x14ac:dyDescent="0.25">
      <c r="A93"/>
      <c r="B93"/>
      <c r="C93"/>
    </row>
    <row r="94" spans="1:60" x14ac:dyDescent="0.25">
      <c r="A94"/>
      <c r="B94"/>
      <c r="C94"/>
    </row>
    <row r="95" spans="1:60" x14ac:dyDescent="0.25">
      <c r="A95"/>
      <c r="B95"/>
      <c r="C95"/>
    </row>
    <row r="96" spans="1:60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M6:M16">
    <cfRule type="cellIs" dxfId="4" priority="1" operator="equal">
      <formula>$M$17</formula>
    </cfRule>
  </conditionalFormatting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9B89D-4AD9-4FDF-A10D-77E9E036CCE1}">
  <dimension ref="A1:BI299"/>
  <sheetViews>
    <sheetView zoomScale="82" zoomScaleNormal="82" workbookViewId="0">
      <selection activeCell="U37" sqref="U37"/>
    </sheetView>
  </sheetViews>
  <sheetFormatPr defaultColWidth="9.140625" defaultRowHeight="15" x14ac:dyDescent="0.25"/>
  <cols>
    <col min="1" max="1" width="4.5703125" style="57" bestFit="1" customWidth="1"/>
    <col min="2" max="2" width="9.7109375" style="57" bestFit="1" customWidth="1"/>
    <col min="3" max="3" width="13" style="57" customWidth="1"/>
    <col min="4" max="4" width="8.7109375" style="57" customWidth="1"/>
    <col min="5" max="5" width="13.140625" style="57" customWidth="1"/>
    <col min="6" max="6" width="9.7109375" style="57" customWidth="1"/>
    <col min="7" max="7" width="10.7109375" style="57" customWidth="1"/>
    <col min="8" max="8" width="7.28515625" style="57" customWidth="1"/>
    <col min="9" max="9" width="8.7109375" style="57" bestFit="1" customWidth="1"/>
    <col min="10" max="10" width="9.140625" style="57"/>
    <col min="11" max="11" width="12.140625" style="57" bestFit="1" customWidth="1"/>
    <col min="12" max="12" width="12.140625" style="57" customWidth="1"/>
    <col min="13" max="13" width="13.85546875" style="57" bestFit="1" customWidth="1"/>
    <col min="14" max="14" width="12.42578125" style="57" bestFit="1" customWidth="1"/>
    <col min="15" max="15" width="12.140625" style="57" bestFit="1" customWidth="1"/>
    <col min="16" max="19" width="9.28515625" style="57" bestFit="1" customWidth="1"/>
    <col min="20" max="21" width="9.140625" style="57"/>
    <col min="22" max="22" width="9.28515625" style="57" bestFit="1" customWidth="1"/>
    <col min="23" max="33" width="9.140625" style="57"/>
    <col min="34" max="34" width="9.140625" style="57" customWidth="1"/>
    <col min="35" max="37" width="9.140625" style="57"/>
    <col min="38" max="38" width="9.28515625" bestFit="1" customWidth="1"/>
    <col min="39" max="39" width="14" customWidth="1"/>
    <col min="40" max="40" width="12.28515625" customWidth="1"/>
    <col min="41" max="41" width="10.140625" bestFit="1" customWidth="1"/>
    <col min="42" max="42" width="10.140625" customWidth="1"/>
    <col min="43" max="45" width="9.28515625" customWidth="1"/>
    <col min="46" max="46" width="9.28515625" bestFit="1" customWidth="1"/>
    <col min="47" max="47" width="12.28515625" bestFit="1" customWidth="1"/>
    <col min="57" max="16384" width="9.140625" style="57"/>
  </cols>
  <sheetData>
    <row r="1" spans="1:44" customFormat="1" ht="15.75" thickBot="1" x14ac:dyDescent="0.3">
      <c r="K1" s="57"/>
      <c r="L1" s="118"/>
      <c r="N1">
        <v>0</v>
      </c>
      <c r="O1" t="s">
        <v>287</v>
      </c>
      <c r="Q1" s="57" t="s">
        <v>150</v>
      </c>
      <c r="R1" s="161" t="s">
        <v>154</v>
      </c>
      <c r="S1" s="118">
        <v>0.5</v>
      </c>
    </row>
    <row r="2" spans="1:44" ht="17.25" thickBot="1" x14ac:dyDescent="0.35">
      <c r="A2" s="61" t="s">
        <v>4</v>
      </c>
      <c r="B2" s="63" t="s">
        <v>0</v>
      </c>
      <c r="C2" s="1" t="s">
        <v>108</v>
      </c>
      <c r="D2" s="1" t="s">
        <v>109</v>
      </c>
      <c r="E2" s="1" t="s">
        <v>110</v>
      </c>
      <c r="F2" s="1" t="s">
        <v>111</v>
      </c>
      <c r="G2" s="1" t="s">
        <v>112</v>
      </c>
      <c r="H2" s="1" t="s">
        <v>1</v>
      </c>
      <c r="I2" s="1" t="s">
        <v>113</v>
      </c>
      <c r="J2" s="1" t="s">
        <v>114</v>
      </c>
      <c r="K2" s="1" t="s">
        <v>117</v>
      </c>
      <c r="L2" s="1" t="s">
        <v>24</v>
      </c>
      <c r="M2"/>
      <c r="N2"/>
      <c r="O2"/>
      <c r="P2"/>
      <c r="R2" s="161"/>
      <c r="S2" s="162"/>
      <c r="T2"/>
      <c r="U2"/>
      <c r="V2"/>
      <c r="W2"/>
      <c r="X2"/>
      <c r="Y2"/>
      <c r="Z2"/>
      <c r="AA2"/>
      <c r="AB2"/>
      <c r="AC2"/>
    </row>
    <row r="3" spans="1:44" ht="16.5" x14ac:dyDescent="0.3">
      <c r="A3" s="121">
        <v>1</v>
      </c>
      <c r="B3" s="73">
        <v>19</v>
      </c>
      <c r="C3" s="1">
        <f>B3</f>
        <v>19</v>
      </c>
      <c r="D3" s="119">
        <f t="shared" ref="D3:D30" si="0">B3-C3</f>
        <v>0</v>
      </c>
      <c r="E3" s="164">
        <f t="shared" ref="E3:E30" si="1">ABS(D3)</f>
        <v>0</v>
      </c>
      <c r="F3" s="119">
        <f t="shared" ref="F3:F30" si="2">D3^2</f>
        <v>0</v>
      </c>
      <c r="G3" s="119">
        <f t="shared" ref="G3:G30" si="3">E3/B3</f>
        <v>0</v>
      </c>
      <c r="H3" s="119">
        <f>AVERAGE(E$3:E3)</f>
        <v>0</v>
      </c>
      <c r="I3" s="119">
        <f>AVERAGE(F$3:F3)</f>
        <v>0</v>
      </c>
      <c r="J3" s="119">
        <f>AVERAGE(G$3:G3)</f>
        <v>0</v>
      </c>
      <c r="K3" s="118">
        <f>AVERAGE(D$3:D3)</f>
        <v>0</v>
      </c>
      <c r="L3" t="str">
        <f>IFERROR(SUM(D$3:D3)/H3,"")</f>
        <v/>
      </c>
      <c r="M3">
        <v>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44" ht="16.5" x14ac:dyDescent="0.3">
      <c r="A4" s="121">
        <v>2</v>
      </c>
      <c r="B4" s="73">
        <v>21</v>
      </c>
      <c r="C4" s="119">
        <f>(1-$S$1)*C3+$S$1*B3+$N$1</f>
        <v>19</v>
      </c>
      <c r="D4" s="119">
        <f t="shared" si="0"/>
        <v>2</v>
      </c>
      <c r="E4" s="164">
        <f t="shared" si="1"/>
        <v>2</v>
      </c>
      <c r="F4" s="119">
        <f t="shared" si="2"/>
        <v>4</v>
      </c>
      <c r="G4" s="119">
        <f t="shared" si="3"/>
        <v>9.5238095238095233E-2</v>
      </c>
      <c r="H4" s="119">
        <f>AVERAGE(E$3:E4)</f>
        <v>1</v>
      </c>
      <c r="I4" s="119">
        <f>AVERAGE(F$3:F4)</f>
        <v>2</v>
      </c>
      <c r="J4" s="119">
        <f>AVERAGE(G$3:G4)</f>
        <v>4.7619047619047616E-2</v>
      </c>
      <c r="K4" s="118">
        <f>AVERAGE(D$3:D4)</f>
        <v>1</v>
      </c>
      <c r="L4">
        <f>IFERROR(SUM(D$3:D4)/H4,"")</f>
        <v>2</v>
      </c>
      <c r="M4">
        <v>0.1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44" ht="16.5" x14ac:dyDescent="0.3">
      <c r="A5" s="121">
        <v>3</v>
      </c>
      <c r="B5" s="73">
        <v>25</v>
      </c>
      <c r="C5" s="119">
        <f>(1-$S$1)*C4+$S$1*B4+$N$1</f>
        <v>20</v>
      </c>
      <c r="D5" s="119">
        <f t="shared" si="0"/>
        <v>5</v>
      </c>
      <c r="E5" s="164">
        <f t="shared" si="1"/>
        <v>5</v>
      </c>
      <c r="F5" s="119">
        <f t="shared" si="2"/>
        <v>25</v>
      </c>
      <c r="G5" s="119">
        <f t="shared" si="3"/>
        <v>0.2</v>
      </c>
      <c r="H5" s="119">
        <f>AVERAGE(E$3:E5)</f>
        <v>2.3333333333333335</v>
      </c>
      <c r="I5" s="119">
        <f>AVERAGE(F$3:F5)</f>
        <v>9.6666666666666661</v>
      </c>
      <c r="J5" s="119">
        <f>AVERAGE(G$3:G5)</f>
        <v>9.841269841269841E-2</v>
      </c>
      <c r="K5" s="118">
        <f>AVERAGE(D$3:D5)</f>
        <v>2.3333333333333335</v>
      </c>
      <c r="L5">
        <f>IFERROR(SUM(D$3:D5)/H5,"")</f>
        <v>3</v>
      </c>
      <c r="M5"/>
      <c r="N5" s="118">
        <f>J30</f>
        <v>9.2832186377256445E-2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44" ht="16.5" x14ac:dyDescent="0.3">
      <c r="A6" s="121">
        <v>4</v>
      </c>
      <c r="B6" s="73">
        <v>29</v>
      </c>
      <c r="C6" s="119">
        <f>(1-$S$1)*C5+$S$1*B5+$N$1</f>
        <v>22.5</v>
      </c>
      <c r="D6" s="119">
        <f t="shared" si="0"/>
        <v>6.5</v>
      </c>
      <c r="E6" s="164">
        <f t="shared" si="1"/>
        <v>6.5</v>
      </c>
      <c r="F6" s="119">
        <f t="shared" si="2"/>
        <v>42.25</v>
      </c>
      <c r="G6" s="119">
        <f t="shared" si="3"/>
        <v>0.22413793103448276</v>
      </c>
      <c r="H6" s="119">
        <f>AVERAGE(E$3:E6)</f>
        <v>3.375</v>
      </c>
      <c r="I6" s="119">
        <f>AVERAGE(F$3:F6)</f>
        <v>17.8125</v>
      </c>
      <c r="J6" s="119">
        <f>AVERAGE(G$3:G6)</f>
        <v>0.12984400656814449</v>
      </c>
      <c r="K6" s="118">
        <f>AVERAGE(D$3:D6)</f>
        <v>3.375</v>
      </c>
      <c r="L6">
        <f>IFERROR(SUM(D$3:D6)/H6,"")</f>
        <v>4</v>
      </c>
      <c r="M6">
        <f>M3</f>
        <v>0</v>
      </c>
      <c r="N6">
        <f t="dataTable" ref="N6:N16" dt2D="0" dtr="0" r1="S1"/>
        <v>0.53378075158926819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44" ht="16.5" x14ac:dyDescent="0.3">
      <c r="A7" s="121">
        <v>5</v>
      </c>
      <c r="B7" s="73">
        <v>30</v>
      </c>
      <c r="C7" s="119">
        <f>(1-$S$1)*C6+$S$1*B6+$N$1</f>
        <v>25.75</v>
      </c>
      <c r="D7" s="119">
        <f t="shared" si="0"/>
        <v>4.25</v>
      </c>
      <c r="E7" s="164">
        <f t="shared" si="1"/>
        <v>4.25</v>
      </c>
      <c r="F7" s="119">
        <f t="shared" si="2"/>
        <v>18.0625</v>
      </c>
      <c r="G7" s="119">
        <f t="shared" si="3"/>
        <v>0.14166666666666666</v>
      </c>
      <c r="H7" s="119">
        <f>AVERAGE(E$3:E7)</f>
        <v>3.55</v>
      </c>
      <c r="I7" s="119">
        <f>AVERAGE(F$3:F7)</f>
        <v>17.862500000000001</v>
      </c>
      <c r="J7" s="119">
        <f>AVERAGE(G$3:G7)</f>
        <v>0.13220853858784892</v>
      </c>
      <c r="K7" s="118">
        <f>AVERAGE(D$3:D7)</f>
        <v>3.55</v>
      </c>
      <c r="L7">
        <f>IFERROR(SUM(D$3:D7)/H7,"")</f>
        <v>5</v>
      </c>
      <c r="M7">
        <f>M6+M$4</f>
        <v>0.1</v>
      </c>
      <c r="N7">
        <v>0.28126474994765188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44" ht="16.5" x14ac:dyDescent="0.3">
      <c r="A8" s="121">
        <v>6</v>
      </c>
      <c r="B8" s="73">
        <v>35</v>
      </c>
      <c r="C8" s="119">
        <f>(1-$S$1)*C7+$S$1*B7+$N$1</f>
        <v>27.875</v>
      </c>
      <c r="D8" s="119">
        <f t="shared" si="0"/>
        <v>7.125</v>
      </c>
      <c r="E8" s="164">
        <f t="shared" si="1"/>
        <v>7.125</v>
      </c>
      <c r="F8" s="119">
        <f t="shared" si="2"/>
        <v>50.765625</v>
      </c>
      <c r="G8" s="119">
        <f t="shared" si="3"/>
        <v>0.20357142857142857</v>
      </c>
      <c r="H8" s="119">
        <f>AVERAGE(E$3:E8)</f>
        <v>4.145833333333333</v>
      </c>
      <c r="I8" s="119">
        <f>AVERAGE(F$3:F8)</f>
        <v>23.346354166666668</v>
      </c>
      <c r="J8" s="119">
        <f>AVERAGE(G$3:G8)</f>
        <v>0.14410235358511217</v>
      </c>
      <c r="K8" s="118">
        <f>AVERAGE(D$3:D8)</f>
        <v>4.145833333333333</v>
      </c>
      <c r="L8">
        <f>IFERROR(SUM(D$3:D8)/H8,"")</f>
        <v>6</v>
      </c>
      <c r="M8">
        <f t="shared" ref="M8:M16" si="4">M7+M$4</f>
        <v>0.2</v>
      </c>
      <c r="N8">
        <v>0.1856350633960763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44" ht="16.5" x14ac:dyDescent="0.3">
      <c r="A9" s="121">
        <v>7</v>
      </c>
      <c r="B9" s="73">
        <v>35</v>
      </c>
      <c r="C9" s="119">
        <f>(1-$S$1)*C8+$S$1*B8+$N$1</f>
        <v>31.4375</v>
      </c>
      <c r="D9" s="119">
        <f t="shared" si="0"/>
        <v>3.5625</v>
      </c>
      <c r="E9" s="164">
        <f t="shared" si="1"/>
        <v>3.5625</v>
      </c>
      <c r="F9" s="119">
        <f t="shared" si="2"/>
        <v>12.69140625</v>
      </c>
      <c r="G9" s="119">
        <f t="shared" si="3"/>
        <v>0.10178571428571428</v>
      </c>
      <c r="H9" s="119">
        <f>AVERAGE(E$3:E9)</f>
        <v>4.0625</v>
      </c>
      <c r="I9" s="119">
        <f>AVERAGE(F$3:F9)</f>
        <v>21.82421875</v>
      </c>
      <c r="J9" s="119">
        <f>AVERAGE(G$3:G9)</f>
        <v>0.1380571193994839</v>
      </c>
      <c r="K9" s="118">
        <f>AVERAGE(D$3:D9)</f>
        <v>4.0625</v>
      </c>
      <c r="L9">
        <f>IFERROR(SUM(D$3:D9)/H9,"")</f>
        <v>7</v>
      </c>
      <c r="M9">
        <f t="shared" si="4"/>
        <v>0.30000000000000004</v>
      </c>
      <c r="N9">
        <v>0.13867415698377275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44" ht="16.5" x14ac:dyDescent="0.3">
      <c r="A10" s="121">
        <v>8</v>
      </c>
      <c r="B10" s="73">
        <v>36</v>
      </c>
      <c r="C10" s="119">
        <f>(1-$S$1)*C9+$S$1*B9+$N$1</f>
        <v>33.21875</v>
      </c>
      <c r="D10" s="119">
        <f t="shared" si="0"/>
        <v>2.78125</v>
      </c>
      <c r="E10" s="164">
        <f t="shared" si="1"/>
        <v>2.78125</v>
      </c>
      <c r="F10" s="119">
        <f t="shared" si="2"/>
        <v>7.7353515625</v>
      </c>
      <c r="G10" s="119">
        <f t="shared" si="3"/>
        <v>7.7256944444444448E-2</v>
      </c>
      <c r="H10" s="119">
        <f>AVERAGE(E$3:E10)</f>
        <v>3.90234375</v>
      </c>
      <c r="I10" s="119">
        <f>AVERAGE(F$3:F10)</f>
        <v>20.0631103515625</v>
      </c>
      <c r="J10" s="119">
        <f>AVERAGE(G$3:G10)</f>
        <v>0.13045709753010398</v>
      </c>
      <c r="K10" s="118">
        <f>AVERAGE(D$3:D10)</f>
        <v>3.90234375</v>
      </c>
      <c r="L10">
        <f>IFERROR(SUM(D$3:D10)/H10,"")</f>
        <v>8</v>
      </c>
      <c r="M10">
        <f t="shared" si="4"/>
        <v>0.4</v>
      </c>
      <c r="N10">
        <v>0.11105317416447096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44" ht="16.5" x14ac:dyDescent="0.3">
      <c r="A11" s="121">
        <v>9</v>
      </c>
      <c r="B11" s="73">
        <v>36</v>
      </c>
      <c r="C11" s="119">
        <f>(1-$S$1)*C10+$S$1*B10+$N$1</f>
        <v>34.609375</v>
      </c>
      <c r="D11" s="119">
        <f t="shared" si="0"/>
        <v>1.390625</v>
      </c>
      <c r="E11" s="164">
        <f t="shared" si="1"/>
        <v>1.390625</v>
      </c>
      <c r="F11" s="119">
        <f t="shared" si="2"/>
        <v>1.933837890625</v>
      </c>
      <c r="G11" s="119">
        <f t="shared" si="3"/>
        <v>3.8628472222222224E-2</v>
      </c>
      <c r="H11" s="119">
        <f>AVERAGE(E$3:E11)</f>
        <v>3.6232638888888888</v>
      </c>
      <c r="I11" s="119">
        <f>AVERAGE(F$3:F11)</f>
        <v>18.048746744791668</v>
      </c>
      <c r="J11" s="119">
        <f>AVERAGE(G$3:G11)</f>
        <v>0.12025391694033935</v>
      </c>
      <c r="K11" s="118">
        <f>AVERAGE(D$3:D11)</f>
        <v>3.6232638888888888</v>
      </c>
      <c r="L11">
        <f>IFERROR(SUM(D$3:D11)/H11,"")</f>
        <v>9</v>
      </c>
      <c r="M11">
        <f t="shared" si="4"/>
        <v>0.5</v>
      </c>
      <c r="N11">
        <v>9.2832186377256445E-2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44" ht="16.5" x14ac:dyDescent="0.3">
      <c r="A12" s="121">
        <v>10</v>
      </c>
      <c r="B12" s="73">
        <v>37</v>
      </c>
      <c r="C12" s="119">
        <f>(1-$S$1)*C11+$S$1*B11+$N$1</f>
        <v>35.3046875</v>
      </c>
      <c r="D12" s="119">
        <f t="shared" si="0"/>
        <v>1.6953125</v>
      </c>
      <c r="E12" s="164">
        <f t="shared" si="1"/>
        <v>1.6953125</v>
      </c>
      <c r="F12" s="119">
        <f t="shared" si="2"/>
        <v>2.87408447265625</v>
      </c>
      <c r="G12" s="119">
        <f t="shared" si="3"/>
        <v>4.5819256756756757E-2</v>
      </c>
      <c r="H12" s="119">
        <f>AVERAGE(E$3:E12)</f>
        <v>3.4304687500000002</v>
      </c>
      <c r="I12" s="119">
        <f>AVERAGE(F$3:F12)</f>
        <v>16.531280517578125</v>
      </c>
      <c r="J12" s="119">
        <f>AVERAGE(G$3:G12)</f>
        <v>0.1128104509219811</v>
      </c>
      <c r="K12" s="118">
        <f>AVERAGE(D$3:D12)</f>
        <v>3.4304687500000002</v>
      </c>
      <c r="L12">
        <f>IFERROR(SUM(D$3:D12)/H12,"")</f>
        <v>10</v>
      </c>
      <c r="M12">
        <f t="shared" si="4"/>
        <v>0.6</v>
      </c>
      <c r="N12">
        <v>7.9868556681970376E-2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44" ht="16.5" x14ac:dyDescent="0.3">
      <c r="A13" s="121">
        <v>11</v>
      </c>
      <c r="B13" s="73">
        <v>39</v>
      </c>
      <c r="C13" s="119">
        <f>(1-$S$1)*C12+$S$1*B12+$N$1</f>
        <v>36.15234375</v>
      </c>
      <c r="D13" s="119">
        <f t="shared" si="0"/>
        <v>2.84765625</v>
      </c>
      <c r="E13" s="164">
        <f t="shared" si="1"/>
        <v>2.84765625</v>
      </c>
      <c r="F13" s="119">
        <f t="shared" si="2"/>
        <v>8.1091461181640625</v>
      </c>
      <c r="G13" s="119">
        <f t="shared" si="3"/>
        <v>7.3016826923076927E-2</v>
      </c>
      <c r="H13" s="119">
        <f>AVERAGE(E$3:E13)</f>
        <v>3.3774857954545454</v>
      </c>
      <c r="I13" s="119">
        <f>AVERAGE(F$3:F13)</f>
        <v>15.765631935813211</v>
      </c>
      <c r="J13" s="119">
        <f>AVERAGE(G$3:G13)</f>
        <v>0.10919284874026253</v>
      </c>
      <c r="K13" s="118">
        <f>AVERAGE(D$3:D13)</f>
        <v>3.3774857954545454</v>
      </c>
      <c r="L13">
        <f>IFERROR(SUM(D$3:D13)/H13,"")</f>
        <v>11</v>
      </c>
      <c r="M13">
        <f t="shared" si="4"/>
        <v>0.7</v>
      </c>
      <c r="N13">
        <v>7.0144356632070332E-2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44" ht="16.5" x14ac:dyDescent="0.3">
      <c r="A14" s="121">
        <v>12</v>
      </c>
      <c r="B14" s="73">
        <v>41</v>
      </c>
      <c r="C14" s="119">
        <f>(1-$S$1)*C13+$S$1*B13+$N$1</f>
        <v>37.576171875</v>
      </c>
      <c r="D14" s="119">
        <f t="shared" si="0"/>
        <v>3.423828125</v>
      </c>
      <c r="E14" s="164">
        <f t="shared" si="1"/>
        <v>3.423828125</v>
      </c>
      <c r="F14" s="119">
        <f t="shared" si="2"/>
        <v>11.722599029541016</v>
      </c>
      <c r="G14" s="119">
        <f t="shared" si="3"/>
        <v>8.3508003048780491E-2</v>
      </c>
      <c r="H14" s="119">
        <f>AVERAGE(E$3:E14)</f>
        <v>3.38134765625</v>
      </c>
      <c r="I14" s="119">
        <f>AVERAGE(F$3:F14)</f>
        <v>15.428712526957193</v>
      </c>
      <c r="J14" s="119">
        <f>AVERAGE(G$3:G14)</f>
        <v>0.10705244493263903</v>
      </c>
      <c r="K14" s="118">
        <f>AVERAGE(D$3:D14)</f>
        <v>3.38134765625</v>
      </c>
      <c r="L14">
        <f>IFERROR(SUM(D$3:D14)/H14,"")</f>
        <v>12</v>
      </c>
      <c r="M14">
        <f t="shared" si="4"/>
        <v>0.79999999999999993</v>
      </c>
      <c r="N14">
        <v>6.256061369431079E-2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44" ht="16.5" x14ac:dyDescent="0.3">
      <c r="A15" s="121">
        <v>13</v>
      </c>
      <c r="B15" s="73">
        <v>42</v>
      </c>
      <c r="C15" s="119">
        <f>(1-$S$1)*C14+$S$1*B14+$N$1</f>
        <v>39.2880859375</v>
      </c>
      <c r="D15" s="119">
        <f t="shared" si="0"/>
        <v>2.7119140625</v>
      </c>
      <c r="E15" s="164">
        <f t="shared" si="1"/>
        <v>2.7119140625</v>
      </c>
      <c r="F15" s="119">
        <f t="shared" si="2"/>
        <v>7.3544778823852539</v>
      </c>
      <c r="G15" s="119">
        <f t="shared" si="3"/>
        <v>6.4569382440476192E-2</v>
      </c>
      <c r="H15" s="119">
        <f>AVERAGE(E$3:E15)</f>
        <v>3.3298527644230771</v>
      </c>
      <c r="I15" s="119">
        <f>AVERAGE(F$3:F15)</f>
        <v>14.807617554297813</v>
      </c>
      <c r="J15" s="119">
        <f>AVERAGE(G$3:G15)</f>
        <v>0.10378451704862651</v>
      </c>
      <c r="K15" s="118">
        <f>AVERAGE(D$3:D15)</f>
        <v>3.3298527644230771</v>
      </c>
      <c r="L15">
        <f>IFERROR(SUM(D$3:D15)/H15,"")</f>
        <v>13</v>
      </c>
      <c r="M15">
        <f t="shared" si="4"/>
        <v>0.89999999999999991</v>
      </c>
      <c r="N15">
        <v>5.6467900896008373E-2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44" ht="16.5" x14ac:dyDescent="0.3">
      <c r="A16" s="121">
        <v>14</v>
      </c>
      <c r="B16" s="73">
        <v>43</v>
      </c>
      <c r="C16" s="119">
        <f>(1-$S$1)*C15+$S$1*B15+$N$1</f>
        <v>40.64404296875</v>
      </c>
      <c r="D16" s="119">
        <f t="shared" si="0"/>
        <v>2.35595703125</v>
      </c>
      <c r="E16" s="164">
        <f t="shared" si="1"/>
        <v>2.35595703125</v>
      </c>
      <c r="F16" s="119">
        <f t="shared" si="2"/>
        <v>5.5505335330963135</v>
      </c>
      <c r="G16" s="119">
        <f t="shared" si="3"/>
        <v>5.4789698401162788E-2</v>
      </c>
      <c r="H16" s="119">
        <f>AVERAGE(E$3:E16)</f>
        <v>3.2602887834821428</v>
      </c>
      <c r="I16" s="119">
        <f>AVERAGE(F$3:F16)</f>
        <v>14.146397267069135</v>
      </c>
      <c r="J16" s="119">
        <f>AVERAGE(G$3:G16)</f>
        <v>0.10028488714523624</v>
      </c>
      <c r="K16" s="118">
        <f>AVERAGE(D$3:D16)</f>
        <v>3.2602887834821428</v>
      </c>
      <c r="L16">
        <f>IFERROR(SUM(D$3:D16)/H16,"")</f>
        <v>14</v>
      </c>
      <c r="M16">
        <f t="shared" si="4"/>
        <v>0.99999999999999989</v>
      </c>
      <c r="N16" s="6">
        <v>5.1457719634889369E-2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5"/>
      <c r="AE16" s="65"/>
      <c r="AF16" s="65"/>
      <c r="AG16" s="65"/>
      <c r="AH16" s="65"/>
      <c r="AI16" s="65"/>
      <c r="AJ16" s="65"/>
      <c r="AK16" s="65"/>
      <c r="AL16" s="6"/>
      <c r="AM16" s="6"/>
      <c r="AN16" s="6"/>
      <c r="AO16" s="6"/>
      <c r="AP16" s="6"/>
      <c r="AQ16" s="6"/>
      <c r="AR16" s="6"/>
    </row>
    <row r="17" spans="1:61" ht="16.5" x14ac:dyDescent="0.3">
      <c r="A17" s="121">
        <v>15</v>
      </c>
      <c r="B17" s="73">
        <v>45</v>
      </c>
      <c r="C17" s="119">
        <f>(1-$S$1)*C16+$S$1*B16+$N$1</f>
        <v>41.822021484375</v>
      </c>
      <c r="D17" s="119">
        <f t="shared" si="0"/>
        <v>3.177978515625</v>
      </c>
      <c r="E17" s="164">
        <f t="shared" si="1"/>
        <v>3.177978515625</v>
      </c>
      <c r="F17" s="119">
        <f t="shared" si="2"/>
        <v>10.099547445774078</v>
      </c>
      <c r="G17" s="119">
        <f t="shared" si="3"/>
        <v>7.0621744791666663E-2</v>
      </c>
      <c r="H17" s="119">
        <f>AVERAGE(E$3:E17)</f>
        <v>3.2548014322916665</v>
      </c>
      <c r="I17" s="119">
        <f>AVERAGE(F$3:F17)</f>
        <v>13.876607278982798</v>
      </c>
      <c r="J17" s="119">
        <f>AVERAGE(G$3:G17)</f>
        <v>9.8307344321664936E-2</v>
      </c>
      <c r="K17" s="118">
        <f>AVERAGE(D$3:D17)</f>
        <v>3.2548014322916665</v>
      </c>
      <c r="L17">
        <f>IFERROR(SUM(D$3:D17)/H17,"")</f>
        <v>15</v>
      </c>
      <c r="M17"/>
      <c r="N17" s="65">
        <f>MIN(N6:N16)</f>
        <v>5.1457719634889369E-2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"/>
      <c r="AM17" s="6"/>
      <c r="AN17" s="6"/>
      <c r="AO17" s="6"/>
      <c r="AP17" s="6"/>
      <c r="AQ17" s="6"/>
      <c r="AR17" s="6"/>
    </row>
    <row r="18" spans="1:61" ht="16.5" x14ac:dyDescent="0.3">
      <c r="A18" s="121">
        <v>16</v>
      </c>
      <c r="B18" s="73">
        <v>48</v>
      </c>
      <c r="C18" s="119">
        <f>(1-$S$1)*C17+$S$1*B17+$N$1</f>
        <v>43.4110107421875</v>
      </c>
      <c r="D18" s="119">
        <f t="shared" si="0"/>
        <v>4.5889892578125</v>
      </c>
      <c r="E18" s="164">
        <f t="shared" si="1"/>
        <v>4.5889892578125</v>
      </c>
      <c r="F18" s="119">
        <f t="shared" si="2"/>
        <v>21.05882240831852</v>
      </c>
      <c r="G18" s="119">
        <f t="shared" si="3"/>
        <v>9.560394287109375E-2</v>
      </c>
      <c r="H18" s="119">
        <f>AVERAGE(E$3:E18)</f>
        <v>3.3381881713867188</v>
      </c>
      <c r="I18" s="119">
        <f>AVERAGE(F$3:F18)</f>
        <v>14.325495724566281</v>
      </c>
      <c r="J18" s="119">
        <f>AVERAGE(G$3:G18)</f>
        <v>9.813838173100424E-2</v>
      </c>
      <c r="K18" s="118">
        <f>AVERAGE(D$3:D18)</f>
        <v>3.3381881713867188</v>
      </c>
      <c r="L18">
        <f>IFERROR(SUM(D$3:D18)/H18,"")</f>
        <v>16</v>
      </c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"/>
      <c r="AM18" s="6"/>
      <c r="AN18" s="6"/>
      <c r="AO18" s="6"/>
      <c r="AP18" s="6"/>
      <c r="AQ18" s="6"/>
      <c r="AR18" s="6"/>
    </row>
    <row r="19" spans="1:61" ht="16.5" x14ac:dyDescent="0.3">
      <c r="A19" s="121">
        <v>17</v>
      </c>
      <c r="B19" s="73">
        <v>49</v>
      </c>
      <c r="C19" s="119">
        <f>(1-$S$1)*C18+$S$1*B18+$N$1</f>
        <v>45.70550537109375</v>
      </c>
      <c r="D19" s="119">
        <f t="shared" si="0"/>
        <v>3.29449462890625</v>
      </c>
      <c r="E19" s="164">
        <f t="shared" si="1"/>
        <v>3.29449462890625</v>
      </c>
      <c r="F19" s="119">
        <f t="shared" si="2"/>
        <v>10.85369485989213</v>
      </c>
      <c r="G19" s="119">
        <f t="shared" si="3"/>
        <v>6.7234584263392863E-2</v>
      </c>
      <c r="H19" s="119">
        <f>AVERAGE(E$3:E19)</f>
        <v>3.3356179630055145</v>
      </c>
      <c r="I19" s="119">
        <f>AVERAGE(F$3:F19)</f>
        <v>14.12127214429133</v>
      </c>
      <c r="J19" s="119">
        <f>AVERAGE(G$3:G19)</f>
        <v>9.6320511291732983E-2</v>
      </c>
      <c r="K19" s="118">
        <f>AVERAGE(D$3:D19)</f>
        <v>3.3356179630055145</v>
      </c>
      <c r="L19">
        <f>IFERROR(SUM(D$3:D19)/H19,"")</f>
        <v>17</v>
      </c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"/>
      <c r="AM19" s="6"/>
      <c r="AN19" s="6"/>
      <c r="AO19" s="6"/>
      <c r="AP19" s="6"/>
      <c r="AQ19" s="6"/>
      <c r="AR19" s="6"/>
    </row>
    <row r="20" spans="1:61" ht="16.5" x14ac:dyDescent="0.3">
      <c r="A20" s="121">
        <v>18</v>
      </c>
      <c r="B20" s="73">
        <v>50</v>
      </c>
      <c r="C20" s="119">
        <f>(1-$S$1)*C19+$S$1*B19+$N$1</f>
        <v>47.352752685546875</v>
      </c>
      <c r="D20" s="119">
        <f t="shared" si="0"/>
        <v>2.647247314453125</v>
      </c>
      <c r="E20" s="164">
        <f t="shared" si="1"/>
        <v>2.647247314453125</v>
      </c>
      <c r="F20" s="119">
        <f t="shared" si="2"/>
        <v>7.0079183438792825</v>
      </c>
      <c r="G20" s="119">
        <f t="shared" si="3"/>
        <v>5.2944946289062503E-2</v>
      </c>
      <c r="H20" s="119">
        <f>AVERAGE(E$3:E20)</f>
        <v>3.2973751491970487</v>
      </c>
      <c r="I20" s="119">
        <f>AVERAGE(F$3:F20)</f>
        <v>13.726085822046217</v>
      </c>
      <c r="J20" s="119">
        <f>AVERAGE(G$3:G20)</f>
        <v>9.3910757680473508E-2</v>
      </c>
      <c r="K20" s="118">
        <f>AVERAGE(D$3:D20)</f>
        <v>3.2973751491970487</v>
      </c>
      <c r="L20">
        <f>IFERROR(SUM(D$3:D20)/H20,"")</f>
        <v>18</v>
      </c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"/>
      <c r="AM20" s="6"/>
      <c r="AN20" s="6"/>
      <c r="AO20" s="6"/>
      <c r="AP20" s="6"/>
      <c r="AQ20" s="6"/>
      <c r="AR20" s="6"/>
    </row>
    <row r="21" spans="1:61" ht="16.5" x14ac:dyDescent="0.3">
      <c r="A21" s="121">
        <v>19</v>
      </c>
      <c r="B21" s="73">
        <v>50</v>
      </c>
      <c r="C21" s="119">
        <f>(1-$S$1)*C20+$S$1*B20+$N$1</f>
        <v>48.676376342773438</v>
      </c>
      <c r="D21" s="119">
        <f t="shared" si="0"/>
        <v>1.3236236572265625</v>
      </c>
      <c r="E21" s="164">
        <f t="shared" si="1"/>
        <v>1.3236236572265625</v>
      </c>
      <c r="F21" s="119">
        <f t="shared" si="2"/>
        <v>1.7519795859698206</v>
      </c>
      <c r="G21" s="119">
        <f t="shared" si="3"/>
        <v>2.6472473144531251E-2</v>
      </c>
      <c r="H21" s="119">
        <f>AVERAGE(E$3:E21)</f>
        <v>3.1934934917249178</v>
      </c>
      <c r="I21" s="119">
        <f>AVERAGE(F$3:F21)</f>
        <v>13.095869704357986</v>
      </c>
      <c r="J21" s="119">
        <f>AVERAGE(G$3:G21)</f>
        <v>9.036137428384497E-2</v>
      </c>
      <c r="K21" s="118">
        <f>AVERAGE(D$3:D21)</f>
        <v>3.1934934917249178</v>
      </c>
      <c r="L21">
        <f>IFERROR(SUM(D$3:D21)/H21,"")</f>
        <v>19</v>
      </c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"/>
      <c r="AM21" s="6"/>
      <c r="AN21" s="6"/>
      <c r="AO21" s="6"/>
      <c r="AP21" s="6"/>
      <c r="AQ21" s="6"/>
      <c r="AR21" s="6"/>
    </row>
    <row r="22" spans="1:61" ht="16.5" x14ac:dyDescent="0.3">
      <c r="A22" s="121">
        <v>20</v>
      </c>
      <c r="B22" s="73">
        <v>55</v>
      </c>
      <c r="C22" s="119">
        <f>(1-$S$1)*C21+$S$1*B21+$N$1</f>
        <v>49.338188171386719</v>
      </c>
      <c r="D22" s="119">
        <f t="shared" si="0"/>
        <v>5.6618118286132813</v>
      </c>
      <c r="E22" s="164">
        <f t="shared" si="1"/>
        <v>5.6618118286132813</v>
      </c>
      <c r="F22" s="119">
        <f t="shared" si="2"/>
        <v>32.056113182625268</v>
      </c>
      <c r="G22" s="119">
        <f t="shared" si="3"/>
        <v>0.10294203324751421</v>
      </c>
      <c r="H22" s="119">
        <f>AVERAGE(E$3:E22)</f>
        <v>3.316909408569336</v>
      </c>
      <c r="I22" s="119">
        <f>AVERAGE(F$3:F22)</f>
        <v>14.04388187827135</v>
      </c>
      <c r="J22" s="119">
        <f>AVERAGE(G$3:G22)</f>
        <v>9.099040723202842E-2</v>
      </c>
      <c r="K22" s="118">
        <f>AVERAGE(D$3:D22)</f>
        <v>3.316909408569336</v>
      </c>
      <c r="L22">
        <f>IFERROR(SUM(D$3:D22)/H22,"")</f>
        <v>20</v>
      </c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"/>
      <c r="AM22" s="6"/>
      <c r="AN22" s="6"/>
      <c r="AO22" s="6"/>
      <c r="AP22" s="6"/>
      <c r="AQ22" s="6"/>
      <c r="AR22" s="6"/>
    </row>
    <row r="23" spans="1:61" ht="16.5" x14ac:dyDescent="0.3">
      <c r="A23" s="121">
        <v>21</v>
      </c>
      <c r="B23" s="73">
        <v>55</v>
      </c>
      <c r="C23" s="119">
        <f>(1-$S$1)*C22+$S$1*B22+$N$1</f>
        <v>52.169094085693359</v>
      </c>
      <c r="D23" s="119">
        <f t="shared" si="0"/>
        <v>2.8309059143066406</v>
      </c>
      <c r="E23" s="164">
        <f t="shared" si="1"/>
        <v>2.8309059143066406</v>
      </c>
      <c r="F23" s="119">
        <f t="shared" si="2"/>
        <v>8.0140282956563169</v>
      </c>
      <c r="G23" s="119">
        <f t="shared" si="3"/>
        <v>5.1471016623757103E-2</v>
      </c>
      <c r="H23" s="119">
        <f>AVERAGE(E$3:E23)</f>
        <v>3.2937663850330172</v>
      </c>
      <c r="I23" s="119">
        <f>AVERAGE(F$3:F23)</f>
        <v>13.75674599338492</v>
      </c>
      <c r="J23" s="119">
        <f>AVERAGE(G$3:G23)</f>
        <v>8.9108531488777412E-2</v>
      </c>
      <c r="K23" s="118">
        <f>AVERAGE(D$3:D23)</f>
        <v>3.2937663850330172</v>
      </c>
      <c r="L23">
        <f>IFERROR(SUM(D$3:D23)/H23,"")</f>
        <v>21</v>
      </c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"/>
      <c r="AM23" s="6"/>
      <c r="AN23" s="6"/>
      <c r="AO23" s="6"/>
      <c r="AP23" s="6"/>
      <c r="AQ23" s="6"/>
      <c r="AR23" s="6"/>
    </row>
    <row r="24" spans="1:61" ht="16.5" x14ac:dyDescent="0.3">
      <c r="A24" s="121">
        <v>22</v>
      </c>
      <c r="B24" s="73">
        <v>58</v>
      </c>
      <c r="C24" s="119">
        <f>(1-$S$1)*C23+$S$1*B23+$N$1</f>
        <v>53.58454704284668</v>
      </c>
      <c r="D24" s="119">
        <f t="shared" si="0"/>
        <v>4.4154529571533203</v>
      </c>
      <c r="E24" s="164">
        <f t="shared" si="1"/>
        <v>4.4154529571533203</v>
      </c>
      <c r="F24" s="119">
        <f t="shared" si="2"/>
        <v>19.496224816834001</v>
      </c>
      <c r="G24" s="119">
        <f t="shared" si="3"/>
        <v>7.6128499261264138E-2</v>
      </c>
      <c r="H24" s="119">
        <f>AVERAGE(E$3:E24)</f>
        <v>3.3447521383112129</v>
      </c>
      <c r="I24" s="119">
        <f>AVERAGE(F$3:F24)</f>
        <v>14.017631394450786</v>
      </c>
      <c r="J24" s="119">
        <f>AVERAGE(G$3:G24)</f>
        <v>8.8518530023890443E-2</v>
      </c>
      <c r="K24" s="118">
        <f>AVERAGE(D$3:D24)</f>
        <v>3.3447521383112129</v>
      </c>
      <c r="L24">
        <f>IFERROR(SUM(D$3:D24)/H24,"")</f>
        <v>22</v>
      </c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"/>
      <c r="AM24" s="6"/>
      <c r="AN24" s="6"/>
      <c r="AO24" s="6"/>
      <c r="AP24" s="6"/>
      <c r="AQ24" s="6"/>
      <c r="AR24" s="6"/>
    </row>
    <row r="25" spans="1:61" ht="16.5" x14ac:dyDescent="0.3">
      <c r="A25" s="121">
        <v>23</v>
      </c>
      <c r="B25" s="73">
        <v>62</v>
      </c>
      <c r="C25" s="119">
        <f>(1-$S$1)*C24+$S$1*B24+$N$1</f>
        <v>55.79227352142334</v>
      </c>
      <c r="D25" s="119">
        <f t="shared" si="0"/>
        <v>6.2077264785766602</v>
      </c>
      <c r="E25" s="164">
        <f t="shared" si="1"/>
        <v>6.2077264785766602</v>
      </c>
      <c r="F25" s="119">
        <f t="shared" si="2"/>
        <v>38.535868032821782</v>
      </c>
      <c r="G25" s="119">
        <f t="shared" si="3"/>
        <v>0.1001246206222042</v>
      </c>
      <c r="H25" s="119">
        <f>AVERAGE(E$3:E25)</f>
        <v>3.469229283540145</v>
      </c>
      <c r="I25" s="119">
        <f>AVERAGE(F$3:F25)</f>
        <v>15.083641683075612</v>
      </c>
      <c r="J25" s="119">
        <f>AVERAGE(G$3:G25)</f>
        <v>8.902314265859973E-2</v>
      </c>
      <c r="K25" s="118">
        <f>AVERAGE(D$3:D25)</f>
        <v>3.469229283540145</v>
      </c>
      <c r="L25">
        <f>IFERROR(SUM(D$3:D25)/H25,"")</f>
        <v>23</v>
      </c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"/>
      <c r="AM25" s="6"/>
      <c r="AN25" s="6"/>
      <c r="AO25" s="6"/>
      <c r="AP25" s="6"/>
      <c r="AQ25" s="6"/>
      <c r="AR25" s="6"/>
    </row>
    <row r="26" spans="1:61" ht="16.5" x14ac:dyDescent="0.3">
      <c r="A26" s="121">
        <v>24</v>
      </c>
      <c r="B26" s="73">
        <v>63</v>
      </c>
      <c r="C26" s="119">
        <f>(1-$S$1)*C25+$S$1*B25+$N$1</f>
        <v>58.89613676071167</v>
      </c>
      <c r="D26" s="119">
        <f t="shared" si="0"/>
        <v>4.1038632392883301</v>
      </c>
      <c r="E26" s="164">
        <f t="shared" si="1"/>
        <v>4.1038632392883301</v>
      </c>
      <c r="F26" s="119">
        <f t="shared" si="2"/>
        <v>16.841693486782106</v>
      </c>
      <c r="G26" s="119">
        <f t="shared" si="3"/>
        <v>6.5140686337909995E-2</v>
      </c>
      <c r="H26" s="119">
        <f>AVERAGE(E$3:E26)</f>
        <v>3.4956723650296531</v>
      </c>
      <c r="I26" s="119">
        <f>AVERAGE(F$3:F26)</f>
        <v>15.156893841563383</v>
      </c>
      <c r="J26" s="119">
        <f>AVERAGE(G$3:G26)</f>
        <v>8.8028040311904324E-2</v>
      </c>
      <c r="K26" s="118">
        <f>AVERAGE(D$3:D26)</f>
        <v>3.4956723650296531</v>
      </c>
      <c r="L26">
        <f>IFERROR(SUM(D$3:D26)/H26,"")</f>
        <v>24</v>
      </c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"/>
      <c r="AM26" s="6"/>
      <c r="AN26" s="6"/>
      <c r="AO26" s="6"/>
      <c r="AP26" s="6"/>
      <c r="AQ26" s="6"/>
      <c r="AR26" s="6"/>
    </row>
    <row r="27" spans="1:61" ht="16.5" x14ac:dyDescent="0.3">
      <c r="A27" s="121">
        <v>25</v>
      </c>
      <c r="B27" s="73">
        <v>67</v>
      </c>
      <c r="C27" s="119">
        <f>(1-$S$1)*C26+$S$1*B26+$N$1</f>
        <v>60.948068380355835</v>
      </c>
      <c r="D27" s="119">
        <f t="shared" si="0"/>
        <v>6.051931619644165</v>
      </c>
      <c r="E27" s="164">
        <f t="shared" si="1"/>
        <v>6.051931619644165</v>
      </c>
      <c r="F27" s="119">
        <f t="shared" si="2"/>
        <v>36.625876328848847</v>
      </c>
      <c r="G27" s="119">
        <f t="shared" si="3"/>
        <v>9.0327337606629324E-2</v>
      </c>
      <c r="H27" s="119">
        <f>AVERAGE(E$3:E27)</f>
        <v>3.5979227352142336</v>
      </c>
      <c r="I27" s="119">
        <f>AVERAGE(F$3:F27)</f>
        <v>16.015653141054802</v>
      </c>
      <c r="J27" s="119">
        <f>AVERAGE(G$3:G27)</f>
        <v>8.8120012203693324E-2</v>
      </c>
      <c r="K27" s="118">
        <f>AVERAGE(D$3:D27)</f>
        <v>3.5979227352142336</v>
      </c>
      <c r="L27">
        <f>IFERROR(SUM(D$3:D27)/H27,"")</f>
        <v>25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"/>
      <c r="AM27" s="6"/>
      <c r="AN27" s="6"/>
      <c r="AO27" s="6"/>
      <c r="AP27" s="6"/>
      <c r="AQ27" s="6"/>
      <c r="AR27" s="6"/>
    </row>
    <row r="28" spans="1:61" ht="16.5" x14ac:dyDescent="0.3">
      <c r="A28" s="121">
        <v>26</v>
      </c>
      <c r="B28" s="73">
        <v>72</v>
      </c>
      <c r="C28" s="119">
        <f>(1-$S$1)*C27+$S$1*B27+$N$1</f>
        <v>63.974034190177917</v>
      </c>
      <c r="D28" s="119">
        <f t="shared" si="0"/>
        <v>8.0259658098220825</v>
      </c>
      <c r="E28" s="164">
        <f t="shared" si="1"/>
        <v>8.0259658098220825</v>
      </c>
      <c r="F28" s="119">
        <f t="shared" si="2"/>
        <v>64.416127180433037</v>
      </c>
      <c r="G28" s="119">
        <f t="shared" si="3"/>
        <v>0.11147174735864003</v>
      </c>
      <c r="H28" s="119">
        <f>AVERAGE(E$3:E28)</f>
        <v>3.7682320842376122</v>
      </c>
      <c r="I28" s="119">
        <f>AVERAGE(F$3:F28)</f>
        <v>17.877209834877043</v>
      </c>
      <c r="J28" s="119">
        <f>AVERAGE(G$3:G28)</f>
        <v>8.9018155863498968E-2</v>
      </c>
      <c r="K28" s="118">
        <f>AVERAGE(D$3:D28)</f>
        <v>3.7682320842376122</v>
      </c>
      <c r="L28">
        <f>IFERROR(SUM(D$3:D28)/H28,"")</f>
        <v>26</v>
      </c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"/>
      <c r="AM28" s="6"/>
      <c r="AN28" s="6"/>
      <c r="AO28" s="6"/>
      <c r="AP28" s="6"/>
      <c r="AQ28" s="6"/>
      <c r="AR28" s="6"/>
    </row>
    <row r="29" spans="1:61" ht="16.5" x14ac:dyDescent="0.3">
      <c r="A29" s="121">
        <v>27</v>
      </c>
      <c r="B29" s="73">
        <v>79</v>
      </c>
      <c r="C29" s="119">
        <f>(1-$S$1)*C28+$S$1*B28+$N$1</f>
        <v>67.987017095088959</v>
      </c>
      <c r="D29" s="119">
        <f t="shared" si="0"/>
        <v>11.012982904911041</v>
      </c>
      <c r="E29" s="164">
        <f t="shared" si="1"/>
        <v>11.012982904911041</v>
      </c>
      <c r="F29" s="119">
        <f t="shared" si="2"/>
        <v>121.28579246386283</v>
      </c>
      <c r="G29" s="119">
        <f t="shared" si="3"/>
        <v>0.13940484689760813</v>
      </c>
      <c r="H29" s="119">
        <f>AVERAGE(E$3:E29)</f>
        <v>4.0365561887069985</v>
      </c>
      <c r="I29" s="119">
        <f>AVERAGE(F$3:F29)</f>
        <v>21.707157339654291</v>
      </c>
      <c r="J29" s="119">
        <f>AVERAGE(G$3:G29)</f>
        <v>9.0884329605503023E-2</v>
      </c>
      <c r="K29" s="118">
        <f>AVERAGE(D$3:D29)</f>
        <v>4.0365561887069985</v>
      </c>
      <c r="L29">
        <f>IFERROR(SUM(D$3:D29)/H29,"")</f>
        <v>27</v>
      </c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"/>
      <c r="AM29" s="6"/>
      <c r="AN29" s="6"/>
      <c r="AO29" s="6"/>
      <c r="AP29" s="6"/>
      <c r="AQ29" s="6"/>
      <c r="AR29" s="6"/>
    </row>
    <row r="30" spans="1:61" ht="16.5" x14ac:dyDescent="0.3">
      <c r="A30" s="121">
        <v>28</v>
      </c>
      <c r="B30" s="73">
        <v>86</v>
      </c>
      <c r="C30" s="119">
        <f>(1-$S$1)*C29+$S$1*B29+$N$1</f>
        <v>73.493508547544479</v>
      </c>
      <c r="D30" s="119">
        <f t="shared" si="0"/>
        <v>12.506491452455521</v>
      </c>
      <c r="E30" s="164">
        <f t="shared" si="1"/>
        <v>12.506491452455521</v>
      </c>
      <c r="F30" s="119">
        <f t="shared" si="2"/>
        <v>156.41232845034301</v>
      </c>
      <c r="G30" s="119">
        <f t="shared" si="3"/>
        <v>0.14542431921459908</v>
      </c>
      <c r="H30" s="119">
        <f>AVERAGE(E$3:E30)</f>
        <v>4.3390538766980171</v>
      </c>
      <c r="I30" s="119">
        <f>AVERAGE(F$3:F30)</f>
        <v>26.518056307893175</v>
      </c>
      <c r="J30" s="119">
        <f>AVERAGE(G$3:G30)</f>
        <v>9.2832186377256445E-2</v>
      </c>
      <c r="K30" s="118">
        <f>AVERAGE(D$3:D30)</f>
        <v>4.3390538766980171</v>
      </c>
      <c r="L30">
        <f>IFERROR(SUM(D$3:D30)/H30,"")</f>
        <v>28</v>
      </c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"/>
      <c r="AM30" s="6"/>
      <c r="AN30" s="6"/>
      <c r="AO30" s="6"/>
      <c r="AP30" s="6"/>
      <c r="AQ30" s="6"/>
      <c r="AR30" s="6"/>
    </row>
    <row r="31" spans="1:61" ht="16.5" x14ac:dyDescent="0.3">
      <c r="A31" s="120">
        <v>29</v>
      </c>
      <c r="B31"/>
      <c r="C31" s="119">
        <f>(1-$S$1)*C30+$S$1*B30+$N$1</f>
        <v>79.74675427377224</v>
      </c>
      <c r="D31" s="125"/>
      <c r="E31" s="125"/>
      <c r="F31" s="125"/>
      <c r="G31" s="119"/>
      <c r="H31"/>
      <c r="I31" s="65"/>
      <c r="J31" s="65"/>
      <c r="K31" s="118"/>
      <c r="L31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"/>
      <c r="AM31" s="6"/>
      <c r="AN31" s="6"/>
      <c r="AO31" s="6"/>
      <c r="AP31" s="6"/>
      <c r="AQ31" s="6"/>
      <c r="AR31" s="6"/>
      <c r="BE31"/>
      <c r="BF31"/>
      <c r="BG31"/>
      <c r="BH31"/>
      <c r="BI31"/>
    </row>
    <row r="32" spans="1:61" ht="16.5" x14ac:dyDescent="0.3">
      <c r="A32" s="74">
        <v>30</v>
      </c>
      <c r="B32"/>
      <c r="C32" s="329">
        <f>C31</f>
        <v>79.74675427377224</v>
      </c>
      <c r="D32" s="109"/>
      <c r="E32" s="65"/>
      <c r="F32" s="109"/>
      <c r="G32" s="65"/>
      <c r="H32" s="65"/>
      <c r="I32" s="65"/>
      <c r="J32" s="65"/>
      <c r="K32" s="118"/>
      <c r="L32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"/>
      <c r="AM32" s="6"/>
      <c r="AN32" s="6"/>
      <c r="AO32" s="6"/>
      <c r="AP32" s="6"/>
      <c r="AQ32" s="6"/>
      <c r="AR32" s="6"/>
      <c r="BE32"/>
      <c r="BF32"/>
      <c r="BG32"/>
      <c r="BH32"/>
      <c r="BI32"/>
    </row>
    <row r="33" spans="1:61" ht="16.5" x14ac:dyDescent="0.3">
      <c r="A33" s="74">
        <v>31</v>
      </c>
      <c r="B33"/>
      <c r="C33" s="329">
        <f t="shared" ref="C33:C34" si="5">C32</f>
        <v>79.74675427377224</v>
      </c>
      <c r="D33" s="65"/>
      <c r="E33" s="126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"/>
      <c r="AM33" s="6"/>
      <c r="AN33" s="6"/>
      <c r="AO33" s="6"/>
      <c r="AP33" s="6"/>
      <c r="AQ33" s="6"/>
      <c r="AR33" s="6"/>
      <c r="BE33"/>
      <c r="BF33"/>
      <c r="BG33"/>
      <c r="BH33"/>
      <c r="BI33"/>
    </row>
    <row r="34" spans="1:61" ht="16.5" x14ac:dyDescent="0.3">
      <c r="A34" s="74">
        <v>32</v>
      </c>
      <c r="B34"/>
      <c r="C34" s="329">
        <f t="shared" si="5"/>
        <v>79.74675427377224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"/>
      <c r="AM34" s="6"/>
      <c r="AN34" s="6"/>
      <c r="AO34" s="6"/>
      <c r="AP34" s="6"/>
      <c r="AQ34" s="6"/>
      <c r="AR34" s="6"/>
      <c r="BE34"/>
      <c r="BF34"/>
      <c r="BG34"/>
      <c r="BH34"/>
      <c r="BI34"/>
    </row>
    <row r="35" spans="1:61" x14ac:dyDescent="0.25">
      <c r="A35"/>
      <c r="B35"/>
      <c r="C35" s="127"/>
      <c r="D35" s="128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"/>
      <c r="AM35" s="6"/>
      <c r="AN35" s="6"/>
      <c r="AO35" s="6"/>
      <c r="AP35" s="6"/>
      <c r="AQ35" s="6"/>
      <c r="AR35" s="6"/>
      <c r="BE35"/>
      <c r="BF35"/>
      <c r="BG35"/>
      <c r="BH35"/>
      <c r="BI35"/>
    </row>
    <row r="36" spans="1:61" x14ac:dyDescent="0.25">
      <c r="A36"/>
      <c r="B36"/>
      <c r="C36" s="127"/>
      <c r="D36" s="128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"/>
      <c r="AM36" s="6"/>
      <c r="AN36" s="6"/>
      <c r="AO36" s="6"/>
      <c r="AP36" s="6"/>
      <c r="AQ36" s="6"/>
      <c r="AR36" s="6"/>
      <c r="BE36"/>
      <c r="BF36"/>
      <c r="BG36"/>
      <c r="BH36"/>
      <c r="BI36"/>
    </row>
    <row r="37" spans="1:61" x14ac:dyDescent="0.25">
      <c r="A37"/>
      <c r="B37"/>
      <c r="C37" s="6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"/>
      <c r="AM37" s="6"/>
      <c r="AN37" s="6"/>
      <c r="AO37" s="6"/>
      <c r="AP37" s="6"/>
      <c r="AQ37" s="6"/>
      <c r="AR37" s="6"/>
      <c r="BE37"/>
      <c r="BF37"/>
      <c r="BG37"/>
      <c r="BH37"/>
      <c r="BI37"/>
    </row>
    <row r="38" spans="1:61" x14ac:dyDescent="0.25">
      <c r="A38"/>
      <c r="B38"/>
      <c r="C38" s="6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"/>
      <c r="AM38" s="6"/>
      <c r="AN38" s="6"/>
      <c r="AO38" s="6"/>
      <c r="AP38" s="6"/>
      <c r="AQ38" s="6"/>
      <c r="AR38" s="6"/>
      <c r="BE38"/>
      <c r="BF38"/>
      <c r="BG38"/>
      <c r="BH38"/>
      <c r="BI38"/>
    </row>
    <row r="39" spans="1:61" x14ac:dyDescent="0.25">
      <c r="A39"/>
      <c r="B39"/>
      <c r="C39" s="6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"/>
      <c r="AM39" s="6"/>
      <c r="AN39" s="6"/>
      <c r="AO39" s="6"/>
      <c r="AP39" s="6"/>
      <c r="AQ39" s="6"/>
      <c r="AR39" s="6"/>
      <c r="BE39"/>
      <c r="BF39"/>
      <c r="BG39"/>
      <c r="BH39"/>
      <c r="BI39"/>
    </row>
    <row r="40" spans="1:61" x14ac:dyDescent="0.25">
      <c r="A40"/>
      <c r="B40"/>
      <c r="C40" s="6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"/>
      <c r="AM40" s="6"/>
      <c r="AN40" s="6"/>
      <c r="AO40" s="6"/>
      <c r="AP40" s="6"/>
      <c r="AQ40" s="6"/>
      <c r="AR40" s="6"/>
      <c r="BE40"/>
      <c r="BF40"/>
      <c r="BG40"/>
      <c r="BH40"/>
      <c r="BI40"/>
    </row>
    <row r="41" spans="1:61" x14ac:dyDescent="0.25">
      <c r="A41"/>
      <c r="B41"/>
      <c r="C41" s="6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"/>
      <c r="AM41" s="6"/>
      <c r="AN41" s="6"/>
      <c r="AO41" s="6"/>
      <c r="AP41" s="6"/>
      <c r="AQ41" s="6"/>
      <c r="AR41" s="6"/>
      <c r="BE41"/>
      <c r="BF41"/>
      <c r="BG41"/>
      <c r="BH41"/>
      <c r="BI41"/>
    </row>
    <row r="42" spans="1:61" x14ac:dyDescent="0.25">
      <c r="A42"/>
      <c r="B42"/>
      <c r="C42" s="6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"/>
      <c r="AM42" s="6"/>
      <c r="AN42" s="6"/>
      <c r="AO42" s="6"/>
      <c r="AP42" s="6"/>
      <c r="AQ42" s="6"/>
      <c r="AR42" s="6"/>
      <c r="BE42"/>
      <c r="BF42"/>
      <c r="BG42"/>
      <c r="BH42"/>
      <c r="BI42"/>
    </row>
    <row r="43" spans="1:61" x14ac:dyDescent="0.25">
      <c r="A43"/>
      <c r="B43"/>
      <c r="C43" s="6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"/>
      <c r="AM43" s="6"/>
      <c r="AN43" s="6"/>
      <c r="AO43" s="6"/>
      <c r="AP43" s="6"/>
      <c r="AQ43" s="6"/>
      <c r="AR43" s="6"/>
      <c r="BE43"/>
      <c r="BF43"/>
      <c r="BG43"/>
      <c r="BH43"/>
      <c r="BI43"/>
    </row>
    <row r="44" spans="1:61" x14ac:dyDescent="0.25">
      <c r="A44"/>
      <c r="B44"/>
      <c r="C44" s="6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"/>
      <c r="AM44" s="6"/>
      <c r="AN44" s="6"/>
      <c r="AO44" s="6"/>
      <c r="AP44" s="6"/>
      <c r="AQ44" s="6"/>
      <c r="AR44" s="6"/>
      <c r="BE44"/>
      <c r="BF44"/>
      <c r="BG44"/>
      <c r="BH44"/>
      <c r="BI44"/>
    </row>
    <row r="45" spans="1:61" x14ac:dyDescent="0.25">
      <c r="A45"/>
      <c r="B45"/>
      <c r="C45" s="6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"/>
      <c r="AM45" s="6"/>
      <c r="AN45" s="6"/>
      <c r="AO45" s="6"/>
      <c r="AP45" s="6"/>
      <c r="AQ45" s="6"/>
      <c r="AR45" s="6"/>
      <c r="BE45"/>
      <c r="BF45"/>
      <c r="BG45"/>
      <c r="BH45"/>
      <c r="BI45"/>
    </row>
    <row r="46" spans="1:61" x14ac:dyDescent="0.25">
      <c r="A46"/>
      <c r="B46"/>
      <c r="C46" s="6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"/>
      <c r="AM46" s="6"/>
      <c r="AN46" s="6"/>
      <c r="AO46" s="6"/>
      <c r="AP46" s="6"/>
      <c r="AQ46" s="6"/>
      <c r="AR46" s="6"/>
      <c r="BE46"/>
      <c r="BF46"/>
      <c r="BG46"/>
      <c r="BH46"/>
      <c r="BI46"/>
    </row>
    <row r="47" spans="1:61" x14ac:dyDescent="0.25">
      <c r="A47"/>
      <c r="B47"/>
      <c r="C47" s="6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"/>
      <c r="AM47" s="6"/>
      <c r="AN47" s="6"/>
      <c r="AO47" s="6"/>
      <c r="AP47" s="6"/>
      <c r="AQ47" s="6"/>
      <c r="AR47" s="6"/>
      <c r="BE47"/>
      <c r="BF47"/>
      <c r="BG47"/>
      <c r="BH47"/>
      <c r="BI47"/>
    </row>
    <row r="48" spans="1:61" x14ac:dyDescent="0.25">
      <c r="A48"/>
      <c r="B48"/>
      <c r="C48" s="6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"/>
      <c r="AM48" s="6"/>
      <c r="AN48" s="6"/>
      <c r="AO48" s="6"/>
      <c r="AP48" s="6"/>
      <c r="AQ48" s="6"/>
      <c r="AR48" s="6"/>
      <c r="BE48"/>
      <c r="BF48"/>
      <c r="BG48"/>
      <c r="BH48"/>
      <c r="BI48"/>
    </row>
    <row r="49" spans="1:61" x14ac:dyDescent="0.25">
      <c r="A49"/>
      <c r="B49"/>
      <c r="C49" s="6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"/>
      <c r="AM49" s="6"/>
      <c r="AN49" s="6"/>
      <c r="AO49" s="6"/>
      <c r="AP49" s="6"/>
      <c r="AQ49" s="6"/>
      <c r="AR49" s="6"/>
      <c r="BE49"/>
      <c r="BF49"/>
      <c r="BG49"/>
      <c r="BH49"/>
      <c r="BI49"/>
    </row>
    <row r="50" spans="1:61" x14ac:dyDescent="0.25">
      <c r="A50"/>
      <c r="B50"/>
      <c r="C50" s="6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"/>
      <c r="AM50" s="6"/>
      <c r="AN50" s="6"/>
      <c r="AO50" s="6"/>
      <c r="AP50" s="6"/>
      <c r="AQ50" s="6"/>
      <c r="AR50" s="6"/>
      <c r="BE50"/>
      <c r="BF50"/>
      <c r="BG50"/>
      <c r="BH50"/>
      <c r="BI50"/>
    </row>
    <row r="51" spans="1:61" x14ac:dyDescent="0.25">
      <c r="A51"/>
      <c r="B51"/>
      <c r="C51" s="6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"/>
      <c r="AM51" s="6"/>
      <c r="AN51" s="6"/>
      <c r="AO51" s="6"/>
      <c r="AP51" s="6"/>
      <c r="AQ51" s="6"/>
      <c r="AR51" s="6"/>
      <c r="BE51"/>
      <c r="BF51"/>
      <c r="BG51"/>
      <c r="BH51"/>
      <c r="BI51"/>
    </row>
    <row r="52" spans="1:61" x14ac:dyDescent="0.25">
      <c r="A52"/>
      <c r="B52"/>
      <c r="C52" s="6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"/>
      <c r="AM52" s="6"/>
      <c r="AN52" s="6"/>
      <c r="AO52" s="6"/>
      <c r="AP52" s="6"/>
      <c r="AQ52" s="6"/>
      <c r="AR52" s="6"/>
      <c r="BE52"/>
      <c r="BF52"/>
      <c r="BG52"/>
      <c r="BH52"/>
      <c r="BI52"/>
    </row>
    <row r="53" spans="1:61" x14ac:dyDescent="0.25">
      <c r="A53"/>
      <c r="B53"/>
      <c r="C53" s="6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"/>
      <c r="AM53" s="6"/>
      <c r="AN53" s="6"/>
      <c r="AO53" s="6"/>
      <c r="AP53" s="6"/>
      <c r="AQ53" s="6"/>
      <c r="AR53" s="6"/>
      <c r="BE53"/>
      <c r="BF53"/>
      <c r="BG53"/>
      <c r="BH53"/>
      <c r="BI53"/>
    </row>
    <row r="54" spans="1:61" x14ac:dyDescent="0.25">
      <c r="A54"/>
      <c r="B54"/>
      <c r="C54" s="6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"/>
      <c r="AM54" s="6"/>
      <c r="AN54" s="6"/>
      <c r="AO54" s="6"/>
      <c r="AP54" s="6"/>
      <c r="AQ54" s="6"/>
      <c r="AR54" s="6"/>
      <c r="BE54"/>
      <c r="BF54"/>
      <c r="BG54"/>
      <c r="BH54"/>
      <c r="BI54"/>
    </row>
    <row r="55" spans="1:61" x14ac:dyDescent="0.25">
      <c r="A55"/>
      <c r="B55"/>
      <c r="C55" s="6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"/>
      <c r="AM55" s="6"/>
      <c r="AN55" s="6"/>
      <c r="AO55" s="6"/>
      <c r="AP55" s="6"/>
      <c r="AQ55" s="6"/>
      <c r="AR55" s="6"/>
      <c r="BE55"/>
      <c r="BF55"/>
      <c r="BG55"/>
      <c r="BH55"/>
      <c r="BI55"/>
    </row>
    <row r="56" spans="1:61" x14ac:dyDescent="0.25">
      <c r="A56"/>
      <c r="B56"/>
      <c r="C56" s="6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"/>
      <c r="AM56" s="6"/>
      <c r="AN56" s="6"/>
      <c r="AO56" s="6"/>
      <c r="AP56" s="6"/>
      <c r="AQ56" s="6"/>
      <c r="AR56" s="6"/>
      <c r="BE56"/>
      <c r="BF56"/>
      <c r="BG56"/>
      <c r="BH56"/>
      <c r="BI56"/>
    </row>
    <row r="57" spans="1:61" x14ac:dyDescent="0.25">
      <c r="A57"/>
      <c r="B57"/>
      <c r="C57" s="6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"/>
      <c r="AM57" s="6"/>
      <c r="AN57" s="6"/>
      <c r="AO57" s="6"/>
      <c r="AP57" s="6"/>
      <c r="AQ57" s="6"/>
      <c r="AR57" s="6"/>
      <c r="BE57"/>
      <c r="BF57"/>
      <c r="BG57"/>
      <c r="BH57"/>
      <c r="BI57"/>
    </row>
    <row r="58" spans="1:61" x14ac:dyDescent="0.25">
      <c r="A58"/>
      <c r="B58"/>
      <c r="C58" s="6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"/>
      <c r="AM58" s="6"/>
      <c r="AN58" s="6"/>
      <c r="AO58" s="6"/>
      <c r="AP58" s="6"/>
      <c r="AQ58" s="6"/>
      <c r="AR58" s="6"/>
      <c r="BE58"/>
      <c r="BF58"/>
      <c r="BG58"/>
      <c r="BH58"/>
      <c r="BI58"/>
    </row>
    <row r="59" spans="1:61" x14ac:dyDescent="0.25">
      <c r="A59"/>
      <c r="B59"/>
      <c r="C59" s="6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"/>
      <c r="AM59" s="6"/>
      <c r="AN59" s="6"/>
      <c r="AO59" s="6"/>
      <c r="AP59" s="6"/>
      <c r="AQ59" s="6"/>
      <c r="AR59" s="6"/>
      <c r="BE59"/>
      <c r="BF59"/>
      <c r="BG59"/>
      <c r="BH59"/>
      <c r="BI59"/>
    </row>
    <row r="60" spans="1:61" x14ac:dyDescent="0.25">
      <c r="A60"/>
      <c r="B60"/>
      <c r="C60" s="6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"/>
      <c r="AM60" s="6"/>
      <c r="AN60" s="6"/>
      <c r="AO60" s="6"/>
      <c r="AP60" s="6"/>
      <c r="AQ60" s="6"/>
      <c r="AR60" s="6"/>
      <c r="BE60"/>
      <c r="BF60"/>
      <c r="BG60"/>
      <c r="BH60"/>
      <c r="BI60"/>
    </row>
    <row r="61" spans="1:61" x14ac:dyDescent="0.25">
      <c r="A61"/>
      <c r="B61"/>
      <c r="C61" s="6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"/>
      <c r="AM61" s="6"/>
      <c r="AN61" s="6"/>
      <c r="AO61" s="6"/>
      <c r="AP61" s="6"/>
      <c r="AQ61" s="6"/>
      <c r="AR61" s="6"/>
      <c r="BE61"/>
      <c r="BF61"/>
      <c r="BG61"/>
      <c r="BH61"/>
      <c r="BI61"/>
    </row>
    <row r="62" spans="1:61" x14ac:dyDescent="0.25">
      <c r="A62"/>
      <c r="B62"/>
      <c r="C62" s="6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"/>
      <c r="AM62" s="6"/>
      <c r="AN62" s="6"/>
      <c r="AO62" s="6"/>
      <c r="AP62" s="6"/>
      <c r="AQ62" s="6"/>
      <c r="AR62" s="6"/>
      <c r="BE62"/>
      <c r="BF62"/>
      <c r="BG62"/>
      <c r="BH62"/>
      <c r="BI62"/>
    </row>
    <row r="63" spans="1:61" x14ac:dyDescent="0.25">
      <c r="A63"/>
      <c r="B63"/>
      <c r="C63" s="6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"/>
      <c r="AM63" s="6"/>
      <c r="AN63" s="6"/>
      <c r="AO63" s="6"/>
      <c r="AP63" s="6"/>
      <c r="AQ63" s="6"/>
      <c r="AR63" s="6"/>
      <c r="BE63"/>
      <c r="BF63"/>
      <c r="BG63"/>
      <c r="BH63"/>
      <c r="BI63"/>
    </row>
    <row r="64" spans="1:61" x14ac:dyDescent="0.25">
      <c r="A64"/>
      <c r="B64"/>
      <c r="C64" s="6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"/>
      <c r="AM64" s="6"/>
      <c r="AN64" s="6"/>
      <c r="AO64" s="6"/>
      <c r="AP64" s="6"/>
      <c r="AQ64" s="6"/>
      <c r="AR64" s="6"/>
      <c r="BE64"/>
      <c r="BF64"/>
      <c r="BG64"/>
      <c r="BH64"/>
      <c r="BI64"/>
    </row>
    <row r="65" spans="1:61" x14ac:dyDescent="0.25">
      <c r="A65"/>
      <c r="B65"/>
      <c r="C65" s="6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"/>
      <c r="AM65" s="6"/>
      <c r="AN65" s="6"/>
      <c r="AO65" s="6"/>
      <c r="AP65" s="6"/>
      <c r="AQ65" s="6"/>
      <c r="AR65" s="6"/>
      <c r="BE65"/>
      <c r="BF65"/>
      <c r="BG65"/>
      <c r="BH65"/>
      <c r="BI65"/>
    </row>
    <row r="66" spans="1:61" x14ac:dyDescent="0.25">
      <c r="A66"/>
      <c r="B66"/>
      <c r="C66" s="6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"/>
      <c r="AM66" s="6"/>
      <c r="AN66" s="6"/>
      <c r="AO66" s="6"/>
      <c r="AP66" s="6"/>
      <c r="AQ66" s="6"/>
      <c r="AR66" s="6"/>
      <c r="BE66"/>
      <c r="BF66"/>
      <c r="BG66"/>
      <c r="BH66"/>
      <c r="BI66"/>
    </row>
    <row r="67" spans="1:61" x14ac:dyDescent="0.25">
      <c r="A67"/>
      <c r="B67"/>
      <c r="C67" s="6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"/>
      <c r="AM67" s="6"/>
      <c r="AN67" s="6"/>
      <c r="AO67" s="6"/>
      <c r="AP67" s="6"/>
      <c r="AQ67" s="6"/>
      <c r="AR67" s="6"/>
      <c r="BE67"/>
      <c r="BF67"/>
      <c r="BG67"/>
      <c r="BH67"/>
      <c r="BI67"/>
    </row>
    <row r="68" spans="1:61" x14ac:dyDescent="0.25">
      <c r="A68"/>
      <c r="B68"/>
      <c r="C68" s="6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"/>
      <c r="AM68" s="6"/>
      <c r="AN68" s="6"/>
      <c r="AO68" s="6"/>
      <c r="AP68" s="6"/>
      <c r="AQ68" s="6"/>
      <c r="AR68" s="6"/>
      <c r="BE68"/>
      <c r="BF68"/>
      <c r="BG68"/>
      <c r="BH68"/>
      <c r="BI68"/>
    </row>
    <row r="69" spans="1:61" x14ac:dyDescent="0.25">
      <c r="A69"/>
      <c r="B69"/>
      <c r="C69" s="6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"/>
      <c r="AM69" s="6"/>
      <c r="AN69" s="6"/>
      <c r="AO69" s="6"/>
      <c r="AP69" s="6"/>
      <c r="AQ69" s="6"/>
      <c r="AR69" s="6"/>
      <c r="BE69"/>
      <c r="BF69"/>
      <c r="BG69"/>
      <c r="BH69"/>
      <c r="BI69"/>
    </row>
    <row r="70" spans="1:61" x14ac:dyDescent="0.25">
      <c r="A70"/>
      <c r="B70"/>
      <c r="C70" s="6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"/>
      <c r="AM70" s="6"/>
      <c r="AN70" s="6"/>
      <c r="AO70" s="6"/>
      <c r="AP70" s="6"/>
      <c r="AQ70" s="6"/>
      <c r="AR70" s="6"/>
      <c r="BE70"/>
      <c r="BF70"/>
      <c r="BG70"/>
      <c r="BH70"/>
      <c r="BI70"/>
    </row>
    <row r="71" spans="1:61" x14ac:dyDescent="0.25">
      <c r="A71"/>
      <c r="B71"/>
      <c r="C71" s="6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"/>
      <c r="AM71" s="6"/>
      <c r="AN71" s="6"/>
      <c r="AO71" s="6"/>
      <c r="AP71" s="6"/>
      <c r="AQ71" s="6"/>
      <c r="AR71" s="6"/>
      <c r="BE71"/>
      <c r="BF71"/>
      <c r="BG71"/>
      <c r="BH71"/>
      <c r="BI71"/>
    </row>
    <row r="72" spans="1:61" x14ac:dyDescent="0.25">
      <c r="A72"/>
      <c r="B72"/>
      <c r="C72" s="6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"/>
      <c r="AM72" s="6"/>
      <c r="AN72" s="6"/>
      <c r="AO72" s="6"/>
      <c r="AP72" s="6"/>
      <c r="AQ72" s="6"/>
      <c r="AR72" s="6"/>
      <c r="BE72"/>
      <c r="BF72"/>
      <c r="BG72"/>
      <c r="BH72"/>
      <c r="BI72"/>
    </row>
    <row r="73" spans="1:61" x14ac:dyDescent="0.25">
      <c r="A73"/>
      <c r="B73"/>
      <c r="C73"/>
      <c r="BE73"/>
      <c r="BF73"/>
      <c r="BG73"/>
      <c r="BH73"/>
      <c r="BI73"/>
    </row>
    <row r="74" spans="1:61" x14ac:dyDescent="0.25">
      <c r="A74"/>
      <c r="B74"/>
      <c r="C74"/>
      <c r="BE74"/>
      <c r="BF74"/>
      <c r="BG74"/>
      <c r="BH74"/>
      <c r="BI74"/>
    </row>
    <row r="75" spans="1:61" x14ac:dyDescent="0.25">
      <c r="A75"/>
      <c r="B75"/>
      <c r="C75"/>
      <c r="BE75"/>
      <c r="BF75"/>
      <c r="BG75"/>
      <c r="BH75"/>
      <c r="BI75"/>
    </row>
    <row r="76" spans="1:61" x14ac:dyDescent="0.25">
      <c r="A76"/>
      <c r="B76"/>
      <c r="C76"/>
      <c r="BE76"/>
      <c r="BF76"/>
      <c r="BG76"/>
      <c r="BH76"/>
      <c r="BI76"/>
    </row>
    <row r="77" spans="1:61" x14ac:dyDescent="0.25">
      <c r="A77"/>
      <c r="B77"/>
      <c r="C77"/>
      <c r="BE77"/>
      <c r="BF77"/>
      <c r="BG77"/>
      <c r="BH77"/>
      <c r="BI77"/>
    </row>
    <row r="78" spans="1:61" ht="16.5" x14ac:dyDescent="0.3">
      <c r="A78"/>
      <c r="B78"/>
      <c r="C78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BE78"/>
      <c r="BF78"/>
      <c r="BG78"/>
      <c r="BH78"/>
      <c r="BI78"/>
    </row>
    <row r="79" spans="1:61" ht="16.5" x14ac:dyDescent="0.3">
      <c r="A79"/>
      <c r="B79"/>
      <c r="C79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BE79"/>
      <c r="BF79"/>
      <c r="BG79"/>
      <c r="BH79"/>
      <c r="BI79"/>
    </row>
    <row r="80" spans="1:61" ht="16.5" x14ac:dyDescent="0.3">
      <c r="A80"/>
      <c r="B80"/>
      <c r="C80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BE80"/>
      <c r="BF80"/>
      <c r="BG80"/>
      <c r="BH80"/>
      <c r="BI80"/>
    </row>
    <row r="81" spans="1:61" ht="16.5" x14ac:dyDescent="0.3">
      <c r="A81"/>
      <c r="B81"/>
      <c r="C8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BE81"/>
      <c r="BF81"/>
      <c r="BG81"/>
      <c r="BH81"/>
      <c r="BI81"/>
    </row>
    <row r="82" spans="1:61" ht="16.5" x14ac:dyDescent="0.3">
      <c r="A82"/>
      <c r="B82"/>
      <c r="C82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BE82"/>
      <c r="BF82"/>
      <c r="BG82"/>
      <c r="BH82"/>
      <c r="BI82"/>
    </row>
    <row r="83" spans="1:61" ht="16.5" x14ac:dyDescent="0.3">
      <c r="A83"/>
      <c r="B83"/>
      <c r="C83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BE83"/>
      <c r="BF83"/>
      <c r="BG83"/>
      <c r="BH83"/>
      <c r="BI83"/>
    </row>
    <row r="84" spans="1:61" ht="16.5" x14ac:dyDescent="0.3">
      <c r="A84"/>
      <c r="B84"/>
      <c r="C84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BE84"/>
      <c r="BF84"/>
      <c r="BG84"/>
      <c r="BH84"/>
      <c r="BI84"/>
    </row>
    <row r="85" spans="1:61" ht="16.5" x14ac:dyDescent="0.3">
      <c r="A85"/>
      <c r="B85"/>
      <c r="C85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BE85"/>
      <c r="BF85"/>
      <c r="BG85"/>
      <c r="BH85"/>
      <c r="BI85"/>
    </row>
    <row r="86" spans="1:61" ht="16.5" x14ac:dyDescent="0.3">
      <c r="A86"/>
      <c r="B86"/>
      <c r="C86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BE86"/>
      <c r="BF86"/>
      <c r="BG86"/>
      <c r="BH86"/>
      <c r="BI86"/>
    </row>
    <row r="87" spans="1:61" ht="16.5" x14ac:dyDescent="0.3">
      <c r="A87"/>
      <c r="B87"/>
      <c r="C87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</row>
    <row r="88" spans="1:61" ht="16.5" x14ac:dyDescent="0.3">
      <c r="A88"/>
      <c r="B88"/>
      <c r="C88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</row>
    <row r="89" spans="1:61" ht="16.5" x14ac:dyDescent="0.3">
      <c r="A89"/>
      <c r="B89"/>
      <c r="C89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</row>
    <row r="90" spans="1:61" x14ac:dyDescent="0.25">
      <c r="A90"/>
      <c r="B90"/>
      <c r="C90"/>
    </row>
    <row r="91" spans="1:61" x14ac:dyDescent="0.25">
      <c r="A91"/>
      <c r="B91"/>
      <c r="C91"/>
    </row>
    <row r="92" spans="1:61" x14ac:dyDescent="0.25">
      <c r="A92"/>
      <c r="B92"/>
      <c r="C92"/>
    </row>
    <row r="93" spans="1:61" x14ac:dyDescent="0.25">
      <c r="A93"/>
      <c r="B93"/>
      <c r="C93"/>
    </row>
    <row r="94" spans="1:61" x14ac:dyDescent="0.25">
      <c r="A94"/>
      <c r="B94"/>
      <c r="C94"/>
    </row>
    <row r="95" spans="1:61" x14ac:dyDescent="0.25">
      <c r="A95"/>
      <c r="B95"/>
      <c r="C95"/>
    </row>
    <row r="96" spans="1:61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N6:N16">
    <cfRule type="cellIs" dxfId="3" priority="1" operator="equal">
      <formula>$N$17</formula>
    </cfRule>
  </conditionalFormatting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77ED-78CA-4C48-85AC-14AAFB9FCB40}">
  <dimension ref="A1:BF299"/>
  <sheetViews>
    <sheetView zoomScale="96" zoomScaleNormal="96" workbookViewId="0">
      <selection sqref="A1:XFD1"/>
    </sheetView>
  </sheetViews>
  <sheetFormatPr defaultColWidth="9.140625" defaultRowHeight="15" x14ac:dyDescent="0.25"/>
  <cols>
    <col min="1" max="1" width="4.5703125" style="57" bestFit="1" customWidth="1"/>
    <col min="2" max="2" width="9.7109375" style="57" bestFit="1" customWidth="1"/>
    <col min="3" max="3" width="13" style="57" customWidth="1"/>
    <col min="4" max="4" width="8.7109375" style="57" customWidth="1"/>
    <col min="5" max="5" width="12.42578125" style="57" bestFit="1" customWidth="1"/>
    <col min="6" max="6" width="9.7109375" style="57" customWidth="1"/>
    <col min="7" max="7" width="9.140625" style="57"/>
    <col min="8" max="8" width="12.140625" style="57" bestFit="1" customWidth="1"/>
    <col min="9" max="9" width="23.85546875" style="57" bestFit="1" customWidth="1"/>
    <col min="10" max="10" width="27.85546875" style="57" bestFit="1" customWidth="1"/>
    <col min="11" max="11" width="16.85546875" style="57" customWidth="1"/>
    <col min="12" max="12" width="4.140625" style="57" bestFit="1" customWidth="1"/>
    <col min="13" max="13" width="5.140625" style="57" bestFit="1" customWidth="1"/>
    <col min="14" max="14" width="9.28515625" style="57" bestFit="1" customWidth="1"/>
    <col min="15" max="25" width="6.42578125" style="57" customWidth="1"/>
    <col min="26" max="30" width="9.140625" style="57"/>
    <col min="31" max="31" width="9.140625" style="57" customWidth="1"/>
    <col min="32" max="34" width="9.140625" style="57"/>
    <col min="35" max="35" width="9.28515625" bestFit="1" customWidth="1"/>
    <col min="36" max="36" width="14" customWidth="1"/>
    <col min="37" max="37" width="12.28515625" customWidth="1"/>
    <col min="38" max="38" width="10.140625" bestFit="1" customWidth="1"/>
    <col min="39" max="39" width="10.140625" customWidth="1"/>
    <col min="40" max="42" width="9.28515625" customWidth="1"/>
    <col min="43" max="43" width="9.28515625" bestFit="1" customWidth="1"/>
    <col min="44" max="44" width="12.28515625" bestFit="1" customWidth="1"/>
    <col min="54" max="16384" width="9.140625" style="57"/>
  </cols>
  <sheetData>
    <row r="1" spans="1:58" customFormat="1" ht="17.25" thickBot="1" x14ac:dyDescent="0.35">
      <c r="A1" s="61" t="s">
        <v>170</v>
      </c>
      <c r="B1" s="63" t="s">
        <v>0</v>
      </c>
      <c r="C1" s="89" t="s">
        <v>67</v>
      </c>
      <c r="D1" s="89" t="s">
        <v>19</v>
      </c>
      <c r="E1" s="1" t="s">
        <v>108</v>
      </c>
      <c r="F1" s="1" t="s">
        <v>111</v>
      </c>
      <c r="G1" s="1" t="s">
        <v>113</v>
      </c>
      <c r="H1" s="57"/>
      <c r="I1" s="57"/>
      <c r="J1" s="57"/>
      <c r="K1" s="57"/>
      <c r="O1" s="57" t="s">
        <v>150</v>
      </c>
      <c r="P1" s="161" t="s">
        <v>154</v>
      </c>
      <c r="Q1" s="123">
        <v>0.5</v>
      </c>
      <c r="R1" s="57" t="s">
        <v>288</v>
      </c>
    </row>
    <row r="2" spans="1:58" customFormat="1" x14ac:dyDescent="0.25">
      <c r="A2" s="57">
        <v>0</v>
      </c>
      <c r="B2" s="57"/>
      <c r="C2" s="331">
        <f>B3</f>
        <v>19</v>
      </c>
      <c r="D2" s="333">
        <f>(B30-B3)/(A30-1)</f>
        <v>2.4814814814814814</v>
      </c>
      <c r="E2" s="89"/>
      <c r="F2" s="89"/>
      <c r="G2" s="89"/>
      <c r="H2" s="57"/>
      <c r="I2" s="330" t="str">
        <f ca="1">_xlfn.FORMULATEXT(C2)</f>
        <v>=B3</v>
      </c>
      <c r="J2" s="332" t="str">
        <f ca="1">_xlfn.FORMULATEXT(D2)</f>
        <v>=(B30-B3)/(A30-1)</v>
      </c>
      <c r="K2" s="7"/>
      <c r="O2" s="57" t="s">
        <v>148</v>
      </c>
      <c r="P2" s="161" t="s">
        <v>156</v>
      </c>
      <c r="Q2" s="7">
        <v>0.3</v>
      </c>
      <c r="AA2" s="57"/>
      <c r="AB2" s="57"/>
      <c r="AC2" s="57"/>
      <c r="AD2" s="57"/>
      <c r="AE2" s="57"/>
      <c r="AF2" s="57"/>
      <c r="AG2" s="57"/>
      <c r="AH2" s="57"/>
      <c r="BB2" s="57"/>
      <c r="BC2" s="57"/>
      <c r="BD2" s="57"/>
      <c r="BE2" s="57"/>
      <c r="BF2" s="57"/>
    </row>
    <row r="3" spans="1:58" customFormat="1" ht="16.5" x14ac:dyDescent="0.3">
      <c r="A3" s="121">
        <v>1</v>
      </c>
      <c r="B3" s="73">
        <v>19</v>
      </c>
      <c r="C3" s="335">
        <f>(1-$Q$1)*E3+$Q$1*B3</f>
        <v>20.24074074074074</v>
      </c>
      <c r="D3" s="337">
        <f>(1-$Q$2)*D2+$Q$2*(C3-C2)</f>
        <v>2.1092592592592592</v>
      </c>
      <c r="E3" s="339">
        <f>C2+D2</f>
        <v>21.481481481481481</v>
      </c>
      <c r="F3" s="119">
        <f t="shared" ref="F3:F30" si="0">(B3-E3)^2</f>
        <v>6.1577503429355254</v>
      </c>
      <c r="G3" s="119">
        <f>AVERAGE(F$3:F3)</f>
        <v>6.1577503429355254</v>
      </c>
      <c r="H3" s="57"/>
      <c r="I3" s="334" t="str">
        <f ca="1">_xlfn.FORMULATEXT(C3)</f>
        <v>=(1-$Q$1)*E3+$Q$1*B3</v>
      </c>
      <c r="J3" s="336" t="str">
        <f ca="1">_xlfn.FORMULATEXT(D3)</f>
        <v>=(1-$Q$2)*D2+$Q$2*(C3-C2)</v>
      </c>
      <c r="K3" s="338" t="str">
        <f ca="1">_xlfn.FORMULATEXT(E3)</f>
        <v>=C2+D2</v>
      </c>
      <c r="L3" s="57"/>
      <c r="N3">
        <v>0.8</v>
      </c>
      <c r="AA3" s="57"/>
      <c r="AB3" s="57"/>
      <c r="AC3" s="57"/>
      <c r="AD3" s="57"/>
      <c r="AE3" s="57"/>
      <c r="AF3" s="57"/>
      <c r="AG3" s="57"/>
      <c r="AH3" s="57"/>
      <c r="BB3" s="57"/>
      <c r="BC3" s="57"/>
      <c r="BD3" s="57"/>
      <c r="BE3" s="57"/>
      <c r="BF3" s="57"/>
    </row>
    <row r="4" spans="1:58" customFormat="1" ht="16.5" x14ac:dyDescent="0.3">
      <c r="A4" s="121">
        <v>2</v>
      </c>
      <c r="B4" s="73">
        <v>21</v>
      </c>
      <c r="C4" s="215">
        <f>(1-$Q$1)*E4+$Q$1*B4</f>
        <v>21.675000000000001</v>
      </c>
      <c r="D4" s="104">
        <f>(1-$Q$2)*D3+$Q$2*(C4-C3)</f>
        <v>1.9067592592592593</v>
      </c>
      <c r="E4" s="119">
        <f t="shared" ref="E4:E30" si="1">C3+D3</f>
        <v>22.35</v>
      </c>
      <c r="F4" s="119">
        <f t="shared" si="0"/>
        <v>1.8225000000000038</v>
      </c>
      <c r="G4" s="119">
        <f>AVERAGE(F$3:F4)</f>
        <v>3.9901251714677644</v>
      </c>
      <c r="H4" s="57"/>
      <c r="I4" s="119"/>
      <c r="J4" s="57"/>
      <c r="K4" s="57"/>
      <c r="L4" s="57"/>
      <c r="N4">
        <v>0.01</v>
      </c>
      <c r="AA4" s="57"/>
      <c r="AB4" s="57"/>
      <c r="AC4" s="57"/>
      <c r="AD4" s="57"/>
      <c r="AE4" s="57"/>
      <c r="AF4" s="57"/>
      <c r="AG4" s="57"/>
      <c r="AH4" s="57"/>
      <c r="BB4" s="57"/>
      <c r="BC4" s="57"/>
      <c r="BD4" s="57"/>
      <c r="BE4" s="57"/>
      <c r="BF4" s="57"/>
    </row>
    <row r="5" spans="1:58" customFormat="1" ht="16.5" x14ac:dyDescent="0.3">
      <c r="A5" s="121">
        <v>3</v>
      </c>
      <c r="B5" s="73">
        <v>25</v>
      </c>
      <c r="C5" s="215">
        <f>(1-$Q$1)*E5+$Q$1*B5</f>
        <v>24.290879629629629</v>
      </c>
      <c r="D5" s="104">
        <f>(1-$Q$2)*D4+$Q$2*(C5-C4)</f>
        <v>2.1194953703703696</v>
      </c>
      <c r="E5" s="119">
        <f t="shared" si="1"/>
        <v>23.581759259259261</v>
      </c>
      <c r="F5" s="119">
        <f t="shared" si="0"/>
        <v>2.0114067986968398</v>
      </c>
      <c r="G5" s="119">
        <f>AVERAGE(F$3:F5)</f>
        <v>3.3305523805441228</v>
      </c>
      <c r="H5" s="57"/>
      <c r="I5" s="119"/>
      <c r="J5" s="57"/>
      <c r="K5" s="57"/>
      <c r="L5" s="57">
        <v>0.5</v>
      </c>
      <c r="M5">
        <v>0.01</v>
      </c>
      <c r="N5" s="118">
        <f>G30</f>
        <v>5.5312808166363157</v>
      </c>
      <c r="O5">
        <f>L5</f>
        <v>0.5</v>
      </c>
      <c r="P5">
        <f>O5+$M$5</f>
        <v>0.51</v>
      </c>
      <c r="Q5">
        <f t="shared" ref="Q5:Y5" si="2">P5+$M$5</f>
        <v>0.52</v>
      </c>
      <c r="R5">
        <f t="shared" si="2"/>
        <v>0.53</v>
      </c>
      <c r="S5">
        <f t="shared" si="2"/>
        <v>0.54</v>
      </c>
      <c r="T5">
        <f t="shared" si="2"/>
        <v>0.55000000000000004</v>
      </c>
      <c r="U5">
        <f t="shared" si="2"/>
        <v>0.56000000000000005</v>
      </c>
      <c r="V5">
        <f t="shared" si="2"/>
        <v>0.57000000000000006</v>
      </c>
      <c r="W5">
        <f>V5+$M$5</f>
        <v>0.58000000000000007</v>
      </c>
      <c r="X5">
        <f t="shared" si="2"/>
        <v>0.59000000000000008</v>
      </c>
      <c r="Y5">
        <f t="shared" si="2"/>
        <v>0.60000000000000009</v>
      </c>
      <c r="AA5" s="57"/>
      <c r="AB5" s="57"/>
      <c r="AC5" s="57"/>
      <c r="AD5" s="57"/>
      <c r="AE5" s="57"/>
      <c r="AF5" s="57"/>
      <c r="AG5" s="57"/>
      <c r="AH5" s="57"/>
      <c r="BB5" s="57"/>
      <c r="BC5" s="57"/>
      <c r="BD5" s="57"/>
      <c r="BE5" s="57"/>
      <c r="BF5" s="57"/>
    </row>
    <row r="6" spans="1:58" customFormat="1" ht="16.5" x14ac:dyDescent="0.3">
      <c r="A6" s="121">
        <v>4</v>
      </c>
      <c r="B6" s="73">
        <v>29</v>
      </c>
      <c r="C6" s="215">
        <f>(1-$Q$1)*E6+$Q$1*B6</f>
        <v>27.705187500000001</v>
      </c>
      <c r="D6" s="104">
        <f>(1-$Q$2)*D5+$Q$2*(C6-C5)</f>
        <v>2.50793912037037</v>
      </c>
      <c r="E6" s="119">
        <f t="shared" si="1"/>
        <v>26.410374999999998</v>
      </c>
      <c r="F6" s="119">
        <f t="shared" si="0"/>
        <v>6.7061576406250083</v>
      </c>
      <c r="G6" s="119">
        <f>AVERAGE(F$3:F6)</f>
        <v>4.1744536955643436</v>
      </c>
      <c r="H6" s="57"/>
      <c r="I6" s="119"/>
      <c r="J6" s="57"/>
      <c r="K6" s="57"/>
      <c r="L6" s="57"/>
      <c r="N6">
        <f>N3</f>
        <v>0.8</v>
      </c>
      <c r="O6" s="327">
        <f t="dataTable" ref="O6:Y16" dt2D="1" dtr="1" r1="Q2" r2="Q1"/>
        <v>3.6540933430495377</v>
      </c>
      <c r="P6" s="327">
        <v>3.6503812974238885</v>
      </c>
      <c r="Q6" s="327">
        <v>3.6473066019605072</v>
      </c>
      <c r="R6" s="327">
        <v>3.6448489281501648</v>
      </c>
      <c r="S6" s="327">
        <v>3.6429893895316079</v>
      </c>
      <c r="T6" s="327">
        <v>3.6417104461138368</v>
      </c>
      <c r="U6" s="327">
        <v>3.6409958160271261</v>
      </c>
      <c r="V6" s="327">
        <v>3.6408303938501163</v>
      </c>
      <c r="W6" s="327">
        <v>3.6412001750660572</v>
      </c>
      <c r="X6" s="327">
        <v>3.6420921861215043</v>
      </c>
      <c r="Y6" s="327">
        <v>3.64349441959124</v>
      </c>
      <c r="AA6" s="57"/>
      <c r="AB6" s="57"/>
      <c r="AC6" s="57"/>
      <c r="AD6" s="57"/>
      <c r="AE6" s="57"/>
      <c r="AF6" s="57"/>
      <c r="AG6" s="57"/>
      <c r="AH6" s="57"/>
      <c r="BB6" s="57"/>
      <c r="BC6" s="57"/>
      <c r="BD6" s="57"/>
      <c r="BE6" s="57"/>
      <c r="BF6" s="57"/>
    </row>
    <row r="7" spans="1:58" customFormat="1" ht="16.5" x14ac:dyDescent="0.3">
      <c r="A7" s="121">
        <v>5</v>
      </c>
      <c r="B7" s="73">
        <v>30</v>
      </c>
      <c r="C7" s="215">
        <f>(1-$Q$1)*E7+$Q$1*B7</f>
        <v>30.106563310185187</v>
      </c>
      <c r="D7" s="104">
        <f>(1-$Q$2)*D6+$Q$2*(C7-C6)</f>
        <v>2.4759701273148149</v>
      </c>
      <c r="E7" s="119">
        <f t="shared" si="1"/>
        <v>30.213126620370371</v>
      </c>
      <c r="F7" s="119">
        <f t="shared" si="0"/>
        <v>4.542295631049624E-2</v>
      </c>
      <c r="G7" s="119">
        <f>AVERAGE(F$3:F7)</f>
        <v>3.3486475477135742</v>
      </c>
      <c r="H7" s="57"/>
      <c r="I7" s="119"/>
      <c r="J7" s="57"/>
      <c r="K7" s="57"/>
      <c r="L7" s="57"/>
      <c r="N7">
        <f>N6+$N$4</f>
        <v>0.81</v>
      </c>
      <c r="O7" s="327">
        <v>3.6473290471800262</v>
      </c>
      <c r="P7" s="327">
        <v>3.6443747098206414</v>
      </c>
      <c r="Q7" s="327">
        <v>3.6420589225764886</v>
      </c>
      <c r="R7" s="327">
        <v>3.640361960272144</v>
      </c>
      <c r="S7" s="327">
        <v>3.6392655155474825</v>
      </c>
      <c r="T7" s="327">
        <v>3.6387526049664278</v>
      </c>
      <c r="U7" s="327">
        <v>3.6388074821387408</v>
      </c>
      <c r="V7" s="327">
        <v>3.6394155573285354</v>
      </c>
      <c r="W7" s="327">
        <v>3.6405633230299483</v>
      </c>
      <c r="X7" s="327">
        <v>3.6422382850095896</v>
      </c>
      <c r="Y7" s="327">
        <v>3.6444288983445423</v>
      </c>
      <c r="AA7" s="57"/>
      <c r="AB7" s="57"/>
      <c r="AC7" s="57"/>
      <c r="AD7" s="57"/>
      <c r="AE7" s="57"/>
      <c r="AF7" s="57"/>
      <c r="AG7" s="57"/>
      <c r="AH7" s="57"/>
      <c r="BB7" s="57"/>
      <c r="BC7" s="57"/>
      <c r="BD7" s="57"/>
      <c r="BE7" s="57"/>
      <c r="BF7" s="57"/>
    </row>
    <row r="8" spans="1:58" customFormat="1" ht="16.5" x14ac:dyDescent="0.3">
      <c r="A8" s="121">
        <v>6</v>
      </c>
      <c r="B8" s="73">
        <v>35</v>
      </c>
      <c r="C8" s="215">
        <f>(1-$Q$1)*E8+$Q$1*B8</f>
        <v>33.791266718750002</v>
      </c>
      <c r="D8" s="104">
        <f>(1-$Q$2)*D7+$Q$2*(C8-C7)</f>
        <v>2.8385901116898147</v>
      </c>
      <c r="E8" s="119">
        <f t="shared" si="1"/>
        <v>32.582533437500004</v>
      </c>
      <c r="F8" s="119">
        <f t="shared" si="0"/>
        <v>5.8441445808055468</v>
      </c>
      <c r="G8" s="119">
        <f>AVERAGE(F$3:F8)</f>
        <v>3.7645637198955697</v>
      </c>
      <c r="H8" s="57"/>
      <c r="I8" s="119"/>
      <c r="J8" s="57"/>
      <c r="K8" s="57"/>
      <c r="L8" s="57"/>
      <c r="N8">
        <f t="shared" ref="N8:N16" si="3">N7+$N$4</f>
        <v>0.82000000000000006</v>
      </c>
      <c r="O8" s="327">
        <v>3.6422420237298776</v>
      </c>
      <c r="P8" s="327">
        <v>3.6400600277210358</v>
      </c>
      <c r="Q8" s="327">
        <v>3.6385184386290375</v>
      </c>
      <c r="R8" s="327">
        <v>3.6375981278823795</v>
      </c>
      <c r="S8" s="327">
        <v>3.6372813609639496</v>
      </c>
      <c r="T8" s="327">
        <v>3.6375517051497774</v>
      </c>
      <c r="U8" s="327">
        <v>3.6383939440665629</v>
      </c>
      <c r="V8" s="327">
        <v>3.6397939985663803</v>
      </c>
      <c r="W8" s="327">
        <v>3.6417388534231163</v>
      </c>
      <c r="X8" s="327">
        <v>3.6442164893744047</v>
      </c>
      <c r="Y8" s="327">
        <v>3.6472158200596962</v>
      </c>
      <c r="AA8" s="57"/>
      <c r="AB8" s="57"/>
      <c r="AC8" s="57"/>
      <c r="AD8" s="57"/>
      <c r="AE8" s="57"/>
      <c r="AF8" s="57"/>
      <c r="AG8" s="57"/>
      <c r="AH8" s="57"/>
      <c r="BB8" s="57"/>
      <c r="BC8" s="57"/>
      <c r="BD8" s="57"/>
      <c r="BE8" s="57"/>
      <c r="BF8" s="57"/>
    </row>
    <row r="9" spans="1:58" customFormat="1" ht="16.5" x14ac:dyDescent="0.3">
      <c r="A9" s="121">
        <v>7</v>
      </c>
      <c r="B9" s="73">
        <v>35</v>
      </c>
      <c r="C9" s="215">
        <f>(1-$Q$1)*E9+$Q$1*B9</f>
        <v>35.81492841521991</v>
      </c>
      <c r="D9" s="104">
        <f>(1-$Q$2)*D8+$Q$2*(C9-C8)</f>
        <v>2.5941115871238427</v>
      </c>
      <c r="E9" s="119">
        <f t="shared" si="1"/>
        <v>36.62985683043982</v>
      </c>
      <c r="F9" s="119">
        <f t="shared" si="0"/>
        <v>2.6564332877313368</v>
      </c>
      <c r="G9" s="119">
        <f>AVERAGE(F$3:F9)</f>
        <v>3.6062593724435361</v>
      </c>
      <c r="H9" s="57"/>
      <c r="I9" s="119"/>
      <c r="J9" s="57"/>
      <c r="K9" s="57"/>
      <c r="L9" s="57"/>
      <c r="N9">
        <f t="shared" si="3"/>
        <v>0.83000000000000007</v>
      </c>
      <c r="O9" s="327">
        <v>3.6388299808147457</v>
      </c>
      <c r="P9" s="327">
        <v>3.6374358338923369</v>
      </c>
      <c r="Q9" s="327">
        <v>3.6366846137367781</v>
      </c>
      <c r="R9" s="327">
        <v>3.6365577825472757</v>
      </c>
      <c r="S9" s="327">
        <v>3.6370381733602293</v>
      </c>
      <c r="T9" s="327">
        <v>3.6381098993749008</v>
      </c>
      <c r="U9" s="327">
        <v>3.6397582699227864</v>
      </c>
      <c r="V9" s="327">
        <v>3.6419697126010631</v>
      </c>
      <c r="W9" s="327">
        <v>3.6447317010972244</v>
      </c>
      <c r="X9" s="327">
        <v>3.6480326882495846</v>
      </c>
      <c r="Y9" s="327">
        <v>3.6518620439145941</v>
      </c>
      <c r="AA9" s="57"/>
      <c r="AB9" s="57"/>
      <c r="AC9" s="57"/>
      <c r="AD9" s="57"/>
      <c r="AE9" s="57"/>
      <c r="AF9" s="57"/>
      <c r="AG9" s="57"/>
      <c r="AH9" s="57"/>
      <c r="BB9" s="57"/>
      <c r="BC9" s="57"/>
      <c r="BD9" s="57"/>
      <c r="BE9" s="57"/>
      <c r="BF9" s="57"/>
    </row>
    <row r="10" spans="1:58" customFormat="1" ht="16.5" x14ac:dyDescent="0.3">
      <c r="A10" s="121">
        <v>8</v>
      </c>
      <c r="B10" s="73">
        <v>36</v>
      </c>
      <c r="C10" s="215">
        <f>(1-$Q$1)*E10+$Q$1*B10</f>
        <v>37.204520001171872</v>
      </c>
      <c r="D10" s="104">
        <f>(1-$Q$2)*D9+$Q$2*(C10-C9)</f>
        <v>2.2327555867722784</v>
      </c>
      <c r="E10" s="119">
        <f t="shared" si="1"/>
        <v>38.409040002343751</v>
      </c>
      <c r="F10" s="119">
        <f t="shared" si="0"/>
        <v>5.80347373289238</v>
      </c>
      <c r="G10" s="119">
        <f>AVERAGE(F$3:F10)</f>
        <v>3.8809111674996419</v>
      </c>
      <c r="H10" s="57"/>
      <c r="I10" s="119"/>
      <c r="J10" s="57"/>
      <c r="K10" s="57"/>
      <c r="L10" s="57"/>
      <c r="N10">
        <f t="shared" si="3"/>
        <v>0.84000000000000008</v>
      </c>
      <c r="O10" s="327">
        <v>3.6370928108363532</v>
      </c>
      <c r="P10" s="327">
        <v>3.6365029312230162</v>
      </c>
      <c r="Q10" s="327">
        <v>3.6365591708180083</v>
      </c>
      <c r="R10" s="327">
        <v>3.6372435778796772</v>
      </c>
      <c r="S10" s="327">
        <v>3.6385395489091681</v>
      </c>
      <c r="T10" s="327">
        <v>3.6404317395314449</v>
      </c>
      <c r="U10" s="327">
        <v>3.6429059818616403</v>
      </c>
      <c r="V10" s="327">
        <v>3.6459492078972739</v>
      </c>
      <c r="W10" s="327">
        <v>3.6495493784831994</v>
      </c>
      <c r="X10" s="327">
        <v>3.6536954174135494</v>
      </c>
      <c r="Y10" s="327">
        <v>3.6583771502590059</v>
      </c>
      <c r="AA10" s="57"/>
      <c r="AB10" s="57"/>
      <c r="AC10" s="57"/>
      <c r="AD10" s="57"/>
      <c r="AE10" s="57"/>
      <c r="AF10" s="57"/>
      <c r="AG10" s="57"/>
      <c r="AH10" s="57"/>
      <c r="BB10" s="57"/>
      <c r="BC10" s="57"/>
      <c r="BD10" s="57"/>
      <c r="BE10" s="57"/>
      <c r="BF10" s="57"/>
    </row>
    <row r="11" spans="1:58" customFormat="1" ht="16.5" x14ac:dyDescent="0.3">
      <c r="A11" s="121">
        <v>9</v>
      </c>
      <c r="B11" s="73">
        <v>36</v>
      </c>
      <c r="C11" s="215">
        <f>(1-$Q$1)*E11+$Q$1*B11</f>
        <v>37.718637793972078</v>
      </c>
      <c r="D11" s="104">
        <f>(1-$Q$2)*D10+$Q$2*(C11-C10)</f>
        <v>1.7171642485806569</v>
      </c>
      <c r="E11" s="119">
        <f t="shared" si="1"/>
        <v>39.43727558794415</v>
      </c>
      <c r="F11" s="119">
        <f t="shared" si="0"/>
        <v>11.814863467476801</v>
      </c>
      <c r="G11" s="119">
        <f>AVERAGE(F$3:F11)</f>
        <v>4.7624614230526596</v>
      </c>
      <c r="H11" s="57"/>
      <c r="I11" s="119"/>
      <c r="J11" s="57"/>
      <c r="K11" s="57"/>
      <c r="L11" s="57"/>
      <c r="N11">
        <f t="shared" si="3"/>
        <v>0.85000000000000009</v>
      </c>
      <c r="O11" s="327">
        <v>3.6370326421092942</v>
      </c>
      <c r="P11" s="327">
        <v>3.6372644025661702</v>
      </c>
      <c r="Q11" s="327">
        <v>3.6381461605499363</v>
      </c>
      <c r="R11" s="327">
        <v>3.639660547018837</v>
      </c>
      <c r="S11" s="327">
        <v>3.6417915192881027</v>
      </c>
      <c r="T11" s="327">
        <v>3.6445242734450995</v>
      </c>
      <c r="U11" s="327">
        <v>3.6478451631060671</v>
      </c>
      <c r="V11" s="327">
        <v>3.6517416240731473</v>
      </c>
      <c r="W11" s="327">
        <v>3.6562021044568569</v>
      </c>
      <c r="X11" s="327">
        <v>3.6612159998454019</v>
      </c>
      <c r="Y11" s="327">
        <v>3.6667735931252268</v>
      </c>
      <c r="AA11" s="57"/>
      <c r="AB11" s="57"/>
      <c r="AC11" s="57"/>
      <c r="AD11" s="57"/>
      <c r="AE11" s="57"/>
      <c r="AF11" s="57"/>
      <c r="AG11" s="57"/>
      <c r="AH11" s="57"/>
      <c r="BB11" s="57"/>
      <c r="BC11" s="57"/>
      <c r="BD11" s="57"/>
      <c r="BE11" s="57"/>
      <c r="BF11" s="57"/>
    </row>
    <row r="12" spans="1:58" customFormat="1" ht="16.5" x14ac:dyDescent="0.3">
      <c r="A12" s="121">
        <v>10</v>
      </c>
      <c r="B12" s="73">
        <v>37</v>
      </c>
      <c r="C12" s="215">
        <f>(1-$Q$1)*E12+$Q$1*B12</f>
        <v>38.217901021276369</v>
      </c>
      <c r="D12" s="104">
        <f>(1-$Q$2)*D11+$Q$2*(C12-C11)</f>
        <v>1.3517939421977467</v>
      </c>
      <c r="E12" s="119">
        <f t="shared" si="1"/>
        <v>39.435802042552737</v>
      </c>
      <c r="F12" s="119">
        <f t="shared" si="0"/>
        <v>5.933131590504086</v>
      </c>
      <c r="G12" s="119">
        <f>AVERAGE(F$3:F12)</f>
        <v>4.8795284397978023</v>
      </c>
      <c r="H12" s="57"/>
      <c r="I12" s="119"/>
      <c r="J12" s="57"/>
      <c r="K12" s="57"/>
      <c r="L12" s="57"/>
      <c r="N12">
        <f t="shared" si="3"/>
        <v>0.8600000000000001</v>
      </c>
      <c r="O12" s="327">
        <v>3.6386539057873155</v>
      </c>
      <c r="P12" s="327">
        <v>3.6397256862885969</v>
      </c>
      <c r="Q12" s="327">
        <v>3.6414520459472071</v>
      </c>
      <c r="R12" s="327">
        <v>3.643816196652264</v>
      </c>
      <c r="S12" s="327">
        <v>3.6468026555658182</v>
      </c>
      <c r="T12" s="327">
        <v>3.6503971590600934</v>
      </c>
      <c r="U12" s="327">
        <v>3.6545865828652873</v>
      </c>
      <c r="V12" s="327">
        <v>3.6593588680035287</v>
      </c>
      <c r="W12" s="327">
        <v>3.6647029520905035</v>
      </c>
      <c r="X12" s="327">
        <v>3.6706087056017624</v>
      </c>
      <c r="Y12" s="327">
        <v>3.6770668727224605</v>
      </c>
      <c r="AA12" s="57"/>
      <c r="AB12" s="57"/>
      <c r="AC12" s="57"/>
      <c r="AD12" s="57"/>
      <c r="AE12" s="57"/>
      <c r="AF12" s="57"/>
      <c r="AG12" s="57"/>
      <c r="AH12" s="57"/>
      <c r="BB12" s="57"/>
      <c r="BC12" s="57"/>
      <c r="BD12" s="57"/>
      <c r="BE12" s="57"/>
      <c r="BF12" s="57"/>
    </row>
    <row r="13" spans="1:58" customFormat="1" ht="16.5" x14ac:dyDescent="0.3">
      <c r="A13" s="121">
        <v>11</v>
      </c>
      <c r="B13" s="73">
        <v>39</v>
      </c>
      <c r="C13" s="215">
        <f>(1-$Q$1)*E13+$Q$1*B13</f>
        <v>39.28484748173706</v>
      </c>
      <c r="D13" s="104">
        <f>(1-$Q$2)*D12+$Q$2*(C13-C12)</f>
        <v>1.2663396976766301</v>
      </c>
      <c r="E13" s="119">
        <f t="shared" si="1"/>
        <v>39.569694963474113</v>
      </c>
      <c r="F13" s="119">
        <f t="shared" si="0"/>
        <v>0.32455235140777106</v>
      </c>
      <c r="G13" s="119">
        <f>AVERAGE(F$3:F13)</f>
        <v>4.4654397044896177</v>
      </c>
      <c r="H13" s="57"/>
      <c r="I13" s="119"/>
      <c r="J13" s="57"/>
      <c r="K13" s="57"/>
      <c r="L13" s="57"/>
      <c r="N13">
        <f t="shared" si="3"/>
        <v>0.87000000000000011</v>
      </c>
      <c r="O13" s="327">
        <v>3.6419634178917071</v>
      </c>
      <c r="P13" s="327">
        <v>3.6438946673473986</v>
      </c>
      <c r="Q13" s="327">
        <v>3.6464858029045284</v>
      </c>
      <c r="R13" s="327">
        <v>3.6497206174521013</v>
      </c>
      <c r="S13" s="327">
        <v>3.6535841889708287</v>
      </c>
      <c r="T13" s="327">
        <v>3.6580627959884606</v>
      </c>
      <c r="U13" s="327">
        <v>3.6631438391265179</v>
      </c>
      <c r="V13" s="327">
        <v>3.6688157683288933</v>
      </c>
      <c r="W13" s="327">
        <v>3.6750680153690172</v>
      </c>
      <c r="X13" s="327">
        <v>3.6818909312464352</v>
      </c>
      <c r="Y13" s="327">
        <v>3.6892757281048683</v>
      </c>
      <c r="AA13" s="57"/>
      <c r="AB13" s="57"/>
      <c r="AC13" s="57"/>
      <c r="AD13" s="57"/>
      <c r="AE13" s="57"/>
      <c r="AF13" s="57"/>
      <c r="AG13" s="57"/>
      <c r="AH13" s="57"/>
      <c r="BB13" s="57"/>
      <c r="BC13" s="57"/>
      <c r="BD13" s="57"/>
      <c r="BE13" s="57"/>
      <c r="BF13" s="57"/>
    </row>
    <row r="14" spans="1:58" customFormat="1" ht="16.5" x14ac:dyDescent="0.3">
      <c r="A14" s="121">
        <v>12</v>
      </c>
      <c r="B14" s="73">
        <v>41</v>
      </c>
      <c r="C14" s="215">
        <f>(1-$Q$1)*E14+$Q$1*B14</f>
        <v>40.775593589706844</v>
      </c>
      <c r="D14" s="104">
        <f>(1-$Q$2)*D13+$Q$2*(C14-C13)</f>
        <v>1.3336616207645762</v>
      </c>
      <c r="E14" s="119">
        <f t="shared" si="1"/>
        <v>40.551187179413688</v>
      </c>
      <c r="F14" s="119">
        <f t="shared" si="0"/>
        <v>0.20143294792264108</v>
      </c>
      <c r="G14" s="119">
        <f>AVERAGE(F$3:F14)</f>
        <v>4.1101058081090365</v>
      </c>
      <c r="H14" s="57"/>
      <c r="I14" s="119"/>
      <c r="J14" s="57"/>
      <c r="K14" s="57"/>
      <c r="L14" s="57"/>
      <c r="N14">
        <f t="shared" si="3"/>
        <v>0.88000000000000012</v>
      </c>
      <c r="O14" s="327">
        <v>3.6469704763718562</v>
      </c>
      <c r="P14" s="327">
        <v>3.6497817838522204</v>
      </c>
      <c r="Q14" s="327">
        <v>3.6532590366948794</v>
      </c>
      <c r="R14" s="327">
        <v>3.6573866109559012</v>
      </c>
      <c r="S14" s="327">
        <v>3.6621501486137711</v>
      </c>
      <c r="T14" s="327">
        <v>3.6675364745471457</v>
      </c>
      <c r="U14" s="327">
        <v>3.6735335194948</v>
      </c>
      <c r="V14" s="327">
        <v>3.6801302486024126</v>
      </c>
      <c r="W14" s="327">
        <v>3.6873165951662448</v>
      </c>
      <c r="X14" s="327">
        <v>3.6950833991978356</v>
      </c>
      <c r="Y14" s="327">
        <v>3.70342235045299</v>
      </c>
      <c r="AA14" s="57"/>
      <c r="AB14" s="57"/>
      <c r="AC14" s="57"/>
      <c r="AD14" s="57"/>
      <c r="AE14" s="57"/>
      <c r="AF14" s="57"/>
      <c r="AG14" s="57"/>
      <c r="AH14" s="57"/>
      <c r="BB14" s="57"/>
      <c r="BC14" s="57"/>
      <c r="BD14" s="57"/>
      <c r="BE14" s="57"/>
      <c r="BF14" s="57"/>
    </row>
    <row r="15" spans="1:58" customFormat="1" ht="16.5" x14ac:dyDescent="0.3">
      <c r="A15" s="121">
        <v>13</v>
      </c>
      <c r="B15" s="73">
        <v>42</v>
      </c>
      <c r="C15" s="215">
        <f>(1-$Q$1)*E15+$Q$1*B15</f>
        <v>42.054627605235709</v>
      </c>
      <c r="D15" s="104">
        <f>(1-$Q$2)*D14+$Q$2*(C15-C14)</f>
        <v>1.3172733391938627</v>
      </c>
      <c r="E15" s="119">
        <f t="shared" si="1"/>
        <v>42.109255210471417</v>
      </c>
      <c r="F15" s="119">
        <f t="shared" si="0"/>
        <v>1.193670101515369E-2</v>
      </c>
      <c r="G15" s="119">
        <f>AVERAGE(F$3:F15)</f>
        <v>3.7948620306402763</v>
      </c>
      <c r="H15" s="57"/>
      <c r="I15" s="119"/>
      <c r="J15" s="57"/>
      <c r="K15" s="57"/>
      <c r="L15" s="57"/>
      <c r="N15">
        <f t="shared" si="3"/>
        <v>0.89000000000000012</v>
      </c>
      <c r="O15" s="327">
        <v>3.6536869732695294</v>
      </c>
      <c r="P15" s="327">
        <v>3.6574001492240735</v>
      </c>
      <c r="Q15" s="327">
        <v>3.6617861145788164</v>
      </c>
      <c r="R15" s="327">
        <v>3.6668298330966493</v>
      </c>
      <c r="S15" s="327">
        <v>3.6725175164244619</v>
      </c>
      <c r="T15" s="327">
        <v>3.6788365426048943</v>
      </c>
      <c r="U15" s="327">
        <v>3.6857753804705169</v>
      </c>
      <c r="V15" s="327">
        <v>3.6933235195381555</v>
      </c>
      <c r="W15" s="327">
        <v>3.7014714050254311</v>
      </c>
      <c r="X15" s="327">
        <v>3.7102103776256508</v>
      </c>
      <c r="Y15" s="327">
        <v>3.7195326176950618</v>
      </c>
      <c r="AA15" s="57"/>
      <c r="AB15" s="57"/>
      <c r="AC15" s="57"/>
      <c r="AD15" s="57"/>
      <c r="AE15" s="57"/>
      <c r="AF15" s="57"/>
      <c r="AG15" s="57"/>
      <c r="AH15" s="57"/>
      <c r="BB15" s="57"/>
      <c r="BC15" s="57"/>
      <c r="BD15" s="57"/>
      <c r="BE15" s="57"/>
      <c r="BF15" s="57"/>
    </row>
    <row r="16" spans="1:58" customFormat="1" ht="16.5" x14ac:dyDescent="0.3">
      <c r="A16" s="121">
        <v>14</v>
      </c>
      <c r="B16" s="73">
        <v>43</v>
      </c>
      <c r="C16" s="215">
        <f>(1-$Q$1)*E16+$Q$1*B16</f>
        <v>43.185950472214785</v>
      </c>
      <c r="D16" s="104">
        <f>(1-$Q$2)*D15+$Q$2*(C16-C15)</f>
        <v>1.2614881975294265</v>
      </c>
      <c r="E16" s="119">
        <f t="shared" si="1"/>
        <v>43.371900944429569</v>
      </c>
      <c r="F16" s="119">
        <f t="shared" si="0"/>
        <v>0.13831031246760561</v>
      </c>
      <c r="G16" s="119">
        <f>AVERAGE(F$3:F16)</f>
        <v>3.5336797650565139</v>
      </c>
      <c r="H16" s="57"/>
      <c r="I16" s="119"/>
      <c r="J16" s="57"/>
      <c r="K16" s="57"/>
      <c r="L16" s="57"/>
      <c r="M16" s="6"/>
      <c r="N16">
        <f t="shared" si="3"/>
        <v>0.90000000000000013</v>
      </c>
      <c r="O16" s="327">
        <v>3.6621275222153931</v>
      </c>
      <c r="P16" s="328">
        <v>3.6667656902305081</v>
      </c>
      <c r="Q16" s="328">
        <v>3.6720843148614151</v>
      </c>
      <c r="R16" s="328">
        <v>3.6780689547825558</v>
      </c>
      <c r="S16" s="328">
        <v>3.6847063997739324</v>
      </c>
      <c r="T16" s="328">
        <v>3.6919845907858848</v>
      </c>
      <c r="U16" s="328">
        <v>3.6998925457955485</v>
      </c>
      <c r="V16" s="328">
        <v>3.708420291083848</v>
      </c>
      <c r="W16" s="328">
        <v>3.7175587975670012</v>
      </c>
      <c r="X16" s="328">
        <v>3.7272999218290672</v>
      </c>
      <c r="Y16" s="328">
        <v>3.737636351519662</v>
      </c>
      <c r="Z16" s="6"/>
      <c r="AA16" s="65"/>
      <c r="AB16" s="65"/>
      <c r="AC16" s="65"/>
      <c r="AD16" s="65"/>
      <c r="AE16" s="65"/>
      <c r="AF16" s="65"/>
      <c r="AG16" s="65"/>
      <c r="AH16" s="65"/>
      <c r="AI16" s="6"/>
      <c r="AJ16" s="6"/>
      <c r="AK16" s="6"/>
      <c r="AL16" s="6"/>
      <c r="AM16" s="6"/>
      <c r="AN16" s="6"/>
      <c r="AO16" s="6"/>
      <c r="BB16" s="57"/>
      <c r="BC16" s="57"/>
      <c r="BD16" s="57"/>
      <c r="BE16" s="57"/>
      <c r="BF16" s="57"/>
    </row>
    <row r="17" spans="1:58" ht="16.5" x14ac:dyDescent="0.3">
      <c r="A17" s="121">
        <v>15</v>
      </c>
      <c r="B17" s="73">
        <v>45</v>
      </c>
      <c r="C17" s="215">
        <f>(1-$Q$1)*E17+$Q$1*B17</f>
        <v>44.723719334872101</v>
      </c>
      <c r="D17" s="104">
        <f>(1-$Q$2)*D16+$Q$2*(C17-C16)</f>
        <v>1.3443723970677932</v>
      </c>
      <c r="E17" s="119">
        <f t="shared" si="1"/>
        <v>44.447438669744209</v>
      </c>
      <c r="F17" s="119">
        <f t="shared" si="0"/>
        <v>0.30532402369404982</v>
      </c>
      <c r="G17" s="119">
        <f>AVERAGE(F$3:F17)</f>
        <v>3.3184560489656829</v>
      </c>
      <c r="I17" s="119"/>
      <c r="M17" s="65"/>
      <c r="N17"/>
      <c r="O17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>
        <f>MIN(O6:Y16)</f>
        <v>3.6365029312230162</v>
      </c>
      <c r="AA17" s="65"/>
      <c r="AB17" s="65"/>
      <c r="AC17" s="65"/>
      <c r="AD17" s="65"/>
      <c r="AE17" s="65"/>
      <c r="AF17" s="65"/>
      <c r="AG17" s="65"/>
      <c r="AH17" s="65"/>
      <c r="AI17" s="6"/>
      <c r="AJ17" s="6"/>
      <c r="AK17" s="6"/>
      <c r="AL17" s="6"/>
      <c r="AM17" s="6"/>
      <c r="AN17" s="6"/>
      <c r="AO17" s="6"/>
    </row>
    <row r="18" spans="1:58" ht="16.5" x14ac:dyDescent="0.3">
      <c r="A18" s="121">
        <v>16</v>
      </c>
      <c r="B18" s="73">
        <v>48</v>
      </c>
      <c r="C18" s="215">
        <f>(1-$Q$1)*E18+$Q$1*B18</f>
        <v>47.034045865969944</v>
      </c>
      <c r="D18" s="104">
        <f>(1-$Q$2)*D17+$Q$2*(C18-C17)</f>
        <v>1.634158637276808</v>
      </c>
      <c r="E18" s="119">
        <f t="shared" si="1"/>
        <v>46.068091731939894</v>
      </c>
      <c r="F18" s="119">
        <f t="shared" si="0"/>
        <v>3.7322695561989971</v>
      </c>
      <c r="G18" s="119">
        <f>AVERAGE(F$3:F18)</f>
        <v>3.3443193931677651</v>
      </c>
      <c r="I18" s="119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"/>
      <c r="AJ18" s="6"/>
      <c r="AK18" s="6"/>
      <c r="AL18" s="6"/>
      <c r="AM18" s="6"/>
      <c r="AN18" s="6"/>
      <c r="AO18" s="6"/>
    </row>
    <row r="19" spans="1:58" ht="16.5" x14ac:dyDescent="0.3">
      <c r="A19" s="121">
        <v>17</v>
      </c>
      <c r="B19" s="73">
        <v>49</v>
      </c>
      <c r="C19" s="215">
        <f>(1-$Q$1)*E19+$Q$1*B19</f>
        <v>48.834102251623378</v>
      </c>
      <c r="D19" s="104">
        <f>(1-$Q$2)*D18+$Q$2*(C19-C18)</f>
        <v>1.683927961789796</v>
      </c>
      <c r="E19" s="119">
        <f t="shared" si="1"/>
        <v>48.668204503246749</v>
      </c>
      <c r="F19" s="119">
        <f t="shared" si="0"/>
        <v>0.11008825166573692</v>
      </c>
      <c r="G19" s="119">
        <f>AVERAGE(F$3:F19)</f>
        <v>3.1540705024911753</v>
      </c>
      <c r="I19" s="119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"/>
      <c r="AJ19" s="6"/>
      <c r="AK19" s="6"/>
      <c r="AL19" s="6"/>
      <c r="AM19" s="6"/>
      <c r="AN19" s="6"/>
      <c r="AO19" s="6"/>
    </row>
    <row r="20" spans="1:58" ht="16.5" x14ac:dyDescent="0.3">
      <c r="A20" s="121">
        <v>18</v>
      </c>
      <c r="B20" s="73">
        <v>50</v>
      </c>
      <c r="C20" s="215">
        <f>(1-$Q$1)*E20+$Q$1*B20</f>
        <v>50.259015106706585</v>
      </c>
      <c r="D20" s="104">
        <f>(1-$Q$2)*D19+$Q$2*(C20-C19)</f>
        <v>1.6062234297778191</v>
      </c>
      <c r="E20" s="119">
        <f t="shared" si="1"/>
        <v>50.518030213413176</v>
      </c>
      <c r="F20" s="119">
        <f t="shared" si="0"/>
        <v>0.26835530200890112</v>
      </c>
      <c r="G20" s="119">
        <f>AVERAGE(F$3:F20)</f>
        <v>2.9937529913532708</v>
      </c>
      <c r="I20" s="119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"/>
      <c r="AJ20" s="6"/>
      <c r="AK20" s="6"/>
      <c r="AL20" s="6"/>
      <c r="AM20" s="6"/>
      <c r="AN20" s="6"/>
      <c r="AO20" s="6"/>
    </row>
    <row r="21" spans="1:58" ht="16.5" x14ac:dyDescent="0.3">
      <c r="A21" s="121">
        <v>19</v>
      </c>
      <c r="B21" s="73">
        <v>50</v>
      </c>
      <c r="C21" s="215">
        <f>(1-$Q$1)*E21+$Q$1*B21</f>
        <v>50.932619268242206</v>
      </c>
      <c r="D21" s="104">
        <f>(1-$Q$2)*D20+$Q$2*(C21-C20)</f>
        <v>1.3264376493051597</v>
      </c>
      <c r="E21" s="119">
        <f t="shared" si="1"/>
        <v>51.865238536484405</v>
      </c>
      <c r="F21" s="119">
        <f t="shared" si="0"/>
        <v>3.4791147979864854</v>
      </c>
      <c r="G21" s="119">
        <f>AVERAGE(F$3:F21)</f>
        <v>3.0192983495971242</v>
      </c>
      <c r="I21" s="119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"/>
      <c r="AJ21" s="6"/>
      <c r="AK21" s="6"/>
      <c r="AL21" s="6"/>
      <c r="AM21" s="6"/>
      <c r="AN21" s="6"/>
      <c r="AO21" s="6"/>
    </row>
    <row r="22" spans="1:58" ht="16.5" x14ac:dyDescent="0.3">
      <c r="A22" s="121">
        <v>20</v>
      </c>
      <c r="B22" s="73">
        <v>55</v>
      </c>
      <c r="C22" s="215">
        <f>(1-$Q$1)*E22+$Q$1*B22</f>
        <v>53.629528458773684</v>
      </c>
      <c r="D22" s="104">
        <f>(1-$Q$2)*D21+$Q$2*(C22-C21)</f>
        <v>1.7375791116730552</v>
      </c>
      <c r="E22" s="119">
        <f t="shared" si="1"/>
        <v>52.259056917547369</v>
      </c>
      <c r="F22" s="119">
        <f t="shared" si="0"/>
        <v>7.512768981244931</v>
      </c>
      <c r="G22" s="119">
        <f>AVERAGE(F$3:F22)</f>
        <v>3.2439718811795144</v>
      </c>
      <c r="I22" s="119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"/>
      <c r="AJ22" s="6"/>
      <c r="AK22" s="6"/>
      <c r="AL22" s="6"/>
      <c r="AM22" s="6"/>
      <c r="AN22" s="6"/>
      <c r="AO22" s="6"/>
    </row>
    <row r="23" spans="1:58" ht="16.5" x14ac:dyDescent="0.3">
      <c r="A23" s="121">
        <v>21</v>
      </c>
      <c r="B23" s="73">
        <v>55</v>
      </c>
      <c r="C23" s="215">
        <f>(1-$Q$1)*E23+$Q$1*B23</f>
        <v>55.183553785223367</v>
      </c>
      <c r="D23" s="104">
        <f>(1-$Q$2)*D22+$Q$2*(C23-C22)</f>
        <v>1.6825129761060433</v>
      </c>
      <c r="E23" s="119">
        <f t="shared" si="1"/>
        <v>55.367107570446741</v>
      </c>
      <c r="F23" s="119">
        <f t="shared" si="0"/>
        <v>0.13476796827930909</v>
      </c>
      <c r="G23" s="119">
        <f>AVERAGE(F$3:F23)</f>
        <v>3.0959145519937903</v>
      </c>
      <c r="I23" s="119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"/>
      <c r="AJ23" s="6"/>
      <c r="AK23" s="6"/>
      <c r="AL23" s="6"/>
      <c r="AM23" s="6"/>
      <c r="AN23" s="6"/>
      <c r="AO23" s="6"/>
    </row>
    <row r="24" spans="1:58" ht="16.5" x14ac:dyDescent="0.3">
      <c r="A24" s="121">
        <v>22</v>
      </c>
      <c r="B24" s="73">
        <v>58</v>
      </c>
      <c r="C24" s="215">
        <f>(1-$Q$1)*E24+$Q$1*B24</f>
        <v>57.43303338066471</v>
      </c>
      <c r="D24" s="104">
        <f>(1-$Q$2)*D23+$Q$2*(C24-C23)</f>
        <v>1.8526029619066331</v>
      </c>
      <c r="E24" s="119">
        <f t="shared" si="1"/>
        <v>56.866066761329414</v>
      </c>
      <c r="F24" s="119">
        <f t="shared" si="0"/>
        <v>1.2858045897619648</v>
      </c>
      <c r="G24" s="119">
        <f>AVERAGE(F$3:F24)</f>
        <v>3.0136368264377982</v>
      </c>
      <c r="I24" s="119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"/>
      <c r="AJ24" s="6"/>
      <c r="AK24" s="6"/>
      <c r="AL24" s="6"/>
      <c r="AM24" s="6"/>
      <c r="AN24" s="6"/>
      <c r="AO24" s="6"/>
    </row>
    <row r="25" spans="1:58" ht="16.5" x14ac:dyDescent="0.3">
      <c r="A25" s="121">
        <v>23</v>
      </c>
      <c r="B25" s="73">
        <v>62</v>
      </c>
      <c r="C25" s="215">
        <f>(1-$Q$1)*E25+$Q$1*B25</f>
        <v>60.642818171285668</v>
      </c>
      <c r="D25" s="104">
        <f>(1-$Q$2)*D24+$Q$2*(C25-C24)</f>
        <v>2.2597575105209304</v>
      </c>
      <c r="E25" s="119">
        <f t="shared" si="1"/>
        <v>59.285636342571344</v>
      </c>
      <c r="F25" s="119">
        <f t="shared" si="0"/>
        <v>7.3677700647694708</v>
      </c>
      <c r="G25" s="119">
        <f>AVERAGE(F$3:F25)</f>
        <v>3.2029469672348276</v>
      </c>
      <c r="I25" s="119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"/>
      <c r="AJ25" s="6"/>
      <c r="AK25" s="6"/>
      <c r="AL25" s="6"/>
      <c r="AM25" s="6"/>
      <c r="AN25" s="6"/>
      <c r="AO25" s="6"/>
    </row>
    <row r="26" spans="1:58" ht="16.5" x14ac:dyDescent="0.3">
      <c r="A26" s="121">
        <v>24</v>
      </c>
      <c r="B26" s="73">
        <v>63</v>
      </c>
      <c r="C26" s="215">
        <f>(1-$Q$1)*E26+$Q$1*B26</f>
        <v>62.951287840903298</v>
      </c>
      <c r="D26" s="104">
        <f>(1-$Q$2)*D25+$Q$2*(C26-C25)</f>
        <v>2.2743711582499402</v>
      </c>
      <c r="E26" s="119">
        <f t="shared" si="1"/>
        <v>62.902575681806596</v>
      </c>
      <c r="F26" s="119">
        <f t="shared" si="0"/>
        <v>9.4914977754496782E-3</v>
      </c>
      <c r="G26" s="119">
        <f>AVERAGE(F$3:F26)</f>
        <v>3.0698863226740198</v>
      </c>
      <c r="I26" s="119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"/>
      <c r="AJ26" s="6"/>
      <c r="AK26" s="6"/>
      <c r="AL26" s="6"/>
      <c r="AM26" s="6"/>
      <c r="AN26" s="6"/>
      <c r="AO26" s="6"/>
    </row>
    <row r="27" spans="1:58" ht="16.5" x14ac:dyDescent="0.3">
      <c r="A27" s="121">
        <v>25</v>
      </c>
      <c r="B27" s="73">
        <v>67</v>
      </c>
      <c r="C27" s="215">
        <f>(1-$Q$1)*E27+$Q$1*B27</f>
        <v>66.11282949957662</v>
      </c>
      <c r="D27" s="104">
        <f>(1-$Q$2)*D26+$Q$2*(C27-C26)</f>
        <v>2.5405223083769544</v>
      </c>
      <c r="E27" s="119">
        <f t="shared" si="1"/>
        <v>65.225658999153239</v>
      </c>
      <c r="F27" s="119">
        <f t="shared" si="0"/>
        <v>3.1482859872858842</v>
      </c>
      <c r="G27" s="119">
        <f>AVERAGE(F$3:F27)</f>
        <v>3.0730223092584947</v>
      </c>
      <c r="I27" s="119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"/>
      <c r="AJ27" s="6"/>
      <c r="AK27" s="6"/>
      <c r="AL27" s="6"/>
      <c r="AM27" s="6"/>
      <c r="AN27" s="6"/>
      <c r="AO27" s="6"/>
    </row>
    <row r="28" spans="1:58" ht="16.5" x14ac:dyDescent="0.3">
      <c r="A28" s="121">
        <v>26</v>
      </c>
      <c r="B28" s="73">
        <v>72</v>
      </c>
      <c r="C28" s="215">
        <f>(1-$Q$1)*E28+$Q$1*B28</f>
        <v>70.326675903976792</v>
      </c>
      <c r="D28" s="104">
        <f>(1-$Q$2)*D27+$Q$2*(C28-C27)</f>
        <v>3.0425195371839195</v>
      </c>
      <c r="E28" s="119">
        <f t="shared" si="1"/>
        <v>68.65335180795357</v>
      </c>
      <c r="F28" s="119">
        <f t="shared" si="0"/>
        <v>11.200054121327641</v>
      </c>
      <c r="G28" s="119">
        <f>AVERAGE(F$3:F28)</f>
        <v>3.3856004558765389</v>
      </c>
      <c r="I28" s="119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"/>
      <c r="AJ28" s="6"/>
      <c r="AK28" s="6"/>
      <c r="AL28" s="6"/>
      <c r="AM28" s="6"/>
      <c r="AN28" s="6"/>
      <c r="AO28" s="6"/>
    </row>
    <row r="29" spans="1:58" ht="16.5" x14ac:dyDescent="0.3">
      <c r="A29" s="121">
        <v>27</v>
      </c>
      <c r="B29" s="73">
        <v>79</v>
      </c>
      <c r="C29" s="215">
        <f>(1-$Q$1)*E29+$Q$1*B29</f>
        <v>76.184597720580356</v>
      </c>
      <c r="D29" s="104">
        <f>(1-$Q$2)*D28+$Q$2*(C29-C28)</f>
        <v>3.8871402210098127</v>
      </c>
      <c r="E29" s="119">
        <f t="shared" si="1"/>
        <v>73.369195441160713</v>
      </c>
      <c r="F29" s="119">
        <f t="shared" si="0"/>
        <v>31.7059599798453</v>
      </c>
      <c r="G29" s="119">
        <f>AVERAGE(F$3:F29)</f>
        <v>4.4345026604679747</v>
      </c>
      <c r="I29" s="119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"/>
      <c r="AJ29" s="6"/>
      <c r="AK29" s="6"/>
      <c r="AL29" s="6"/>
      <c r="AM29" s="6"/>
      <c r="AN29" s="6"/>
      <c r="AO29" s="6"/>
    </row>
    <row r="30" spans="1:58" ht="16.5" x14ac:dyDescent="0.3">
      <c r="A30" s="121">
        <v>28</v>
      </c>
      <c r="B30" s="73">
        <v>86</v>
      </c>
      <c r="C30" s="215">
        <f>(1-$Q$1)*E30+$Q$1*B30</f>
        <v>83.035868970795093</v>
      </c>
      <c r="D30" s="104">
        <f>(1-$Q$2)*D29+$Q$2*(C30-C29)</f>
        <v>4.7763795297712903</v>
      </c>
      <c r="E30" s="119">
        <f t="shared" si="1"/>
        <v>80.071737941590172</v>
      </c>
      <c r="F30" s="119">
        <f t="shared" si="0"/>
        <v>35.144291033181531</v>
      </c>
      <c r="G30" s="119">
        <f>AVERAGE(F$3:F30)</f>
        <v>5.5312808166363157</v>
      </c>
      <c r="I30" s="7" t="str">
        <f ca="1">_xlfn.FORMULATEXT(C30)</f>
        <v>=(1-$Q$1)*E30+$Q$1*B30</v>
      </c>
      <c r="J30" s="7" t="str">
        <f ca="1">_xlfn.FORMULATEXT(D30)</f>
        <v>=(1-$Q$2)*D29+$Q$2*(C30-C29)</v>
      </c>
      <c r="K30" s="7" t="str">
        <f ca="1">_xlfn.FORMULATEXT(E30)</f>
        <v>=C29+D29</v>
      </c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"/>
      <c r="AJ30" s="6"/>
      <c r="AK30" s="6"/>
      <c r="AL30" s="6"/>
      <c r="AM30" s="6"/>
      <c r="AN30" s="6"/>
      <c r="AO30" s="6"/>
    </row>
    <row r="31" spans="1:58" ht="16.5" x14ac:dyDescent="0.3">
      <c r="A31" s="120">
        <v>30</v>
      </c>
      <c r="B31"/>
      <c r="E31" s="119">
        <f>C30+$D$30</f>
        <v>87.812248500566383</v>
      </c>
      <c r="F31" s="109"/>
      <c r="G31"/>
      <c r="H31" s="65"/>
      <c r="I31" s="128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"/>
      <c r="AJ31" s="6"/>
      <c r="AK31" s="6"/>
      <c r="AL31" s="6"/>
      <c r="AM31" s="6"/>
      <c r="AN31" s="6"/>
      <c r="AO31" s="6"/>
      <c r="BB31"/>
      <c r="BC31"/>
      <c r="BD31"/>
      <c r="BE31"/>
      <c r="BF31"/>
    </row>
    <row r="32" spans="1:58" ht="16.5" x14ac:dyDescent="0.3">
      <c r="A32" s="74">
        <v>31</v>
      </c>
      <c r="B32"/>
      <c r="C32" s="6"/>
      <c r="D32" s="65"/>
      <c r="E32" s="119">
        <f>E31+$D$30</f>
        <v>92.588628030337674</v>
      </c>
      <c r="F32" s="65"/>
      <c r="G32" s="65"/>
      <c r="H32" s="65"/>
      <c r="I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"/>
      <c r="AJ32" s="6"/>
      <c r="AK32" s="6"/>
      <c r="AL32" s="6"/>
      <c r="AM32" s="6"/>
      <c r="AN32" s="6"/>
      <c r="AO32" s="6"/>
      <c r="BB32"/>
      <c r="BC32"/>
      <c r="BD32"/>
      <c r="BE32"/>
      <c r="BF32"/>
    </row>
    <row r="33" spans="1:58" ht="16.5" x14ac:dyDescent="0.3">
      <c r="A33" s="74">
        <v>32</v>
      </c>
      <c r="B33"/>
      <c r="C33" s="6"/>
      <c r="D33" s="65"/>
      <c r="E33" s="119">
        <f t="shared" ref="E33:E34" si="4">E32+$D$30</f>
        <v>97.365007560108964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"/>
      <c r="AJ33" s="6"/>
      <c r="AK33" s="6"/>
      <c r="AL33" s="6"/>
      <c r="AM33" s="6"/>
      <c r="AN33" s="6"/>
      <c r="AO33" s="6"/>
      <c r="BB33"/>
      <c r="BC33"/>
      <c r="BD33"/>
      <c r="BE33"/>
      <c r="BF33"/>
    </row>
    <row r="34" spans="1:58" ht="16.5" x14ac:dyDescent="0.3">
      <c r="A34" s="74">
        <v>33</v>
      </c>
      <c r="B34"/>
      <c r="C34" s="6"/>
      <c r="D34" s="65"/>
      <c r="E34" s="119">
        <f t="shared" si="4"/>
        <v>102.14138708988025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"/>
      <c r="AJ34" s="6"/>
      <c r="AK34" s="6"/>
      <c r="AL34" s="6"/>
      <c r="AM34" s="6"/>
      <c r="AN34" s="6"/>
      <c r="AO34" s="6"/>
      <c r="BB34"/>
      <c r="BC34"/>
      <c r="BD34"/>
      <c r="BE34"/>
      <c r="BF34"/>
    </row>
    <row r="35" spans="1:58" x14ac:dyDescent="0.25">
      <c r="A35"/>
      <c r="B35"/>
      <c r="C35" s="6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"/>
      <c r="AJ35" s="6"/>
      <c r="AK35" s="6"/>
      <c r="AL35" s="6"/>
      <c r="AM35" s="6"/>
      <c r="AN35" s="6"/>
      <c r="AO35" s="6"/>
      <c r="BB35"/>
      <c r="BC35"/>
      <c r="BD35"/>
      <c r="BE35"/>
      <c r="BF35"/>
    </row>
    <row r="36" spans="1:58" x14ac:dyDescent="0.25">
      <c r="A36"/>
      <c r="B36"/>
      <c r="C36" s="6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"/>
      <c r="AJ36" s="6"/>
      <c r="AK36" s="6"/>
      <c r="AL36" s="6"/>
      <c r="AM36" s="6"/>
      <c r="AN36" s="6"/>
      <c r="AO36" s="6"/>
      <c r="BB36"/>
      <c r="BC36"/>
      <c r="BD36"/>
      <c r="BE36"/>
      <c r="BF36"/>
    </row>
    <row r="37" spans="1:58" x14ac:dyDescent="0.25">
      <c r="A37"/>
      <c r="B37"/>
      <c r="C37" s="6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"/>
      <c r="AJ37" s="6"/>
      <c r="AK37" s="6"/>
      <c r="AL37" s="6"/>
      <c r="AM37" s="6"/>
      <c r="AN37" s="6"/>
      <c r="AO37" s="6"/>
      <c r="BB37"/>
      <c r="BC37"/>
      <c r="BD37"/>
      <c r="BE37"/>
      <c r="BF37"/>
    </row>
    <row r="38" spans="1:58" x14ac:dyDescent="0.25">
      <c r="A38"/>
      <c r="B38"/>
      <c r="C38" s="6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"/>
      <c r="AJ38" s="6"/>
      <c r="AK38" s="6"/>
      <c r="AL38" s="6"/>
      <c r="AM38" s="6"/>
      <c r="AN38" s="6"/>
      <c r="AO38" s="6"/>
      <c r="BB38"/>
      <c r="BC38"/>
      <c r="BD38"/>
      <c r="BE38"/>
      <c r="BF38"/>
    </row>
    <row r="39" spans="1:58" x14ac:dyDescent="0.25">
      <c r="A39"/>
      <c r="B39"/>
      <c r="C39" s="6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"/>
      <c r="AJ39" s="6"/>
      <c r="AK39" s="6"/>
      <c r="AL39" s="6"/>
      <c r="AM39" s="6"/>
      <c r="AN39" s="6"/>
      <c r="AO39" s="6"/>
      <c r="BB39"/>
      <c r="BC39"/>
      <c r="BD39"/>
      <c r="BE39"/>
      <c r="BF39"/>
    </row>
    <row r="40" spans="1:58" x14ac:dyDescent="0.25">
      <c r="A40"/>
      <c r="B40"/>
      <c r="C40" s="6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"/>
      <c r="AJ40" s="6"/>
      <c r="AK40" s="6"/>
      <c r="AL40" s="6"/>
      <c r="AM40" s="6"/>
      <c r="AN40" s="6"/>
      <c r="AO40" s="6"/>
      <c r="BB40"/>
      <c r="BC40"/>
      <c r="BD40"/>
      <c r="BE40"/>
      <c r="BF40"/>
    </row>
    <row r="41" spans="1:58" x14ac:dyDescent="0.25">
      <c r="A41"/>
      <c r="B41"/>
      <c r="C41" s="6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"/>
      <c r="AJ41" s="6"/>
      <c r="AK41" s="6"/>
      <c r="AL41" s="6"/>
      <c r="AM41" s="6"/>
      <c r="AN41" s="6"/>
      <c r="AO41" s="6"/>
      <c r="BB41"/>
      <c r="BC41"/>
      <c r="BD41"/>
      <c r="BE41"/>
      <c r="BF41"/>
    </row>
    <row r="42" spans="1:58" x14ac:dyDescent="0.25">
      <c r="A42"/>
      <c r="B42"/>
      <c r="C42" s="6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"/>
      <c r="AJ42" s="6"/>
      <c r="AK42" s="6"/>
      <c r="AL42" s="6"/>
      <c r="AM42" s="6"/>
      <c r="AN42" s="6"/>
      <c r="AO42" s="6"/>
      <c r="BB42"/>
      <c r="BC42"/>
      <c r="BD42"/>
      <c r="BE42"/>
      <c r="BF42"/>
    </row>
    <row r="43" spans="1:58" x14ac:dyDescent="0.25">
      <c r="A43"/>
      <c r="B43"/>
      <c r="C43" s="6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"/>
      <c r="AJ43" s="6"/>
      <c r="AK43" s="6"/>
      <c r="AL43" s="6"/>
      <c r="AM43" s="6"/>
      <c r="AN43" s="6"/>
      <c r="AO43" s="6"/>
      <c r="BB43"/>
      <c r="BC43"/>
      <c r="BD43"/>
      <c r="BE43"/>
      <c r="BF43"/>
    </row>
    <row r="44" spans="1:58" x14ac:dyDescent="0.25">
      <c r="A44"/>
      <c r="B44"/>
      <c r="C44" s="6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"/>
      <c r="AJ44" s="6"/>
      <c r="AK44" s="6"/>
      <c r="AL44" s="6"/>
      <c r="AM44" s="6"/>
      <c r="AN44" s="6"/>
      <c r="AO44" s="6"/>
      <c r="BB44"/>
      <c r="BC44"/>
      <c r="BD44"/>
      <c r="BE44"/>
      <c r="BF44"/>
    </row>
    <row r="45" spans="1:58" x14ac:dyDescent="0.25">
      <c r="A45"/>
      <c r="B45"/>
      <c r="C45" s="6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"/>
      <c r="AJ45" s="6"/>
      <c r="AK45" s="6"/>
      <c r="AL45" s="6"/>
      <c r="AM45" s="6"/>
      <c r="AN45" s="6"/>
      <c r="AO45" s="6"/>
      <c r="BB45"/>
      <c r="BC45"/>
      <c r="BD45"/>
      <c r="BE45"/>
      <c r="BF45"/>
    </row>
    <row r="46" spans="1:58" x14ac:dyDescent="0.25">
      <c r="A46"/>
      <c r="B46"/>
      <c r="C46" s="6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"/>
      <c r="AJ46" s="6"/>
      <c r="AK46" s="6"/>
      <c r="AL46" s="6"/>
      <c r="AM46" s="6"/>
      <c r="AN46" s="6"/>
      <c r="AO46" s="6"/>
      <c r="BB46"/>
      <c r="BC46"/>
      <c r="BD46"/>
      <c r="BE46"/>
      <c r="BF46"/>
    </row>
    <row r="47" spans="1:58" x14ac:dyDescent="0.25">
      <c r="A47"/>
      <c r="B47"/>
      <c r="C47" s="6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"/>
      <c r="AJ47" s="6"/>
      <c r="AK47" s="6"/>
      <c r="AL47" s="6"/>
      <c r="AM47" s="6"/>
      <c r="AN47" s="6"/>
      <c r="AO47" s="6"/>
      <c r="BB47"/>
      <c r="BC47"/>
      <c r="BD47"/>
      <c r="BE47"/>
      <c r="BF47"/>
    </row>
    <row r="48" spans="1:58" x14ac:dyDescent="0.25">
      <c r="A48"/>
      <c r="B48"/>
      <c r="C48" s="6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"/>
      <c r="AJ48" s="6"/>
      <c r="AK48" s="6"/>
      <c r="AL48" s="6"/>
      <c r="AM48" s="6"/>
      <c r="AN48" s="6"/>
      <c r="AO48" s="6"/>
      <c r="BB48"/>
      <c r="BC48"/>
      <c r="BD48"/>
      <c r="BE48"/>
      <c r="BF48"/>
    </row>
    <row r="49" spans="1:58" x14ac:dyDescent="0.25">
      <c r="A49"/>
      <c r="B49"/>
      <c r="C49" s="6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"/>
      <c r="AJ49" s="6"/>
      <c r="AK49" s="6"/>
      <c r="AL49" s="6"/>
      <c r="AM49" s="6"/>
      <c r="AN49" s="6"/>
      <c r="AO49" s="6"/>
      <c r="BB49"/>
      <c r="BC49"/>
      <c r="BD49"/>
      <c r="BE49"/>
      <c r="BF49"/>
    </row>
    <row r="50" spans="1:58" x14ac:dyDescent="0.25">
      <c r="A50"/>
      <c r="B50"/>
      <c r="C50" s="6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"/>
      <c r="AJ50" s="6"/>
      <c r="AK50" s="6"/>
      <c r="AL50" s="6"/>
      <c r="AM50" s="6"/>
      <c r="AN50" s="6"/>
      <c r="AO50" s="6"/>
      <c r="BB50"/>
      <c r="BC50"/>
      <c r="BD50"/>
      <c r="BE50"/>
      <c r="BF50"/>
    </row>
    <row r="51" spans="1:58" x14ac:dyDescent="0.25">
      <c r="A51"/>
      <c r="B51"/>
      <c r="C51" s="6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"/>
      <c r="AJ51" s="6"/>
      <c r="AK51" s="6"/>
      <c r="AL51" s="6"/>
      <c r="AM51" s="6"/>
      <c r="AN51" s="6"/>
      <c r="AO51" s="6"/>
      <c r="BB51"/>
      <c r="BC51"/>
      <c r="BD51"/>
      <c r="BE51"/>
      <c r="BF51"/>
    </row>
    <row r="52" spans="1:58" x14ac:dyDescent="0.25">
      <c r="A52"/>
      <c r="B52"/>
      <c r="C52" s="6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"/>
      <c r="AJ52" s="6"/>
      <c r="AK52" s="6"/>
      <c r="AL52" s="6"/>
      <c r="AM52" s="6"/>
      <c r="AN52" s="6"/>
      <c r="AO52" s="6"/>
      <c r="BB52"/>
      <c r="BC52"/>
      <c r="BD52"/>
      <c r="BE52"/>
      <c r="BF52"/>
    </row>
    <row r="53" spans="1:58" x14ac:dyDescent="0.25">
      <c r="A53"/>
      <c r="B53"/>
      <c r="C53" s="6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"/>
      <c r="AJ53" s="6"/>
      <c r="AK53" s="6"/>
      <c r="AL53" s="6"/>
      <c r="AM53" s="6"/>
      <c r="AN53" s="6"/>
      <c r="AO53" s="6"/>
      <c r="BB53"/>
      <c r="BC53"/>
      <c r="BD53"/>
      <c r="BE53"/>
      <c r="BF53"/>
    </row>
    <row r="54" spans="1:58" x14ac:dyDescent="0.25">
      <c r="A54"/>
      <c r="B54"/>
      <c r="C54" s="6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"/>
      <c r="AJ54" s="6"/>
      <c r="AK54" s="6"/>
      <c r="AL54" s="6"/>
      <c r="AM54" s="6"/>
      <c r="AN54" s="6"/>
      <c r="AO54" s="6"/>
      <c r="BB54"/>
      <c r="BC54"/>
      <c r="BD54"/>
      <c r="BE54"/>
      <c r="BF54"/>
    </row>
    <row r="55" spans="1:58" x14ac:dyDescent="0.25">
      <c r="A55"/>
      <c r="B55"/>
      <c r="C55" s="6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"/>
      <c r="AJ55" s="6"/>
      <c r="AK55" s="6"/>
      <c r="AL55" s="6"/>
      <c r="AM55" s="6"/>
      <c r="AN55" s="6"/>
      <c r="AO55" s="6"/>
      <c r="BB55"/>
      <c r="BC55"/>
      <c r="BD55"/>
      <c r="BE55"/>
      <c r="BF55"/>
    </row>
    <row r="56" spans="1:58" x14ac:dyDescent="0.25">
      <c r="A56"/>
      <c r="B56"/>
      <c r="C56" s="6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"/>
      <c r="AJ56" s="6"/>
      <c r="AK56" s="6"/>
      <c r="AL56" s="6"/>
      <c r="AM56" s="6"/>
      <c r="AN56" s="6"/>
      <c r="AO56" s="6"/>
      <c r="BB56"/>
      <c r="BC56"/>
      <c r="BD56"/>
      <c r="BE56"/>
      <c r="BF56"/>
    </row>
    <row r="57" spans="1:58" x14ac:dyDescent="0.25">
      <c r="A57"/>
      <c r="B57"/>
      <c r="C57" s="6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"/>
      <c r="AJ57" s="6"/>
      <c r="AK57" s="6"/>
      <c r="AL57" s="6"/>
      <c r="AM57" s="6"/>
      <c r="AN57" s="6"/>
      <c r="AO57" s="6"/>
      <c r="BB57"/>
      <c r="BC57"/>
      <c r="BD57"/>
      <c r="BE57"/>
      <c r="BF57"/>
    </row>
    <row r="58" spans="1:58" x14ac:dyDescent="0.25">
      <c r="A58"/>
      <c r="B58"/>
      <c r="C58" s="6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"/>
      <c r="AJ58" s="6"/>
      <c r="AK58" s="6"/>
      <c r="AL58" s="6"/>
      <c r="AM58" s="6"/>
      <c r="AN58" s="6"/>
      <c r="AO58" s="6"/>
      <c r="BB58"/>
      <c r="BC58"/>
      <c r="BD58"/>
      <c r="BE58"/>
      <c r="BF58"/>
    </row>
    <row r="59" spans="1:58" x14ac:dyDescent="0.25">
      <c r="A59"/>
      <c r="B59"/>
      <c r="C59" s="6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"/>
      <c r="AJ59" s="6"/>
      <c r="AK59" s="6"/>
      <c r="AL59" s="6"/>
      <c r="AM59" s="6"/>
      <c r="AN59" s="6"/>
      <c r="AO59" s="6"/>
      <c r="BB59"/>
      <c r="BC59"/>
      <c r="BD59"/>
      <c r="BE59"/>
      <c r="BF59"/>
    </row>
    <row r="60" spans="1:58" x14ac:dyDescent="0.25">
      <c r="A60"/>
      <c r="B60"/>
      <c r="C60" s="6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"/>
      <c r="AJ60" s="6"/>
      <c r="AK60" s="6"/>
      <c r="AL60" s="6"/>
      <c r="AM60" s="6"/>
      <c r="AN60" s="6"/>
      <c r="AO60" s="6"/>
      <c r="BB60"/>
      <c r="BC60"/>
      <c r="BD60"/>
      <c r="BE60"/>
      <c r="BF60"/>
    </row>
    <row r="61" spans="1:58" x14ac:dyDescent="0.25">
      <c r="A61"/>
      <c r="B61"/>
      <c r="C61" s="6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"/>
      <c r="AJ61" s="6"/>
      <c r="AK61" s="6"/>
      <c r="AL61" s="6"/>
      <c r="AM61" s="6"/>
      <c r="AN61" s="6"/>
      <c r="AO61" s="6"/>
      <c r="BB61"/>
      <c r="BC61"/>
      <c r="BD61"/>
      <c r="BE61"/>
      <c r="BF61"/>
    </row>
    <row r="62" spans="1:58" x14ac:dyDescent="0.25">
      <c r="A62"/>
      <c r="B62"/>
      <c r="C62" s="6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"/>
      <c r="AJ62" s="6"/>
      <c r="AK62" s="6"/>
      <c r="AL62" s="6"/>
      <c r="AM62" s="6"/>
      <c r="AN62" s="6"/>
      <c r="AO62" s="6"/>
      <c r="BB62"/>
      <c r="BC62"/>
      <c r="BD62"/>
      <c r="BE62"/>
      <c r="BF62"/>
    </row>
    <row r="63" spans="1:58" x14ac:dyDescent="0.25">
      <c r="A63"/>
      <c r="B63"/>
      <c r="C63" s="6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"/>
      <c r="AJ63" s="6"/>
      <c r="AK63" s="6"/>
      <c r="AL63" s="6"/>
      <c r="AM63" s="6"/>
      <c r="AN63" s="6"/>
      <c r="AO63" s="6"/>
      <c r="BB63"/>
      <c r="BC63"/>
      <c r="BD63"/>
      <c r="BE63"/>
      <c r="BF63"/>
    </row>
    <row r="64" spans="1:58" x14ac:dyDescent="0.25">
      <c r="A64"/>
      <c r="B64"/>
      <c r="C64" s="6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"/>
      <c r="AJ64" s="6"/>
      <c r="AK64" s="6"/>
      <c r="AL64" s="6"/>
      <c r="AM64" s="6"/>
      <c r="AN64" s="6"/>
      <c r="AO64" s="6"/>
      <c r="BB64"/>
      <c r="BC64"/>
      <c r="BD64"/>
      <c r="BE64"/>
      <c r="BF64"/>
    </row>
    <row r="65" spans="1:58" x14ac:dyDescent="0.25">
      <c r="A65"/>
      <c r="B65"/>
      <c r="C65" s="6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"/>
      <c r="AJ65" s="6"/>
      <c r="AK65" s="6"/>
      <c r="AL65" s="6"/>
      <c r="AM65" s="6"/>
      <c r="AN65" s="6"/>
      <c r="AO65" s="6"/>
      <c r="BB65"/>
      <c r="BC65"/>
      <c r="BD65"/>
      <c r="BE65"/>
      <c r="BF65"/>
    </row>
    <row r="66" spans="1:58" x14ac:dyDescent="0.25">
      <c r="A66"/>
      <c r="B66"/>
      <c r="C66" s="6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"/>
      <c r="AJ66" s="6"/>
      <c r="AK66" s="6"/>
      <c r="AL66" s="6"/>
      <c r="AM66" s="6"/>
      <c r="AN66" s="6"/>
      <c r="AO66" s="6"/>
      <c r="BB66"/>
      <c r="BC66"/>
      <c r="BD66"/>
      <c r="BE66"/>
      <c r="BF66"/>
    </row>
    <row r="67" spans="1:58" x14ac:dyDescent="0.25">
      <c r="A67"/>
      <c r="B67"/>
      <c r="C67" s="6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"/>
      <c r="AJ67" s="6"/>
      <c r="AK67" s="6"/>
      <c r="AL67" s="6"/>
      <c r="AM67" s="6"/>
      <c r="AN67" s="6"/>
      <c r="AO67" s="6"/>
      <c r="BB67"/>
      <c r="BC67"/>
      <c r="BD67"/>
      <c r="BE67"/>
      <c r="BF67"/>
    </row>
    <row r="68" spans="1:58" x14ac:dyDescent="0.25">
      <c r="A68"/>
      <c r="B68"/>
      <c r="C68" s="6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"/>
      <c r="AJ68" s="6"/>
      <c r="AK68" s="6"/>
      <c r="AL68" s="6"/>
      <c r="AM68" s="6"/>
      <c r="AN68" s="6"/>
      <c r="AO68" s="6"/>
      <c r="BB68"/>
      <c r="BC68"/>
      <c r="BD68"/>
      <c r="BE68"/>
      <c r="BF68"/>
    </row>
    <row r="69" spans="1:58" x14ac:dyDescent="0.25">
      <c r="A69"/>
      <c r="B69"/>
      <c r="C69" s="6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"/>
      <c r="AJ69" s="6"/>
      <c r="AK69" s="6"/>
      <c r="AL69" s="6"/>
      <c r="AM69" s="6"/>
      <c r="AN69" s="6"/>
      <c r="AO69" s="6"/>
      <c r="BB69"/>
      <c r="BC69"/>
      <c r="BD69"/>
      <c r="BE69"/>
      <c r="BF69"/>
    </row>
    <row r="70" spans="1:58" x14ac:dyDescent="0.25">
      <c r="A70"/>
      <c r="B70"/>
      <c r="C70" s="6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"/>
      <c r="AJ70" s="6"/>
      <c r="AK70" s="6"/>
      <c r="AL70" s="6"/>
      <c r="AM70" s="6"/>
      <c r="AN70" s="6"/>
      <c r="AO70" s="6"/>
      <c r="BB70"/>
      <c r="BC70"/>
      <c r="BD70"/>
      <c r="BE70"/>
      <c r="BF70"/>
    </row>
    <row r="71" spans="1:58" x14ac:dyDescent="0.25">
      <c r="A71"/>
      <c r="B71"/>
      <c r="C71" s="6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"/>
      <c r="AJ71" s="6"/>
      <c r="AK71" s="6"/>
      <c r="AL71" s="6"/>
      <c r="AM71" s="6"/>
      <c r="AN71" s="6"/>
      <c r="AO71" s="6"/>
      <c r="BB71"/>
      <c r="BC71"/>
      <c r="BD71"/>
      <c r="BE71"/>
      <c r="BF71"/>
    </row>
    <row r="72" spans="1:58" x14ac:dyDescent="0.25">
      <c r="A72"/>
      <c r="B72"/>
      <c r="C72" s="6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"/>
      <c r="AJ72" s="6"/>
      <c r="AK72" s="6"/>
      <c r="AL72" s="6"/>
      <c r="AM72" s="6"/>
      <c r="AN72" s="6"/>
      <c r="AO72" s="6"/>
      <c r="BB72"/>
      <c r="BC72"/>
      <c r="BD72"/>
      <c r="BE72"/>
      <c r="BF72"/>
    </row>
    <row r="73" spans="1:58" x14ac:dyDescent="0.25">
      <c r="A73"/>
      <c r="B73"/>
      <c r="C73"/>
      <c r="BB73"/>
      <c r="BC73"/>
      <c r="BD73"/>
      <c r="BE73"/>
      <c r="BF73"/>
    </row>
    <row r="74" spans="1:58" x14ac:dyDescent="0.25">
      <c r="A74"/>
      <c r="B74"/>
      <c r="C74"/>
      <c r="BB74"/>
      <c r="BC74"/>
      <c r="BD74"/>
      <c r="BE74"/>
      <c r="BF74"/>
    </row>
    <row r="75" spans="1:58" x14ac:dyDescent="0.25">
      <c r="A75"/>
      <c r="B75"/>
      <c r="C75"/>
      <c r="BB75"/>
      <c r="BC75"/>
      <c r="BD75"/>
      <c r="BE75"/>
      <c r="BF75"/>
    </row>
    <row r="76" spans="1:58" x14ac:dyDescent="0.25">
      <c r="A76"/>
      <c r="B76"/>
      <c r="C76"/>
      <c r="BB76"/>
      <c r="BC76"/>
      <c r="BD76"/>
      <c r="BE76"/>
      <c r="BF76"/>
    </row>
    <row r="77" spans="1:58" x14ac:dyDescent="0.25">
      <c r="A77"/>
      <c r="B77"/>
      <c r="C77"/>
      <c r="BB77"/>
      <c r="BC77"/>
      <c r="BD77"/>
      <c r="BE77"/>
      <c r="BF77"/>
    </row>
    <row r="78" spans="1:58" ht="16.5" x14ac:dyDescent="0.3">
      <c r="A78"/>
      <c r="B78"/>
      <c r="C78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BB78"/>
      <c r="BC78"/>
      <c r="BD78"/>
      <c r="BE78"/>
      <c r="BF78"/>
    </row>
    <row r="79" spans="1:58" ht="16.5" x14ac:dyDescent="0.3">
      <c r="A79"/>
      <c r="B79"/>
      <c r="C79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BB79"/>
      <c r="BC79"/>
      <c r="BD79"/>
      <c r="BE79"/>
      <c r="BF79"/>
    </row>
    <row r="80" spans="1:58" ht="16.5" x14ac:dyDescent="0.3">
      <c r="A80"/>
      <c r="B80"/>
      <c r="C80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BB80"/>
      <c r="BC80"/>
      <c r="BD80"/>
      <c r="BE80"/>
      <c r="BF80"/>
    </row>
    <row r="81" spans="1:58" ht="16.5" x14ac:dyDescent="0.3">
      <c r="A81"/>
      <c r="B81"/>
      <c r="C8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BB81"/>
      <c r="BC81"/>
      <c r="BD81"/>
      <c r="BE81"/>
      <c r="BF81"/>
    </row>
    <row r="82" spans="1:58" ht="16.5" x14ac:dyDescent="0.3">
      <c r="A82"/>
      <c r="B82"/>
      <c r="C82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BB82"/>
      <c r="BC82"/>
      <c r="BD82"/>
      <c r="BE82"/>
      <c r="BF82"/>
    </row>
    <row r="83" spans="1:58" ht="16.5" x14ac:dyDescent="0.3">
      <c r="A83"/>
      <c r="B83"/>
      <c r="C83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BB83"/>
      <c r="BC83"/>
      <c r="BD83"/>
      <c r="BE83"/>
      <c r="BF83"/>
    </row>
    <row r="84" spans="1:58" ht="16.5" x14ac:dyDescent="0.3">
      <c r="A84"/>
      <c r="B84"/>
      <c r="C84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BB84"/>
      <c r="BC84"/>
      <c r="BD84"/>
      <c r="BE84"/>
      <c r="BF84"/>
    </row>
    <row r="85" spans="1:58" ht="16.5" x14ac:dyDescent="0.3">
      <c r="A85"/>
      <c r="B85"/>
      <c r="C85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BB85"/>
      <c r="BC85"/>
      <c r="BD85"/>
      <c r="BE85"/>
      <c r="BF85"/>
    </row>
    <row r="86" spans="1:58" ht="16.5" x14ac:dyDescent="0.3">
      <c r="A86"/>
      <c r="B86"/>
      <c r="C86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BB86"/>
      <c r="BC86"/>
      <c r="BD86"/>
      <c r="BE86"/>
      <c r="BF86"/>
    </row>
    <row r="87" spans="1:58" ht="16.5" x14ac:dyDescent="0.3">
      <c r="A87"/>
      <c r="B87"/>
      <c r="C87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</row>
    <row r="88" spans="1:58" ht="16.5" x14ac:dyDescent="0.3">
      <c r="A88"/>
      <c r="B88"/>
      <c r="C88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</row>
    <row r="89" spans="1:58" ht="16.5" x14ac:dyDescent="0.3">
      <c r="A89"/>
      <c r="B89"/>
      <c r="C89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</row>
    <row r="90" spans="1:58" x14ac:dyDescent="0.25">
      <c r="A90"/>
      <c r="B90"/>
      <c r="C90"/>
    </row>
    <row r="91" spans="1:58" x14ac:dyDescent="0.25">
      <c r="A91"/>
      <c r="B91"/>
      <c r="C91"/>
    </row>
    <row r="92" spans="1:58" x14ac:dyDescent="0.25">
      <c r="A92"/>
      <c r="B92"/>
      <c r="C92"/>
    </row>
    <row r="93" spans="1:58" x14ac:dyDescent="0.25">
      <c r="A93"/>
      <c r="B93"/>
      <c r="C93"/>
    </row>
    <row r="94" spans="1:58" x14ac:dyDescent="0.25">
      <c r="A94"/>
      <c r="B94"/>
      <c r="C94"/>
    </row>
    <row r="95" spans="1:58" x14ac:dyDescent="0.25">
      <c r="A95"/>
      <c r="B95"/>
      <c r="C95"/>
    </row>
    <row r="96" spans="1:58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O6:Y16">
    <cfRule type="cellIs" dxfId="2" priority="1" operator="equal">
      <formula>$Z$17</formula>
    </cfRule>
  </conditionalFormatting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EF8D-ABAB-4E90-8F1D-F2DD574F6DC1}">
  <dimension ref="A1:BH300"/>
  <sheetViews>
    <sheetView zoomScale="96" zoomScaleNormal="96" workbookViewId="0">
      <selection activeCell="M18" sqref="M18"/>
    </sheetView>
  </sheetViews>
  <sheetFormatPr defaultColWidth="9.140625" defaultRowHeight="15" x14ac:dyDescent="0.25"/>
  <cols>
    <col min="1" max="1" width="4.5703125" style="57" bestFit="1" customWidth="1"/>
    <col min="2" max="2" width="11.140625" style="57" customWidth="1"/>
    <col min="3" max="4" width="9.7109375" style="57" customWidth="1"/>
    <col min="5" max="5" width="11" style="57" bestFit="1" customWidth="1"/>
    <col min="6" max="6" width="12.42578125" style="57" bestFit="1" customWidth="1"/>
    <col min="7" max="8" width="9.7109375" style="57" customWidth="1"/>
    <col min="9" max="9" width="9.140625" style="57"/>
    <col min="10" max="10" width="4.28515625" style="57" customWidth="1"/>
    <col min="11" max="11" width="32.28515625" style="57" bestFit="1" customWidth="1"/>
    <col min="12" max="12" width="46.5703125" style="57" bestFit="1" customWidth="1"/>
    <col min="13" max="13" width="32.28515625" style="57" bestFit="1" customWidth="1"/>
    <col min="14" max="14" width="31.42578125" bestFit="1" customWidth="1"/>
    <col min="15" max="15" width="10" style="57" bestFit="1" customWidth="1"/>
    <col min="16" max="16" width="9.28515625" style="57" bestFit="1" customWidth="1"/>
    <col min="17" max="17" width="10.42578125" style="57" bestFit="1" customWidth="1"/>
    <col min="18" max="18" width="9.28515625" style="57" bestFit="1" customWidth="1"/>
    <col min="19" max="20" width="9.140625" style="57"/>
    <col min="21" max="21" width="9.28515625" style="57" bestFit="1" customWidth="1"/>
    <col min="22" max="32" width="9.140625" style="57"/>
    <col min="33" max="33" width="9.140625" style="57" customWidth="1"/>
    <col min="34" max="36" width="9.140625" style="57"/>
    <col min="37" max="37" width="9.28515625" bestFit="1" customWidth="1"/>
    <col min="38" max="38" width="14" customWidth="1"/>
    <col min="39" max="39" width="12.28515625" customWidth="1"/>
    <col min="40" max="40" width="10.140625" bestFit="1" customWidth="1"/>
    <col min="41" max="41" width="10.140625" customWidth="1"/>
    <col min="42" max="44" width="9.28515625" customWidth="1"/>
    <col min="45" max="45" width="9.28515625" bestFit="1" customWidth="1"/>
    <col min="46" max="46" width="12.28515625" bestFit="1" customWidth="1"/>
    <col min="56" max="16384" width="9.140625" style="57"/>
  </cols>
  <sheetData>
    <row r="1" spans="1:60" ht="16.5" thickBot="1" x14ac:dyDescent="0.35">
      <c r="Q1" s="57" t="s">
        <v>87</v>
      </c>
      <c r="R1" s="160" t="s">
        <v>155</v>
      </c>
      <c r="S1" s="100">
        <v>4</v>
      </c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60" customFormat="1" ht="17.25" thickBot="1" x14ac:dyDescent="0.35">
      <c r="A2" s="132" t="s">
        <v>4</v>
      </c>
      <c r="B2" s="133" t="s">
        <v>158</v>
      </c>
      <c r="C2" s="109" t="s">
        <v>67</v>
      </c>
      <c r="D2" s="109" t="s">
        <v>19</v>
      </c>
      <c r="E2" s="109" t="s">
        <v>118</v>
      </c>
      <c r="F2" s="1" t="s">
        <v>108</v>
      </c>
      <c r="G2" s="1" t="s">
        <v>3</v>
      </c>
      <c r="H2" s="1" t="s">
        <v>111</v>
      </c>
      <c r="I2" s="1" t="s">
        <v>113</v>
      </c>
      <c r="J2" s="57"/>
      <c r="K2" s="57"/>
      <c r="L2" s="57"/>
      <c r="M2" s="57"/>
      <c r="O2" s="57"/>
      <c r="P2" s="57"/>
      <c r="Q2" s="57" t="s">
        <v>150</v>
      </c>
      <c r="R2" s="161" t="s">
        <v>154</v>
      </c>
      <c r="S2" s="344">
        <v>0.4</v>
      </c>
    </row>
    <row r="3" spans="1:60" customFormat="1" ht="16.5" x14ac:dyDescent="0.3">
      <c r="A3" s="109">
        <v>0</v>
      </c>
      <c r="B3" s="65"/>
      <c r="C3" s="340">
        <f>AVERAGE(B4:B7)</f>
        <v>28.5</v>
      </c>
      <c r="D3" s="341">
        <f>(AVERAGE(B28:B31)-AVERAGE(B4:B7))/(A31-S1-1)</f>
        <v>1.5543478260869565</v>
      </c>
      <c r="E3" s="134"/>
      <c r="F3" s="89"/>
      <c r="G3" s="89"/>
      <c r="H3" s="89"/>
      <c r="I3" s="89"/>
      <c r="J3" s="1"/>
      <c r="K3" s="345" t="str">
        <f ca="1">_xlfn.FORMULATEXT(C3)</f>
        <v>=AVERAGE(B4:B7)</v>
      </c>
      <c r="L3" s="347" t="str">
        <f ca="1">_xlfn.FORMULATEXT(D3)</f>
        <v>=(AVERAGE(B28:B31)-AVERAGE(B4:B7))/(A31-S1-1)</v>
      </c>
      <c r="M3" s="162"/>
      <c r="O3" s="89"/>
      <c r="P3" s="57"/>
      <c r="Q3" s="57" t="s">
        <v>148</v>
      </c>
      <c r="R3" s="161" t="s">
        <v>156</v>
      </c>
      <c r="S3" s="162">
        <v>0.7</v>
      </c>
      <c r="AH3" s="57"/>
      <c r="AI3" s="57"/>
      <c r="AJ3" s="57"/>
      <c r="BD3" s="57"/>
      <c r="BE3" s="57"/>
      <c r="BF3" s="57"/>
      <c r="BG3" s="57"/>
      <c r="BH3" s="57"/>
    </row>
    <row r="4" spans="1:60" customFormat="1" ht="16.5" x14ac:dyDescent="0.3">
      <c r="A4" s="74">
        <v>1</v>
      </c>
      <c r="B4" s="143">
        <v>21</v>
      </c>
      <c r="C4" s="350">
        <f>(1-$S$2)*SUM(C3:D3)+$S$2*B4/E4</f>
        <v>29.432608695652171</v>
      </c>
      <c r="D4" s="352">
        <f>(1-$S$3)*D3+$S$3*(C4-C3)</f>
        <v>1.1191304347826065</v>
      </c>
      <c r="E4" s="355">
        <f>B4/AVERAGE($B$4:$B$7)</f>
        <v>0.73684210526315785</v>
      </c>
      <c r="F4" s="343">
        <f>(C3+D3)*E4</f>
        <v>22.145308924485125</v>
      </c>
      <c r="G4" s="119"/>
      <c r="H4" s="119"/>
      <c r="I4" s="119"/>
      <c r="J4" s="164"/>
      <c r="K4" s="349" t="str">
        <f ca="1">_xlfn.FORMULATEXT(C4)</f>
        <v>=(1-$S$2)*SUM(C3:D3)+$S$2*B4/E4</v>
      </c>
      <c r="L4" s="353" t="str">
        <f ca="1">_xlfn.FORMULATEXT(D4)</f>
        <v>=(1-$S$3)*D3+$S$3*(C4-C3)</v>
      </c>
      <c r="M4" s="354" t="str">
        <f ca="1">_xlfn.FORMULATEXT(E4)</f>
        <v>=B4/AVERAGE($B$4:$B$7)</v>
      </c>
      <c r="O4" s="101"/>
      <c r="P4" s="57"/>
      <c r="Q4" s="57" t="s">
        <v>149</v>
      </c>
      <c r="R4" s="161" t="s">
        <v>157</v>
      </c>
      <c r="S4" s="155">
        <v>0.5</v>
      </c>
      <c r="AH4" s="57"/>
      <c r="AI4" s="57"/>
      <c r="AJ4" s="57"/>
      <c r="BD4" s="57"/>
      <c r="BE4" s="57"/>
      <c r="BF4" s="57"/>
      <c r="BG4" s="57"/>
      <c r="BH4" s="57"/>
    </row>
    <row r="5" spans="1:60" customFormat="1" ht="16.5" x14ac:dyDescent="0.3">
      <c r="A5" s="74">
        <v>2</v>
      </c>
      <c r="B5" s="143">
        <v>27</v>
      </c>
      <c r="C5" s="135">
        <f t="shared" ref="C5:C31" si="0">(1-$S$2)*SUM(C4:D4)+$S$2*B5/E5</f>
        <v>29.731043478260865</v>
      </c>
      <c r="D5" s="163">
        <f t="shared" ref="D5:D31" si="1">(1-$S$3)*D4+$S$3*(C5-C4)</f>
        <v>0.54464347826086823</v>
      </c>
      <c r="E5" s="355">
        <f t="shared" ref="E5:E6" si="2">B5/AVERAGE($B$4:$B$7)</f>
        <v>0.94736842105263153</v>
      </c>
      <c r="F5" s="343">
        <f t="shared" ref="F5:F31" si="3">(C4+D4)*E5</f>
        <v>28.943752860411891</v>
      </c>
      <c r="G5" s="119"/>
      <c r="H5" s="119"/>
      <c r="I5" s="119"/>
      <c r="J5" s="164"/>
      <c r="K5" s="348"/>
      <c r="L5" s="348"/>
      <c r="M5" s="354" t="str">
        <f t="shared" ref="M5:M8" ca="1" si="4">_xlfn.FORMULATEXT(E5)</f>
        <v>=B5/AVERAGE($B$4:$B$7)</v>
      </c>
      <c r="O5" s="164"/>
      <c r="AH5" s="57"/>
      <c r="AI5" s="57"/>
      <c r="AJ5" s="57"/>
      <c r="BD5" s="57"/>
      <c r="BE5" s="57"/>
      <c r="BF5" s="57"/>
      <c r="BG5" s="57"/>
      <c r="BH5" s="57"/>
    </row>
    <row r="6" spans="1:60" customFormat="1" ht="16.5" x14ac:dyDescent="0.3">
      <c r="A6" s="74">
        <v>3</v>
      </c>
      <c r="B6" s="143">
        <v>38</v>
      </c>
      <c r="C6" s="135">
        <f t="shared" si="0"/>
        <v>29.565412173913042</v>
      </c>
      <c r="D6" s="163">
        <f t="shared" si="1"/>
        <v>4.745113043478455E-2</v>
      </c>
      <c r="E6" s="355">
        <f t="shared" si="2"/>
        <v>1.3333333333333333</v>
      </c>
      <c r="F6" s="343">
        <f t="shared" si="3"/>
        <v>40.367582608695642</v>
      </c>
      <c r="G6" s="119"/>
      <c r="H6" s="119"/>
      <c r="I6" s="119"/>
      <c r="J6" s="164"/>
      <c r="K6" s="348"/>
      <c r="L6" s="348"/>
      <c r="M6" s="354" t="str">
        <f t="shared" ca="1" si="4"/>
        <v>=B6/AVERAGE($B$4:$B$7)</v>
      </c>
      <c r="O6" s="164"/>
      <c r="AH6" s="57"/>
      <c r="AI6" s="57"/>
      <c r="AJ6" s="57"/>
      <c r="BD6" s="57"/>
      <c r="BE6" s="57"/>
      <c r="BF6" s="57"/>
      <c r="BG6" s="57"/>
      <c r="BH6" s="57"/>
    </row>
    <row r="7" spans="1:60" customFormat="1" ht="16.5" x14ac:dyDescent="0.3">
      <c r="A7" s="74">
        <v>4</v>
      </c>
      <c r="B7" s="143">
        <v>28</v>
      </c>
      <c r="C7" s="135">
        <f t="shared" si="0"/>
        <v>29.167717982608696</v>
      </c>
      <c r="D7" s="163">
        <f t="shared" si="1"/>
        <v>-0.26415059478260694</v>
      </c>
      <c r="E7" s="355">
        <f>B7/AVERAGE($B$4:$B$7)</f>
        <v>0.98245614035087714</v>
      </c>
      <c r="F7" s="343">
        <f t="shared" si="3"/>
        <v>29.093339386727688</v>
      </c>
      <c r="G7" s="119"/>
      <c r="H7" s="119"/>
      <c r="I7" s="119"/>
      <c r="K7" s="162"/>
      <c r="L7" s="162"/>
      <c r="M7" s="354" t="str">
        <f t="shared" ca="1" si="4"/>
        <v>=B7/AVERAGE($B$4:$B$7)</v>
      </c>
      <c r="AH7" s="57"/>
      <c r="AI7" s="57"/>
      <c r="AJ7" s="57"/>
      <c r="BD7" s="57"/>
      <c r="BE7" s="57"/>
      <c r="BF7" s="57"/>
      <c r="BG7" s="57"/>
      <c r="BH7" s="57"/>
    </row>
    <row r="8" spans="1:60" customFormat="1" ht="16.5" x14ac:dyDescent="0.3">
      <c r="A8" s="74">
        <v>5</v>
      </c>
      <c r="B8" s="143">
        <v>38</v>
      </c>
      <c r="C8" s="135">
        <f t="shared" si="0"/>
        <v>38.518305273980232</v>
      </c>
      <c r="D8" s="163">
        <f t="shared" si="1"/>
        <v>6.466165925525293</v>
      </c>
      <c r="E8" s="342">
        <f>(1-$S$4)*E4+$S$4*B4/SUM(C3:D3)</f>
        <v>0.71778814123917378</v>
      </c>
      <c r="F8" s="343">
        <f t="shared" si="3"/>
        <v>20.746637910488889</v>
      </c>
      <c r="G8" s="119">
        <f t="shared" ref="G8:G31" si="5">B8-F8</f>
        <v>17.253362089511111</v>
      </c>
      <c r="H8" s="119">
        <f>G8^2</f>
        <v>297.6785033917792</v>
      </c>
      <c r="I8" s="119">
        <f>AVERAGE(H$8:H8)</f>
        <v>297.6785033917792</v>
      </c>
      <c r="K8" s="162"/>
      <c r="L8" s="162"/>
      <c r="M8" s="346" t="str">
        <f t="shared" ca="1" si="4"/>
        <v>=(1-$S$4)*E4+$S$4*B4/SUM(C3:D3)</v>
      </c>
      <c r="AH8" s="57"/>
      <c r="AI8" s="57"/>
      <c r="AJ8" s="57"/>
      <c r="BD8" s="57"/>
      <c r="BE8" s="57"/>
      <c r="BF8" s="57"/>
      <c r="BG8" s="57"/>
      <c r="BH8" s="57"/>
    </row>
    <row r="9" spans="1:60" customFormat="1" ht="16.5" x14ac:dyDescent="0.3">
      <c r="A9" s="74">
        <v>6</v>
      </c>
      <c r="B9" s="143">
        <v>49</v>
      </c>
      <c r="C9" s="135">
        <f t="shared" si="0"/>
        <v>48.398402307291704</v>
      </c>
      <c r="D9" s="163">
        <f t="shared" si="1"/>
        <v>8.8559177009756187</v>
      </c>
      <c r="E9" s="343">
        <f t="shared" ref="E9:E31" si="6">(1-$S$4)*E5+$S$4*B5/SUM(C4:D4)</f>
        <v>0.91555758285266176</v>
      </c>
      <c r="F9" s="343">
        <f t="shared" si="3"/>
        <v>41.185873717324462</v>
      </c>
      <c r="G9" s="119">
        <f t="shared" si="5"/>
        <v>7.814126282675538</v>
      </c>
      <c r="H9" s="119">
        <f t="shared" ref="H9:H31" si="7">G9^2</f>
        <v>61.060569561600623</v>
      </c>
      <c r="I9" s="119">
        <f>AVERAGE(H$8:H9)</f>
        <v>179.36953647668992</v>
      </c>
      <c r="K9" s="162"/>
      <c r="L9" s="162"/>
      <c r="M9" s="162"/>
      <c r="AH9" s="57"/>
      <c r="AI9" s="57"/>
      <c r="AJ9" s="57"/>
      <c r="BD9" s="57"/>
      <c r="BE9" s="57"/>
      <c r="BF9" s="57"/>
      <c r="BG9" s="57"/>
      <c r="BH9" s="57"/>
    </row>
    <row r="10" spans="1:60" customFormat="1" ht="16.5" x14ac:dyDescent="0.3">
      <c r="A10" s="74">
        <v>7</v>
      </c>
      <c r="B10" s="143">
        <v>47</v>
      </c>
      <c r="C10" s="135">
        <f t="shared" si="0"/>
        <v>48.878570626111639</v>
      </c>
      <c r="D10" s="163">
        <f t="shared" si="1"/>
        <v>2.99289313346664</v>
      </c>
      <c r="E10" s="343">
        <f t="shared" si="6"/>
        <v>1.2942329388138682</v>
      </c>
      <c r="F10" s="343">
        <f t="shared" si="3"/>
        <v>74.100426844089469</v>
      </c>
      <c r="G10" s="119">
        <f t="shared" si="5"/>
        <v>-27.100426844089469</v>
      </c>
      <c r="H10" s="119">
        <f t="shared" si="7"/>
        <v>734.43313513184512</v>
      </c>
      <c r="I10" s="119">
        <f>AVERAGE(H$8:H10)</f>
        <v>364.39073602840836</v>
      </c>
      <c r="K10" s="162"/>
      <c r="L10" s="162"/>
      <c r="M10" s="162"/>
      <c r="AH10" s="57"/>
      <c r="AI10" s="57"/>
      <c r="AJ10" s="57"/>
      <c r="BD10" s="57"/>
      <c r="BE10" s="57"/>
      <c r="BF10" s="57"/>
      <c r="BG10" s="57"/>
      <c r="BH10" s="57"/>
    </row>
    <row r="11" spans="1:60" customFormat="1" ht="16.5" x14ac:dyDescent="0.3">
      <c r="A11" s="74">
        <v>8</v>
      </c>
      <c r="B11" s="143">
        <v>35</v>
      </c>
      <c r="C11" s="135">
        <f t="shared" si="0"/>
        <v>45.645766239323059</v>
      </c>
      <c r="D11" s="163">
        <f t="shared" si="1"/>
        <v>-1.3650951307120134</v>
      </c>
      <c r="E11" s="343">
        <f t="shared" si="6"/>
        <v>0.96399559204977514</v>
      </c>
      <c r="F11" s="343">
        <f t="shared" si="3"/>
        <v>50.003862417403113</v>
      </c>
      <c r="G11" s="119">
        <f t="shared" si="5"/>
        <v>-15.003862417403113</v>
      </c>
      <c r="H11" s="119">
        <f t="shared" si="7"/>
        <v>225.11588744036158</v>
      </c>
      <c r="I11" s="119">
        <f>AVERAGE(H$8:H11)</f>
        <v>329.57202388139666</v>
      </c>
      <c r="K11" s="162"/>
      <c r="L11" s="162"/>
      <c r="M11" s="162"/>
      <c r="AH11" s="57"/>
      <c r="AI11" s="57"/>
      <c r="AJ11" s="57"/>
      <c r="BD11" s="57"/>
      <c r="BE11" s="57"/>
      <c r="BF11" s="57"/>
      <c r="BG11" s="57"/>
      <c r="BH11" s="57"/>
    </row>
    <row r="12" spans="1:60" customFormat="1" ht="16.5" x14ac:dyDescent="0.3">
      <c r="A12" s="74">
        <v>9</v>
      </c>
      <c r="B12" s="143">
        <v>42</v>
      </c>
      <c r="C12" s="135">
        <f t="shared" si="0"/>
        <v>43.09972937207867</v>
      </c>
      <c r="D12" s="163">
        <f t="shared" si="1"/>
        <v>-2.1917543462846765</v>
      </c>
      <c r="E12" s="343">
        <f t="shared" si="6"/>
        <v>1.0162523733183264</v>
      </c>
      <c r="F12" s="343">
        <f t="shared" si="3"/>
        <v>45.000337106254221</v>
      </c>
      <c r="G12" s="119">
        <f t="shared" si="5"/>
        <v>-3.0003371062542215</v>
      </c>
      <c r="H12" s="119">
        <f t="shared" si="7"/>
        <v>9.0020227511659545</v>
      </c>
      <c r="I12" s="119">
        <f>AVERAGE(H$8:H12)</f>
        <v>265.45802365535053</v>
      </c>
      <c r="K12" s="162"/>
      <c r="L12" s="162"/>
      <c r="M12" s="162"/>
      <c r="AH12" s="57"/>
      <c r="AI12" s="57"/>
      <c r="AJ12" s="57"/>
      <c r="BD12" s="57"/>
      <c r="BE12" s="57"/>
      <c r="BF12" s="57"/>
      <c r="BG12" s="57"/>
      <c r="BH12" s="57"/>
    </row>
    <row r="13" spans="1:60" customFormat="1" ht="16.5" x14ac:dyDescent="0.3">
      <c r="A13" s="74">
        <v>10</v>
      </c>
      <c r="B13" s="143">
        <v>55</v>
      </c>
      <c r="C13" s="135">
        <f t="shared" si="0"/>
        <v>46.49186665025821</v>
      </c>
      <c r="D13" s="163">
        <f t="shared" si="1"/>
        <v>1.7169697908402748</v>
      </c>
      <c r="E13" s="343">
        <f t="shared" si="6"/>
        <v>1.0024111800420117</v>
      </c>
      <c r="F13" s="343">
        <f t="shared" si="3"/>
        <v>41.006611518735305</v>
      </c>
      <c r="G13" s="119">
        <f t="shared" si="5"/>
        <v>13.993388481264695</v>
      </c>
      <c r="H13" s="119">
        <f t="shared" si="7"/>
        <v>195.81492118759144</v>
      </c>
      <c r="I13" s="119">
        <f>AVERAGE(H$8:H13)</f>
        <v>253.85083991072398</v>
      </c>
      <c r="K13" s="162"/>
      <c r="L13" s="162"/>
      <c r="M13" s="162"/>
      <c r="AH13" s="57"/>
      <c r="AI13" s="57"/>
      <c r="AJ13" s="57"/>
      <c r="BD13" s="57"/>
      <c r="BE13" s="57"/>
      <c r="BF13" s="57"/>
      <c r="BG13" s="57"/>
      <c r="BH13" s="57"/>
    </row>
    <row r="14" spans="1:60" customFormat="1" ht="16.5" x14ac:dyDescent="0.3">
      <c r="A14" s="74">
        <v>11</v>
      </c>
      <c r="B14" s="143">
        <v>56</v>
      </c>
      <c r="C14" s="135">
        <f t="shared" si="0"/>
        <v>50.106016113277491</v>
      </c>
      <c r="D14" s="163">
        <f t="shared" si="1"/>
        <v>3.044995561365579</v>
      </c>
      <c r="E14" s="343">
        <f t="shared" si="6"/>
        <v>1.0575658467920237</v>
      </c>
      <c r="F14" s="343">
        <f t="shared" si="3"/>
        <v>50.984018933688489</v>
      </c>
      <c r="G14" s="119">
        <f t="shared" si="5"/>
        <v>5.015981066311511</v>
      </c>
      <c r="H14" s="119">
        <f t="shared" si="7"/>
        <v>25.160066057595564</v>
      </c>
      <c r="I14" s="119">
        <f>AVERAGE(H$8:H14)</f>
        <v>221.18072936027707</v>
      </c>
      <c r="AH14" s="57"/>
      <c r="AI14" s="57"/>
      <c r="AJ14" s="57"/>
      <c r="BD14" s="57"/>
      <c r="BE14" s="57"/>
      <c r="BF14" s="57"/>
      <c r="BG14" s="57"/>
      <c r="BH14" s="57"/>
    </row>
    <row r="15" spans="1:60" customFormat="1" ht="16.5" x14ac:dyDescent="0.3">
      <c r="A15" s="74">
        <v>12</v>
      </c>
      <c r="B15" s="143">
        <v>32</v>
      </c>
      <c r="C15" s="135">
        <f t="shared" si="0"/>
        <v>47.512361528417188</v>
      </c>
      <c r="D15" s="163">
        <f t="shared" si="1"/>
        <v>-0.90205954099253816</v>
      </c>
      <c r="E15" s="343">
        <f t="shared" si="6"/>
        <v>0.81937019178205484</v>
      </c>
      <c r="F15" s="343">
        <f t="shared" si="3"/>
        <v>43.550354629262529</v>
      </c>
      <c r="G15" s="119">
        <f t="shared" si="5"/>
        <v>-11.550354629262529</v>
      </c>
      <c r="H15" s="119">
        <f t="shared" si="7"/>
        <v>133.41069206172634</v>
      </c>
      <c r="I15" s="119">
        <f>AVERAGE(H$8:H15)</f>
        <v>210.20947469795823</v>
      </c>
      <c r="AH15" s="57"/>
      <c r="AI15" s="57"/>
      <c r="AJ15" s="57"/>
      <c r="BD15" s="57"/>
      <c r="BE15" s="57"/>
      <c r="BF15" s="57"/>
      <c r="BG15" s="57"/>
      <c r="BH15" s="57"/>
    </row>
    <row r="16" spans="1:60" customFormat="1" ht="16.5" x14ac:dyDescent="0.3">
      <c r="A16" s="74">
        <v>13</v>
      </c>
      <c r="B16" s="143">
        <v>35</v>
      </c>
      <c r="C16" s="135">
        <f t="shared" si="0"/>
        <v>42.217376443880767</v>
      </c>
      <c r="D16" s="163">
        <f t="shared" si="1"/>
        <v>-3.9771074214732556</v>
      </c>
      <c r="E16" s="343">
        <f t="shared" si="6"/>
        <v>0.9823737415006758</v>
      </c>
      <c r="F16" s="343">
        <f t="shared" si="3"/>
        <v>45.788736755862736</v>
      </c>
      <c r="G16" s="119">
        <f t="shared" si="5"/>
        <v>-10.788736755862736</v>
      </c>
      <c r="H16" s="119">
        <f t="shared" si="7"/>
        <v>116.39684078730359</v>
      </c>
      <c r="I16" s="119">
        <f>AVERAGE(H$8:H16)</f>
        <v>199.78584870788549</v>
      </c>
      <c r="AH16" s="57"/>
      <c r="AI16" s="57"/>
      <c r="AJ16" s="57"/>
      <c r="BD16" s="57"/>
      <c r="BE16" s="57"/>
      <c r="BF16" s="57"/>
      <c r="BG16" s="57"/>
      <c r="BH16" s="57"/>
    </row>
    <row r="17" spans="1:60" customFormat="1" ht="16.5" x14ac:dyDescent="0.3">
      <c r="A17" s="74">
        <v>14</v>
      </c>
      <c r="B17" s="143">
        <v>55</v>
      </c>
      <c r="C17" s="135">
        <f t="shared" si="0"/>
        <v>41.692358778827852</v>
      </c>
      <c r="D17" s="163">
        <f t="shared" si="1"/>
        <v>-1.5606445919790166</v>
      </c>
      <c r="E17" s="343">
        <f t="shared" si="6"/>
        <v>1.1734461490479493</v>
      </c>
      <c r="F17" s="343">
        <f t="shared" si="3"/>
        <v>44.872896422901682</v>
      </c>
      <c r="G17" s="119">
        <f t="shared" si="5"/>
        <v>10.127103577098318</v>
      </c>
      <c r="H17" s="119">
        <f t="shared" si="7"/>
        <v>102.55822686127753</v>
      </c>
      <c r="I17" s="119">
        <f>AVERAGE(H$8:H17)</f>
        <v>190.06308652322468</v>
      </c>
      <c r="AH17" s="65"/>
      <c r="AI17" s="65"/>
      <c r="AJ17" s="65"/>
      <c r="AK17" s="6"/>
      <c r="AL17" s="6"/>
      <c r="AM17" s="6"/>
      <c r="AN17" s="6"/>
      <c r="AO17" s="6"/>
      <c r="AP17" s="6"/>
      <c r="AQ17" s="6"/>
      <c r="BD17" s="57"/>
      <c r="BE17" s="57"/>
      <c r="BF17" s="57"/>
      <c r="BG17" s="57"/>
      <c r="BH17" s="57"/>
    </row>
    <row r="18" spans="1:60" ht="16.5" x14ac:dyDescent="0.3">
      <c r="A18" s="74">
        <v>15</v>
      </c>
      <c r="B18" s="143">
        <v>50</v>
      </c>
      <c r="C18" s="135">
        <f t="shared" si="0"/>
        <v>42.103715534188595</v>
      </c>
      <c r="D18" s="163">
        <f t="shared" si="1"/>
        <v>-0.18024364884118538</v>
      </c>
      <c r="E18" s="343">
        <f t="shared" si="6"/>
        <v>1.1095893080141175</v>
      </c>
      <c r="F18" s="343">
        <f t="shared" si="3"/>
        <v>44.529720974005947</v>
      </c>
      <c r="G18" s="119">
        <f t="shared" si="5"/>
        <v>5.4702790259940528</v>
      </c>
      <c r="H18" s="119">
        <f t="shared" si="7"/>
        <v>29.923952622230441</v>
      </c>
      <c r="I18" s="119">
        <f>AVERAGE(H$8:H18)</f>
        <v>175.50498344131611</v>
      </c>
      <c r="J18"/>
      <c r="K18"/>
      <c r="L18"/>
      <c r="M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 s="65"/>
      <c r="AI18" s="65"/>
      <c r="AJ18" s="65"/>
      <c r="AK18" s="6"/>
      <c r="AL18" s="6"/>
      <c r="AM18" s="6"/>
      <c r="AN18" s="6"/>
      <c r="AO18" s="6"/>
      <c r="AP18" s="6"/>
      <c r="AQ18" s="6"/>
    </row>
    <row r="19" spans="1:60" ht="16.5" x14ac:dyDescent="0.3">
      <c r="A19" s="74">
        <v>16</v>
      </c>
      <c r="B19" s="143">
        <v>46</v>
      </c>
      <c r="C19" s="135">
        <f t="shared" si="0"/>
        <v>51.043534467672117</v>
      </c>
      <c r="D19" s="163">
        <f t="shared" si="1"/>
        <v>6.2038001587861089</v>
      </c>
      <c r="E19" s="343">
        <f t="shared" si="6"/>
        <v>0.7107141731537876</v>
      </c>
      <c r="F19" s="343">
        <f t="shared" si="3"/>
        <v>29.795605656730746</v>
      </c>
      <c r="G19" s="119">
        <f t="shared" si="5"/>
        <v>16.204394343269254</v>
      </c>
      <c r="H19" s="119">
        <f t="shared" si="7"/>
        <v>262.58239603217658</v>
      </c>
      <c r="I19" s="119">
        <f>AVERAGE(H$8:H19)</f>
        <v>182.76143449055448</v>
      </c>
      <c r="J19"/>
      <c r="K19"/>
      <c r="L19"/>
      <c r="M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 s="65"/>
      <c r="AI19" s="65"/>
      <c r="AJ19" s="65"/>
      <c r="AK19" s="6"/>
      <c r="AL19" s="6"/>
      <c r="AM19" s="6"/>
      <c r="AN19" s="6"/>
      <c r="AO19" s="6"/>
      <c r="AP19" s="6"/>
      <c r="AQ19" s="6"/>
    </row>
    <row r="20" spans="1:60" ht="16.5" x14ac:dyDescent="0.3">
      <c r="A20" s="74">
        <v>17</v>
      </c>
      <c r="B20" s="143">
        <v>44</v>
      </c>
      <c r="C20" s="135">
        <f t="shared" si="0"/>
        <v>54.656709778345942</v>
      </c>
      <c r="D20" s="163">
        <f t="shared" si="1"/>
        <v>4.3903627651075094</v>
      </c>
      <c r="E20" s="343">
        <f t="shared" si="6"/>
        <v>0.86664034892607378</v>
      </c>
      <c r="F20" s="343">
        <f t="shared" si="3"/>
        <v>49.612850055761463</v>
      </c>
      <c r="G20" s="119">
        <f t="shared" si="5"/>
        <v>-5.6128500557614629</v>
      </c>
      <c r="H20" s="119">
        <f t="shared" si="7"/>
        <v>31.504085748461456</v>
      </c>
      <c r="I20" s="119">
        <f>AVERAGE(H$8:H20)</f>
        <v>171.12625381808579</v>
      </c>
      <c r="J20"/>
      <c r="K20"/>
      <c r="L20"/>
      <c r="M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 s="65"/>
      <c r="AI20" s="65"/>
      <c r="AJ20" s="65"/>
      <c r="AK20" s="6"/>
      <c r="AL20" s="6"/>
      <c r="AM20" s="6"/>
      <c r="AN20" s="6"/>
      <c r="AO20" s="6"/>
      <c r="AP20" s="6"/>
      <c r="AQ20" s="6"/>
    </row>
    <row r="21" spans="1:60" ht="16.5" x14ac:dyDescent="0.3">
      <c r="A21" s="74">
        <v>18</v>
      </c>
      <c r="B21" s="143">
        <v>45</v>
      </c>
      <c r="C21" s="135">
        <f t="shared" si="0"/>
        <v>49.21226035259312</v>
      </c>
      <c r="D21" s="163">
        <f t="shared" si="1"/>
        <v>-2.4940057684947217</v>
      </c>
      <c r="E21" s="343">
        <f t="shared" si="6"/>
        <v>1.3058602747326322</v>
      </c>
      <c r="F21" s="343">
        <f t="shared" si="3"/>
        <v>77.107226373751786</v>
      </c>
      <c r="G21" s="119">
        <f t="shared" si="5"/>
        <v>-32.107226373751786</v>
      </c>
      <c r="H21" s="119">
        <f t="shared" si="7"/>
        <v>1030.8739854153423</v>
      </c>
      <c r="I21" s="119">
        <f>AVERAGE(H$8:H21)</f>
        <v>232.53680607503267</v>
      </c>
      <c r="J21"/>
      <c r="K21"/>
      <c r="L21"/>
      <c r="M21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"/>
      <c r="AL21" s="6"/>
      <c r="AM21" s="6"/>
      <c r="AN21" s="6"/>
      <c r="AO21" s="6"/>
      <c r="AP21" s="6"/>
      <c r="AQ21" s="6"/>
    </row>
    <row r="22" spans="1:60" ht="16.5" x14ac:dyDescent="0.3">
      <c r="A22" s="74">
        <v>19</v>
      </c>
      <c r="B22" s="143">
        <v>59</v>
      </c>
      <c r="C22" s="135">
        <f t="shared" si="0"/>
        <v>48.069273927141055</v>
      </c>
      <c r="D22" s="163">
        <f t="shared" si="1"/>
        <v>-1.5482922283648621</v>
      </c>
      <c r="E22" s="343">
        <f t="shared" si="6"/>
        <v>1.1777433744031711</v>
      </c>
      <c r="F22" s="343">
        <f t="shared" si="3"/>
        <v>55.022114800102464</v>
      </c>
      <c r="G22" s="119">
        <f t="shared" si="5"/>
        <v>3.9778851998975355</v>
      </c>
      <c r="H22" s="119">
        <f t="shared" si="7"/>
        <v>15.823570663563856</v>
      </c>
      <c r="I22" s="119">
        <f>AVERAGE(H$8:H22)</f>
        <v>218.08925704760139</v>
      </c>
      <c r="J22"/>
      <c r="K22"/>
      <c r="L22"/>
      <c r="M22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"/>
      <c r="AL22" s="6"/>
      <c r="AM22" s="6"/>
      <c r="AN22" s="6"/>
      <c r="AO22" s="6"/>
      <c r="AP22" s="6"/>
      <c r="AQ22" s="6"/>
    </row>
    <row r="23" spans="1:60" ht="16.5" x14ac:dyDescent="0.3">
      <c r="A23" s="74">
        <v>20</v>
      </c>
      <c r="B23" s="143">
        <v>49</v>
      </c>
      <c r="C23" s="135">
        <f t="shared" si="0"/>
        <v>49.594586064693146</v>
      </c>
      <c r="D23" s="163">
        <f t="shared" si="1"/>
        <v>0.60323082777700554</v>
      </c>
      <c r="E23" s="343">
        <f t="shared" si="6"/>
        <v>0.90397577118633055</v>
      </c>
      <c r="F23" s="343">
        <f t="shared" si="3"/>
        <v>42.053840307496372</v>
      </c>
      <c r="G23" s="119">
        <f t="shared" si="5"/>
        <v>6.9461596925036275</v>
      </c>
      <c r="H23" s="119">
        <f t="shared" si="7"/>
        <v>48.249134473762091</v>
      </c>
      <c r="I23" s="119">
        <f>AVERAGE(H$8:H23)</f>
        <v>207.47424938673646</v>
      </c>
      <c r="J23"/>
      <c r="K23"/>
      <c r="L23"/>
      <c r="M23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"/>
      <c r="AL23" s="6"/>
      <c r="AM23" s="6"/>
      <c r="AN23" s="6"/>
      <c r="AO23" s="6"/>
      <c r="AP23" s="6"/>
      <c r="AQ23" s="6"/>
    </row>
    <row r="24" spans="1:60" ht="16.5" x14ac:dyDescent="0.3">
      <c r="A24" s="74">
        <v>21</v>
      </c>
      <c r="B24" s="143">
        <v>39</v>
      </c>
      <c r="C24" s="135">
        <f t="shared" si="0"/>
        <v>49.198515600485862</v>
      </c>
      <c r="D24" s="163">
        <f t="shared" si="1"/>
        <v>-9.6280076611997167E-2</v>
      </c>
      <c r="E24" s="343">
        <f t="shared" si="6"/>
        <v>0.81761754207938298</v>
      </c>
      <c r="F24" s="343">
        <f t="shared" si="3"/>
        <v>41.042615665372374</v>
      </c>
      <c r="G24" s="119">
        <f t="shared" si="5"/>
        <v>-2.0426156653723737</v>
      </c>
      <c r="H24" s="119">
        <f t="shared" si="7"/>
        <v>4.1722787564246246</v>
      </c>
      <c r="I24" s="119">
        <f>AVERAGE(H$8:H24)</f>
        <v>195.51530993789459</v>
      </c>
      <c r="J24"/>
      <c r="K24"/>
      <c r="L24"/>
      <c r="M24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"/>
      <c r="AL24" s="6"/>
      <c r="AM24" s="6"/>
      <c r="AN24" s="6"/>
      <c r="AO24" s="6"/>
      <c r="AP24" s="6"/>
      <c r="AQ24" s="6"/>
    </row>
    <row r="25" spans="1:60" ht="16.5" x14ac:dyDescent="0.3">
      <c r="A25" s="74">
        <v>22</v>
      </c>
      <c r="B25" s="143">
        <v>73</v>
      </c>
      <c r="C25" s="135">
        <f t="shared" si="0"/>
        <v>57.701676787859739</v>
      </c>
      <c r="D25" s="163">
        <f t="shared" si="1"/>
        <v>5.9233288081781144</v>
      </c>
      <c r="E25" s="343">
        <f t="shared" si="6"/>
        <v>1.0339820512176248</v>
      </c>
      <c r="F25" s="343">
        <f t="shared" si="3"/>
        <v>50.77083020634602</v>
      </c>
      <c r="G25" s="119">
        <f t="shared" si="5"/>
        <v>22.22916979365398</v>
      </c>
      <c r="H25" s="119">
        <f t="shared" si="7"/>
        <v>494.13598971509856</v>
      </c>
      <c r="I25" s="119">
        <f>AVERAGE(H$8:H25)</f>
        <v>212.1053477032948</v>
      </c>
      <c r="J25"/>
      <c r="K25"/>
      <c r="L25"/>
      <c r="M2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"/>
      <c r="AL25" s="6"/>
      <c r="AM25" s="6"/>
      <c r="AN25" s="6"/>
      <c r="AO25" s="6"/>
      <c r="AP25" s="6"/>
      <c r="AQ25" s="6"/>
    </row>
    <row r="26" spans="1:60" ht="16.5" x14ac:dyDescent="0.3">
      <c r="A26" s="74">
        <v>23</v>
      </c>
      <c r="B26" s="143">
        <v>75</v>
      </c>
      <c r="C26" s="135">
        <f t="shared" si="0"/>
        <v>62.758789406146207</v>
      </c>
      <c r="D26" s="163">
        <f t="shared" si="1"/>
        <v>5.3169774752539611</v>
      </c>
      <c r="E26" s="343">
        <f t="shared" si="6"/>
        <v>1.2203165102716877</v>
      </c>
      <c r="F26" s="343">
        <f t="shared" si="3"/>
        <v>77.642644794973521</v>
      </c>
      <c r="G26" s="119">
        <f t="shared" si="5"/>
        <v>-2.6426447949735206</v>
      </c>
      <c r="H26" s="119">
        <f t="shared" si="7"/>
        <v>6.9835715124006406</v>
      </c>
      <c r="I26" s="119">
        <f>AVERAGE(H$8:H26)</f>
        <v>201.30946474587932</v>
      </c>
      <c r="J26"/>
      <c r="K26"/>
      <c r="L26"/>
      <c r="M26"/>
      <c r="O26" s="65"/>
      <c r="P26" s="65"/>
      <c r="Q26" s="65"/>
      <c r="R26" s="65"/>
      <c r="S26" s="65"/>
      <c r="T26" s="65"/>
      <c r="U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"/>
      <c r="AL26" s="6"/>
      <c r="AM26" s="6"/>
      <c r="AN26" s="6"/>
      <c r="AO26" s="6"/>
      <c r="AP26" s="6"/>
      <c r="AQ26" s="6"/>
    </row>
    <row r="27" spans="1:60" ht="16.5" x14ac:dyDescent="0.3">
      <c r="A27" s="74">
        <v>24</v>
      </c>
      <c r="B27" s="143">
        <v>56</v>
      </c>
      <c r="C27" s="135">
        <f t="shared" si="0"/>
        <v>63.734554900316624</v>
      </c>
      <c r="D27" s="163">
        <f t="shared" si="1"/>
        <v>2.278129088495481</v>
      </c>
      <c r="E27" s="343">
        <f t="shared" si="6"/>
        <v>0.97863197403131863</v>
      </c>
      <c r="F27" s="343">
        <f t="shared" si="3"/>
        <v>66.621122126840518</v>
      </c>
      <c r="G27" s="119">
        <f t="shared" si="5"/>
        <v>-10.621122126840518</v>
      </c>
      <c r="H27" s="119">
        <f t="shared" si="7"/>
        <v>112.80823523326126</v>
      </c>
      <c r="I27" s="119">
        <f>AVERAGE(H$8:H27)</f>
        <v>196.88440327024841</v>
      </c>
      <c r="J27"/>
      <c r="K27"/>
      <c r="L27"/>
      <c r="M27"/>
      <c r="O27" s="65"/>
      <c r="P27" s="65"/>
      <c r="Q27" s="65"/>
      <c r="R27" s="65"/>
      <c r="S27" s="65"/>
      <c r="T27" s="65"/>
      <c r="U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"/>
      <c r="AL27" s="6"/>
      <c r="AM27" s="6"/>
      <c r="AN27" s="6"/>
      <c r="AO27" s="6"/>
      <c r="AP27" s="6"/>
      <c r="AQ27" s="6"/>
    </row>
    <row r="28" spans="1:60" ht="16.5" x14ac:dyDescent="0.3">
      <c r="A28" s="74">
        <v>25</v>
      </c>
      <c r="B28" s="143">
        <v>60</v>
      </c>
      <c r="C28" s="135">
        <f t="shared" si="0"/>
        <v>69.710264970590771</v>
      </c>
      <c r="D28" s="163">
        <f t="shared" si="1"/>
        <v>4.8664357757405465</v>
      </c>
      <c r="E28" s="343">
        <f t="shared" si="6"/>
        <v>0.79727187973964508</v>
      </c>
      <c r="F28" s="343">
        <f t="shared" si="3"/>
        <v>52.630056650419398</v>
      </c>
      <c r="G28" s="119">
        <f t="shared" si="5"/>
        <v>7.3699433495806019</v>
      </c>
      <c r="H28" s="119">
        <f t="shared" si="7"/>
        <v>54.316064976027342</v>
      </c>
      <c r="I28" s="119">
        <f>AVERAGE(H$8:H28)</f>
        <v>190.09543478004741</v>
      </c>
      <c r="J28"/>
      <c r="K28"/>
      <c r="L28"/>
      <c r="M28"/>
      <c r="O28" s="65"/>
      <c r="P28" s="65"/>
      <c r="Q28" s="65"/>
      <c r="R28" s="65"/>
      <c r="S28" s="65"/>
      <c r="T28" s="65"/>
      <c r="U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"/>
      <c r="AL28" s="6"/>
      <c r="AM28" s="6"/>
      <c r="AN28" s="6"/>
      <c r="AO28" s="6"/>
      <c r="AP28" s="6"/>
      <c r="AQ28" s="6"/>
    </row>
    <row r="29" spans="1:60" ht="16.5" x14ac:dyDescent="0.3">
      <c r="A29" s="74">
        <v>26</v>
      </c>
      <c r="B29" s="143">
        <v>71</v>
      </c>
      <c r="C29" s="135">
        <f t="shared" si="0"/>
        <v>67.279657598865072</v>
      </c>
      <c r="D29" s="163">
        <f t="shared" si="1"/>
        <v>-0.24149442748582528</v>
      </c>
      <c r="E29" s="343">
        <f t="shared" si="6"/>
        <v>1.2603380364033296</v>
      </c>
      <c r="F29" s="343">
        <f t="shared" si="3"/>
        <v>93.991852580069931</v>
      </c>
      <c r="G29" s="119">
        <f t="shared" si="5"/>
        <v>-22.991852580069931</v>
      </c>
      <c r="H29" s="119">
        <f t="shared" si="7"/>
        <v>528.62528506366834</v>
      </c>
      <c r="I29" s="119">
        <f>AVERAGE(H$8:H29)</f>
        <v>205.48315524748475</v>
      </c>
      <c r="J29"/>
      <c r="K29"/>
      <c r="L29"/>
      <c r="M29"/>
      <c r="O29" s="65"/>
      <c r="P29" s="65"/>
      <c r="Q29" s="65"/>
      <c r="R29" s="65"/>
      <c r="S29" s="65"/>
      <c r="T29" s="65"/>
      <c r="U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"/>
      <c r="AL29" s="6"/>
      <c r="AM29" s="6"/>
      <c r="AN29" s="6"/>
      <c r="AO29" s="6"/>
      <c r="AP29" s="6"/>
      <c r="AQ29" s="6"/>
    </row>
    <row r="30" spans="1:60" ht="16.5" x14ac:dyDescent="0.3">
      <c r="A30" s="74">
        <v>27</v>
      </c>
      <c r="B30" s="143">
        <v>84</v>
      </c>
      <c r="C30" s="135">
        <f t="shared" si="0"/>
        <v>68.233421317150217</v>
      </c>
      <c r="D30" s="163">
        <f t="shared" si="1"/>
        <v>0.59518627455385431</v>
      </c>
      <c r="E30" s="343">
        <f t="shared" si="6"/>
        <v>1.1995491659687894</v>
      </c>
      <c r="F30" s="343">
        <f t="shared" si="3"/>
        <v>80.415572720307594</v>
      </c>
      <c r="G30" s="119">
        <f t="shared" si="5"/>
        <v>3.5844272796924059</v>
      </c>
      <c r="H30" s="119">
        <f t="shared" si="7"/>
        <v>12.848118923403101</v>
      </c>
      <c r="I30" s="119">
        <f>AVERAGE(H$8:H30)</f>
        <v>197.10771888556815</v>
      </c>
      <c r="J30"/>
      <c r="K30"/>
      <c r="L30"/>
      <c r="M30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"/>
      <c r="AL30" s="6"/>
      <c r="AM30" s="6"/>
      <c r="AN30" s="6"/>
      <c r="AO30" s="6"/>
      <c r="AP30" s="6"/>
      <c r="AQ30" s="6"/>
    </row>
    <row r="31" spans="1:60" ht="16.5" x14ac:dyDescent="0.3">
      <c r="A31" s="74">
        <v>28</v>
      </c>
      <c r="B31" s="143">
        <v>42</v>
      </c>
      <c r="C31" s="135">
        <f t="shared" si="0"/>
        <v>59.950930949763084</v>
      </c>
      <c r="D31" s="163">
        <f t="shared" si="1"/>
        <v>-5.6191873748048362</v>
      </c>
      <c r="E31" s="343">
        <f t="shared" si="6"/>
        <v>0.9006224075335636</v>
      </c>
      <c r="F31" s="343">
        <f t="shared" si="3"/>
        <v>61.988586276423433</v>
      </c>
      <c r="G31" s="119">
        <f t="shared" si="5"/>
        <v>-19.988586276423433</v>
      </c>
      <c r="H31" s="119">
        <f t="shared" si="7"/>
        <v>399.54358133002319</v>
      </c>
      <c r="I31" s="119">
        <f>AVERAGE(H$8:H31)</f>
        <v>205.54254648742042</v>
      </c>
      <c r="J31"/>
      <c r="K31"/>
      <c r="L31"/>
      <c r="M31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"/>
      <c r="AL31" s="6"/>
      <c r="AM31" s="6"/>
      <c r="AN31" s="6"/>
      <c r="AO31" s="6"/>
      <c r="AP31" s="6"/>
      <c r="AQ31" s="6"/>
    </row>
    <row r="32" spans="1:60" ht="16.5" x14ac:dyDescent="0.3">
      <c r="A32" s="74">
        <v>29</v>
      </c>
      <c r="B32"/>
      <c r="C32" s="6"/>
      <c r="D32" s="6"/>
      <c r="E32" s="356">
        <f t="shared" ref="E32:E35" si="8">(1-$S$4)*E28+$S$4*B28/(C27+D27)</f>
        <v>0.85309405590528675</v>
      </c>
      <c r="F32" s="357">
        <f>($C$31+$D$31*(A32-$A$31))*E32</f>
        <v>46.350087490767137</v>
      </c>
      <c r="G32" s="109"/>
      <c r="H32" s="109"/>
      <c r="I32"/>
      <c r="J32"/>
      <c r="K32"/>
      <c r="L32"/>
      <c r="M32" s="351" t="str">
        <f t="shared" ref="M32:N35" ca="1" si="9">_xlfn.FORMULATEXT(E32)</f>
        <v>=(1-$S$4)*E28+$S$4*B28/(C27+D27)</v>
      </c>
      <c r="N32" s="358" t="str">
        <f ca="1">_xlfn.FORMULATEXT(F32)</f>
        <v>=($C$31+$D$31*(A32-$A$31))*E32</v>
      </c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"/>
      <c r="AL32" s="6"/>
      <c r="AM32" s="6"/>
      <c r="AN32" s="6"/>
      <c r="AO32" s="6"/>
      <c r="AP32" s="6"/>
      <c r="AQ32" s="6"/>
      <c r="BD32"/>
      <c r="BE32"/>
      <c r="BF32"/>
      <c r="BG32"/>
      <c r="BH32"/>
    </row>
    <row r="33" spans="1:60" ht="16.5" x14ac:dyDescent="0.3">
      <c r="A33" s="74">
        <v>30</v>
      </c>
      <c r="B33"/>
      <c r="C33"/>
      <c r="D33"/>
      <c r="E33" s="356">
        <f t="shared" si="8"/>
        <v>1.106189003595647</v>
      </c>
      <c r="F33" s="357">
        <f t="shared" ref="F33:F35" si="10">($C$31+$D$31*(A33-$A$31))*E33</f>
        <v>53.88529400564466</v>
      </c>
      <c r="G33" s="65"/>
      <c r="H33" s="65"/>
      <c r="I33" s="65"/>
      <c r="J33" s="65"/>
      <c r="K33" s="65"/>
      <c r="L33" s="65"/>
      <c r="M33" s="351" t="str">
        <f t="shared" ca="1" si="9"/>
        <v>=(1-$S$4)*E29+$S$4*B29/(C28+D28)</v>
      </c>
      <c r="N33" s="358" t="str">
        <f t="shared" ref="N33:N35" ca="1" si="11">_xlfn.FORMULATEXT(F33)</f>
        <v>=($C$31+$D$31*(A33-$A$31))*E33</v>
      </c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"/>
      <c r="AL33" s="6"/>
      <c r="AM33" s="6"/>
      <c r="AN33" s="6"/>
      <c r="AO33" s="6"/>
      <c r="AP33" s="6"/>
      <c r="AQ33" s="6"/>
      <c r="BD33"/>
      <c r="BE33"/>
      <c r="BF33"/>
      <c r="BG33"/>
      <c r="BH33"/>
    </row>
    <row r="34" spans="1:60" ht="16.5" x14ac:dyDescent="0.3">
      <c r="A34" s="74">
        <v>31</v>
      </c>
      <c r="E34" s="356">
        <f t="shared" si="8"/>
        <v>1.2262833954742205</v>
      </c>
      <c r="F34" s="357">
        <f t="shared" si="10"/>
        <v>52.844682645571375</v>
      </c>
      <c r="M34" s="351" t="str">
        <f t="shared" ca="1" si="9"/>
        <v>=(1-$S$4)*E30+$S$4*B30/(C29+D29)</v>
      </c>
      <c r="N34" s="358" t="str">
        <f t="shared" ca="1" si="11"/>
        <v>=($C$31+$D$31*(A34-$A$31))*E34</v>
      </c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"/>
      <c r="AL34" s="6"/>
      <c r="AM34" s="6"/>
      <c r="AN34" s="6"/>
      <c r="AO34" s="6"/>
      <c r="AP34" s="6"/>
      <c r="AQ34" s="6"/>
      <c r="BD34"/>
      <c r="BE34"/>
      <c r="BF34"/>
      <c r="BG34"/>
      <c r="BH34"/>
    </row>
    <row r="35" spans="1:60" ht="16.5" x14ac:dyDescent="0.3">
      <c r="A35" s="74">
        <v>32</v>
      </c>
      <c r="E35" s="356">
        <f t="shared" si="8"/>
        <v>0.75541689651264421</v>
      </c>
      <c r="F35" s="357">
        <f t="shared" si="10"/>
        <v>28.308629850721452</v>
      </c>
      <c r="M35" s="351" t="str">
        <f t="shared" ca="1" si="9"/>
        <v>=(1-$S$4)*E31+$S$4*B31/(C30+D30)</v>
      </c>
      <c r="N35" s="358" t="str">
        <f t="shared" ca="1" si="11"/>
        <v>=($C$31+$D$31*(A35-$A$31))*E35</v>
      </c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"/>
      <c r="AL35" s="6"/>
      <c r="AM35" s="6"/>
      <c r="AN35" s="6"/>
      <c r="AO35" s="6"/>
      <c r="AP35" s="6"/>
      <c r="AQ35" s="6"/>
      <c r="BD35"/>
      <c r="BE35"/>
      <c r="BF35"/>
      <c r="BG35"/>
      <c r="BH35"/>
    </row>
    <row r="36" spans="1:60" x14ac:dyDescent="0.25">
      <c r="A36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"/>
      <c r="AL36" s="6"/>
      <c r="AM36" s="6"/>
      <c r="AN36" s="6"/>
      <c r="AO36" s="6"/>
      <c r="AP36" s="6"/>
      <c r="AQ36" s="6"/>
      <c r="BD36"/>
      <c r="BE36"/>
      <c r="BF36"/>
      <c r="BG36"/>
      <c r="BH36"/>
    </row>
    <row r="37" spans="1:60" x14ac:dyDescent="0.25">
      <c r="A37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"/>
      <c r="AL37" s="6"/>
      <c r="AM37" s="6"/>
      <c r="AN37" s="6"/>
      <c r="AO37" s="6"/>
      <c r="AP37" s="6"/>
      <c r="AQ37" s="6"/>
      <c r="BD37"/>
      <c r="BE37"/>
      <c r="BF37"/>
      <c r="BG37"/>
      <c r="BH37"/>
    </row>
    <row r="38" spans="1:60" x14ac:dyDescent="0.25">
      <c r="A38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"/>
      <c r="AL38" s="6"/>
      <c r="AM38" s="6"/>
      <c r="AN38" s="6"/>
      <c r="AO38" s="6"/>
      <c r="AP38" s="6"/>
      <c r="AQ38" s="6"/>
      <c r="BD38"/>
      <c r="BE38"/>
      <c r="BF38"/>
      <c r="BG38"/>
      <c r="BH38"/>
    </row>
    <row r="39" spans="1:60" x14ac:dyDescent="0.25">
      <c r="A39"/>
      <c r="B39" t="s">
        <v>135</v>
      </c>
      <c r="C39"/>
      <c r="D39"/>
      <c r="E39"/>
      <c r="F39" s="65"/>
      <c r="G39" s="65"/>
      <c r="H39" s="65"/>
      <c r="I39" s="65"/>
      <c r="J39" s="65"/>
      <c r="K39" s="65"/>
      <c r="L39" s="65"/>
      <c r="M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"/>
      <c r="AL39" s="6"/>
      <c r="AM39" s="6"/>
      <c r="AN39" s="6"/>
      <c r="AO39" s="6"/>
      <c r="AP39" s="6"/>
      <c r="AQ39" s="6"/>
      <c r="BD39"/>
      <c r="BE39"/>
      <c r="BF39"/>
      <c r="BG39"/>
      <c r="BH39"/>
    </row>
    <row r="40" spans="1:60" x14ac:dyDescent="0.25">
      <c r="A40"/>
      <c r="B40" s="57" t="s">
        <v>136</v>
      </c>
      <c r="C40"/>
      <c r="D40"/>
      <c r="E40"/>
      <c r="F40" s="65"/>
      <c r="G40" s="65"/>
      <c r="H40" s="65"/>
      <c r="I40" s="65"/>
      <c r="J40" s="65"/>
      <c r="K40" s="65"/>
      <c r="L40" s="65"/>
      <c r="M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"/>
      <c r="AL40" s="6"/>
      <c r="AM40" s="6"/>
      <c r="AN40" s="6"/>
      <c r="AO40" s="6"/>
      <c r="AP40" s="6"/>
      <c r="AQ40" s="6"/>
      <c r="BD40"/>
      <c r="BE40"/>
      <c r="BF40"/>
      <c r="BG40"/>
      <c r="BH40"/>
    </row>
    <row r="41" spans="1:60" x14ac:dyDescent="0.25">
      <c r="A41"/>
      <c r="B41" s="57" t="s">
        <v>137</v>
      </c>
      <c r="C41" s="118"/>
      <c r="D41"/>
      <c r="E41"/>
      <c r="F41" s="65"/>
      <c r="G41" s="65"/>
      <c r="H41" s="65"/>
      <c r="I41" s="65"/>
      <c r="J41" s="65"/>
      <c r="K41" s="65"/>
      <c r="L41" s="65"/>
      <c r="M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"/>
      <c r="AL41" s="6"/>
      <c r="AM41" s="6"/>
      <c r="AN41" s="6"/>
      <c r="AO41" s="6"/>
      <c r="AP41" s="6"/>
      <c r="AQ41" s="6"/>
      <c r="BD41"/>
      <c r="BE41"/>
      <c r="BF41"/>
      <c r="BG41"/>
      <c r="BH41"/>
    </row>
    <row r="42" spans="1:60" x14ac:dyDescent="0.25">
      <c r="A42"/>
      <c r="B42" s="57" t="s">
        <v>138</v>
      </c>
      <c r="C42"/>
      <c r="D42"/>
      <c r="E42"/>
      <c r="F42" s="65"/>
      <c r="G42" s="65"/>
      <c r="H42" s="65"/>
      <c r="I42" s="65"/>
      <c r="J42" s="65"/>
      <c r="K42" s="65"/>
      <c r="L42" s="65"/>
      <c r="M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"/>
      <c r="AL42" s="6"/>
      <c r="AM42" s="6"/>
      <c r="AN42" s="6"/>
      <c r="AO42" s="6"/>
      <c r="AP42" s="6"/>
      <c r="AQ42" s="6"/>
      <c r="BD42"/>
      <c r="BE42"/>
      <c r="BF42"/>
      <c r="BG42"/>
      <c r="BH42"/>
    </row>
    <row r="43" spans="1:60" x14ac:dyDescent="0.25">
      <c r="A43"/>
      <c r="B43" s="129" t="s">
        <v>119</v>
      </c>
      <c r="C43"/>
      <c r="D43"/>
      <c r="E43"/>
      <c r="F43" s="65"/>
      <c r="G43" s="65"/>
      <c r="H43" s="65"/>
      <c r="I43" s="65"/>
      <c r="J43" s="65"/>
      <c r="K43" s="65"/>
      <c r="L43" s="65"/>
      <c r="M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"/>
      <c r="AL43" s="6"/>
      <c r="AM43" s="6"/>
      <c r="AN43" s="6"/>
      <c r="AO43" s="6"/>
      <c r="AP43" s="6"/>
      <c r="AQ43" s="6"/>
      <c r="BD43"/>
      <c r="BE43"/>
      <c r="BF43"/>
      <c r="BG43"/>
      <c r="BH43"/>
    </row>
    <row r="44" spans="1:60" x14ac:dyDescent="0.25">
      <c r="A44"/>
      <c r="B44" t="s">
        <v>139</v>
      </c>
      <c r="C44"/>
      <c r="D44"/>
      <c r="E44"/>
      <c r="F44" s="65"/>
      <c r="G44" s="65"/>
      <c r="H44" s="65"/>
      <c r="I44" s="65"/>
      <c r="J44" s="65"/>
      <c r="K44" s="65"/>
      <c r="L44" s="65"/>
      <c r="M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"/>
      <c r="AL44" s="6"/>
      <c r="AM44" s="6"/>
      <c r="AN44" s="6"/>
      <c r="AO44" s="6"/>
      <c r="AP44" s="6"/>
      <c r="AQ44" s="6"/>
      <c r="BD44"/>
      <c r="BE44"/>
      <c r="BF44"/>
      <c r="BG44"/>
      <c r="BH44"/>
    </row>
    <row r="45" spans="1:60" x14ac:dyDescent="0.25">
      <c r="A45"/>
      <c r="B45" t="s">
        <v>125</v>
      </c>
      <c r="C45"/>
      <c r="D45"/>
      <c r="E45"/>
      <c r="F45" s="65"/>
      <c r="G45" s="65"/>
      <c r="H45" s="65"/>
      <c r="I45" s="65"/>
      <c r="J45" s="65"/>
      <c r="K45" s="65"/>
      <c r="L45" s="65"/>
      <c r="M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"/>
      <c r="AL45" s="6"/>
      <c r="AM45" s="6"/>
      <c r="AN45" s="6"/>
      <c r="AO45" s="6"/>
      <c r="AP45" s="6"/>
      <c r="AQ45" s="6"/>
      <c r="BD45"/>
      <c r="BE45"/>
      <c r="BF45"/>
      <c r="BG45"/>
      <c r="BH45"/>
    </row>
    <row r="46" spans="1:60" x14ac:dyDescent="0.25">
      <c r="A46"/>
      <c r="B46" t="s">
        <v>140</v>
      </c>
      <c r="C46"/>
      <c r="D46"/>
      <c r="E46"/>
      <c r="F46" s="65"/>
      <c r="G46" s="65"/>
      <c r="H46" s="65"/>
      <c r="I46" s="65"/>
      <c r="J46" s="65"/>
      <c r="K46" s="65"/>
      <c r="L46" s="65"/>
      <c r="M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"/>
      <c r="AL46" s="6"/>
      <c r="AM46" s="6"/>
      <c r="AN46" s="6"/>
      <c r="AO46" s="6"/>
      <c r="AP46" s="6"/>
      <c r="AQ46" s="6"/>
      <c r="BD46"/>
      <c r="BE46"/>
      <c r="BF46"/>
      <c r="BG46"/>
      <c r="BH46"/>
    </row>
    <row r="47" spans="1:60" x14ac:dyDescent="0.25">
      <c r="A47"/>
      <c r="B47" t="s">
        <v>141</v>
      </c>
      <c r="C47"/>
      <c r="D47"/>
      <c r="E47"/>
      <c r="F47" s="65"/>
      <c r="G47" s="65"/>
      <c r="H47" s="65"/>
      <c r="I47" s="65"/>
      <c r="J47" s="65"/>
      <c r="K47" s="65"/>
      <c r="L47" s="65"/>
      <c r="M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"/>
      <c r="AL47" s="6"/>
      <c r="AM47" s="6"/>
      <c r="AN47" s="6"/>
      <c r="AO47" s="6"/>
      <c r="AP47" s="6"/>
      <c r="AQ47" s="6"/>
      <c r="BD47"/>
      <c r="BE47"/>
      <c r="BF47"/>
      <c r="BG47"/>
      <c r="BH47"/>
    </row>
    <row r="48" spans="1:60" x14ac:dyDescent="0.25">
      <c r="A48"/>
      <c r="B48" t="s">
        <v>142</v>
      </c>
      <c r="C48"/>
      <c r="D48"/>
      <c r="E48"/>
      <c r="F48" s="65"/>
      <c r="G48" s="65"/>
      <c r="H48" s="65"/>
      <c r="I48" s="65"/>
      <c r="J48" s="65"/>
      <c r="K48" s="65"/>
      <c r="L48" s="65"/>
      <c r="M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"/>
      <c r="AL48" s="6"/>
      <c r="AM48" s="6"/>
      <c r="AN48" s="6"/>
      <c r="AO48" s="6"/>
      <c r="AP48" s="6"/>
      <c r="AQ48" s="6"/>
      <c r="BD48"/>
      <c r="BE48"/>
      <c r="BF48"/>
      <c r="BG48"/>
      <c r="BH48"/>
    </row>
    <row r="49" spans="1:60" x14ac:dyDescent="0.25">
      <c r="A49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"/>
      <c r="AL49" s="6"/>
      <c r="AM49" s="6"/>
      <c r="AN49" s="6"/>
      <c r="AO49" s="6"/>
      <c r="AP49" s="6"/>
      <c r="AQ49" s="6"/>
      <c r="BD49"/>
      <c r="BE49"/>
      <c r="BF49"/>
      <c r="BG49"/>
      <c r="BH49"/>
    </row>
    <row r="50" spans="1:60" x14ac:dyDescent="0.25">
      <c r="A50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"/>
      <c r="AL50" s="6"/>
      <c r="AM50" s="6"/>
      <c r="AN50" s="6"/>
      <c r="AO50" s="6"/>
      <c r="AP50" s="6"/>
      <c r="AQ50" s="6"/>
      <c r="BD50"/>
      <c r="BE50"/>
      <c r="BF50"/>
      <c r="BG50"/>
      <c r="BH50"/>
    </row>
    <row r="51" spans="1:60" x14ac:dyDescent="0.25">
      <c r="A51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"/>
      <c r="AL51" s="6"/>
      <c r="AM51" s="6"/>
      <c r="AN51" s="6"/>
      <c r="AO51" s="6"/>
      <c r="AP51" s="6"/>
      <c r="AQ51" s="6"/>
      <c r="BD51"/>
      <c r="BE51"/>
      <c r="BF51"/>
      <c r="BG51"/>
      <c r="BH51"/>
    </row>
    <row r="52" spans="1:60" x14ac:dyDescent="0.25">
      <c r="A52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"/>
      <c r="AL52" s="6"/>
      <c r="AM52" s="6"/>
      <c r="AN52" s="6"/>
      <c r="AO52" s="6"/>
      <c r="AP52" s="6"/>
      <c r="AQ52" s="6"/>
      <c r="BD52"/>
      <c r="BE52"/>
      <c r="BF52"/>
      <c r="BG52"/>
      <c r="BH52"/>
    </row>
    <row r="53" spans="1:60" x14ac:dyDescent="0.25">
      <c r="A53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"/>
      <c r="AL53" s="6"/>
      <c r="AM53" s="6"/>
      <c r="AN53" s="6"/>
      <c r="AO53" s="6"/>
      <c r="AP53" s="6"/>
      <c r="AQ53" s="6"/>
      <c r="BD53"/>
      <c r="BE53"/>
      <c r="BF53"/>
      <c r="BG53"/>
      <c r="BH53"/>
    </row>
    <row r="54" spans="1:60" x14ac:dyDescent="0.25">
      <c r="A54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"/>
      <c r="AL54" s="6"/>
      <c r="AM54" s="6"/>
      <c r="AN54" s="6"/>
      <c r="AO54" s="6"/>
      <c r="AP54" s="6"/>
      <c r="AQ54" s="6"/>
      <c r="BD54"/>
      <c r="BE54"/>
      <c r="BF54"/>
      <c r="BG54"/>
      <c r="BH54"/>
    </row>
    <row r="55" spans="1:60" x14ac:dyDescent="0.25">
      <c r="A5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"/>
      <c r="AL55" s="6"/>
      <c r="AM55" s="6"/>
      <c r="AN55" s="6"/>
      <c r="AO55" s="6"/>
      <c r="AP55" s="6"/>
      <c r="AQ55" s="6"/>
      <c r="BD55"/>
      <c r="BE55"/>
      <c r="BF55"/>
      <c r="BG55"/>
      <c r="BH55"/>
    </row>
    <row r="56" spans="1:60" x14ac:dyDescent="0.25">
      <c r="A56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"/>
      <c r="AL56" s="6"/>
      <c r="AM56" s="6"/>
      <c r="AN56" s="6"/>
      <c r="AO56" s="6"/>
      <c r="AP56" s="6"/>
      <c r="AQ56" s="6"/>
      <c r="BD56"/>
      <c r="BE56"/>
      <c r="BF56"/>
      <c r="BG56"/>
      <c r="BH56"/>
    </row>
    <row r="57" spans="1:60" x14ac:dyDescent="0.25">
      <c r="A57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"/>
      <c r="AL57" s="6"/>
      <c r="AM57" s="6"/>
      <c r="AN57" s="6"/>
      <c r="AO57" s="6"/>
      <c r="AP57" s="6"/>
      <c r="AQ57" s="6"/>
      <c r="BD57"/>
      <c r="BE57"/>
      <c r="BF57"/>
      <c r="BG57"/>
      <c r="BH57"/>
    </row>
    <row r="58" spans="1:60" x14ac:dyDescent="0.25">
      <c r="A58"/>
      <c r="B58"/>
      <c r="C58"/>
      <c r="D58"/>
      <c r="E58"/>
      <c r="F58" s="65"/>
      <c r="G58" s="65"/>
      <c r="H58" s="65"/>
      <c r="I58" s="65"/>
      <c r="J58" s="65"/>
      <c r="K58" s="65"/>
      <c r="L58" s="65"/>
      <c r="M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"/>
      <c r="AL58" s="6"/>
      <c r="AM58" s="6"/>
      <c r="AN58" s="6"/>
      <c r="AO58" s="6"/>
      <c r="AP58" s="6"/>
      <c r="AQ58" s="6"/>
      <c r="BD58"/>
      <c r="BE58"/>
      <c r="BF58"/>
      <c r="BG58"/>
      <c r="BH58"/>
    </row>
    <row r="59" spans="1:60" x14ac:dyDescent="0.25">
      <c r="A59"/>
      <c r="B59"/>
      <c r="C59"/>
      <c r="D59"/>
      <c r="E59"/>
      <c r="F59" s="65"/>
      <c r="G59" s="65"/>
      <c r="H59" s="65"/>
      <c r="I59" s="65"/>
      <c r="J59" s="65"/>
      <c r="K59" s="65"/>
      <c r="L59" s="65"/>
      <c r="M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"/>
      <c r="AL59" s="6"/>
      <c r="AM59" s="6"/>
      <c r="AN59" s="6"/>
      <c r="AO59" s="6"/>
      <c r="AP59" s="6"/>
      <c r="AQ59" s="6"/>
      <c r="BD59"/>
      <c r="BE59"/>
      <c r="BF59"/>
      <c r="BG59"/>
      <c r="BH59"/>
    </row>
    <row r="60" spans="1:60" x14ac:dyDescent="0.25">
      <c r="A60"/>
      <c r="B60"/>
      <c r="C60"/>
      <c r="D60"/>
      <c r="E60"/>
      <c r="F60" s="65"/>
      <c r="G60" s="65"/>
      <c r="H60" s="65"/>
      <c r="I60" s="65"/>
      <c r="J60" s="65"/>
      <c r="K60" s="65"/>
      <c r="L60" s="65"/>
      <c r="M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"/>
      <c r="AL60" s="6"/>
      <c r="AM60" s="6"/>
      <c r="AN60" s="6"/>
      <c r="AO60" s="6"/>
      <c r="AP60" s="6"/>
      <c r="AQ60" s="6"/>
      <c r="BD60"/>
      <c r="BE60"/>
      <c r="BF60"/>
      <c r="BG60"/>
      <c r="BH60"/>
    </row>
    <row r="61" spans="1:60" x14ac:dyDescent="0.25">
      <c r="A61"/>
      <c r="B61"/>
      <c r="C61"/>
      <c r="D61"/>
      <c r="E61"/>
      <c r="F61" s="65"/>
      <c r="G61" s="65"/>
      <c r="H61" s="65"/>
      <c r="I61" s="65"/>
      <c r="J61" s="65"/>
      <c r="K61" s="65"/>
      <c r="L61" s="65"/>
      <c r="M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"/>
      <c r="AL61" s="6"/>
      <c r="AM61" s="6"/>
      <c r="AN61" s="6"/>
      <c r="AO61" s="6"/>
      <c r="AP61" s="6"/>
      <c r="AQ61" s="6"/>
      <c r="BD61"/>
      <c r="BE61"/>
      <c r="BF61"/>
      <c r="BG61"/>
      <c r="BH61"/>
    </row>
    <row r="62" spans="1:60" x14ac:dyDescent="0.25">
      <c r="A62"/>
      <c r="B62"/>
      <c r="C62"/>
      <c r="D62"/>
      <c r="E62"/>
      <c r="F62" s="65"/>
      <c r="G62" s="65"/>
      <c r="H62" s="65"/>
      <c r="I62" s="65"/>
      <c r="J62" s="65"/>
      <c r="K62" s="65"/>
      <c r="L62" s="65"/>
      <c r="M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"/>
      <c r="AL62" s="6"/>
      <c r="AM62" s="6"/>
      <c r="AN62" s="6"/>
      <c r="AO62" s="6"/>
      <c r="AP62" s="6"/>
      <c r="AQ62" s="6"/>
      <c r="BD62"/>
      <c r="BE62"/>
      <c r="BF62"/>
      <c r="BG62"/>
      <c r="BH62"/>
    </row>
    <row r="63" spans="1:60" x14ac:dyDescent="0.25">
      <c r="A63"/>
      <c r="B63"/>
      <c r="C63"/>
      <c r="D63"/>
      <c r="E63"/>
      <c r="F63" s="65"/>
      <c r="G63" s="65"/>
      <c r="H63" s="65"/>
      <c r="I63" s="65"/>
      <c r="J63" s="65"/>
      <c r="K63" s="65"/>
      <c r="L63" s="65"/>
      <c r="M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"/>
      <c r="AL63" s="6"/>
      <c r="AM63" s="6"/>
      <c r="AN63" s="6"/>
      <c r="AO63" s="6"/>
      <c r="AP63" s="6"/>
      <c r="AQ63" s="6"/>
      <c r="BD63"/>
      <c r="BE63"/>
      <c r="BF63"/>
      <c r="BG63"/>
      <c r="BH63"/>
    </row>
    <row r="64" spans="1:60" x14ac:dyDescent="0.25">
      <c r="A64"/>
      <c r="B64"/>
      <c r="C64"/>
      <c r="D64"/>
      <c r="E64"/>
      <c r="F64" s="65"/>
      <c r="G64" s="65"/>
      <c r="H64" s="65"/>
      <c r="I64" s="65"/>
      <c r="J64" s="65"/>
      <c r="K64" s="65"/>
      <c r="L64" s="65"/>
      <c r="M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"/>
      <c r="AL64" s="6"/>
      <c r="AM64" s="6"/>
      <c r="AN64" s="6"/>
      <c r="AO64" s="6"/>
      <c r="AP64" s="6"/>
      <c r="AQ64" s="6"/>
      <c r="BD64"/>
      <c r="BE64"/>
      <c r="BF64"/>
      <c r="BG64"/>
      <c r="BH64"/>
    </row>
    <row r="65" spans="1:60" x14ac:dyDescent="0.25">
      <c r="A65"/>
      <c r="B65"/>
      <c r="C65"/>
      <c r="D65"/>
      <c r="E65"/>
      <c r="F65" s="65"/>
      <c r="G65" s="65"/>
      <c r="H65" s="65"/>
      <c r="I65" s="65"/>
      <c r="J65" s="65"/>
      <c r="K65" s="65"/>
      <c r="L65" s="65"/>
      <c r="M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"/>
      <c r="AL65" s="6"/>
      <c r="AM65" s="6"/>
      <c r="AN65" s="6"/>
      <c r="AO65" s="6"/>
      <c r="AP65" s="6"/>
      <c r="AQ65" s="6"/>
      <c r="BD65"/>
      <c r="BE65"/>
      <c r="BF65"/>
      <c r="BG65"/>
      <c r="BH65"/>
    </row>
    <row r="66" spans="1:60" x14ac:dyDescent="0.25">
      <c r="A66"/>
      <c r="B66"/>
      <c r="C66"/>
      <c r="D66"/>
      <c r="E66"/>
      <c r="F66" s="65"/>
      <c r="G66" s="65"/>
      <c r="H66" s="65"/>
      <c r="I66" s="65"/>
      <c r="J66" s="65"/>
      <c r="K66" s="65"/>
      <c r="L66" s="65"/>
      <c r="M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"/>
      <c r="AL66" s="6"/>
      <c r="AM66" s="6"/>
      <c r="AN66" s="6"/>
      <c r="AO66" s="6"/>
      <c r="AP66" s="6"/>
      <c r="AQ66" s="6"/>
      <c r="BD66"/>
      <c r="BE66"/>
      <c r="BF66"/>
      <c r="BG66"/>
      <c r="BH66"/>
    </row>
    <row r="67" spans="1:60" x14ac:dyDescent="0.25">
      <c r="A67"/>
      <c r="B67"/>
      <c r="C67"/>
      <c r="D67"/>
      <c r="E67"/>
      <c r="F67" s="65"/>
      <c r="G67" s="65"/>
      <c r="H67" s="65"/>
      <c r="I67" s="65"/>
      <c r="J67" s="65"/>
      <c r="K67" s="65"/>
      <c r="L67" s="65"/>
      <c r="M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"/>
      <c r="AL67" s="6"/>
      <c r="AM67" s="6"/>
      <c r="AN67" s="6"/>
      <c r="AO67" s="6"/>
      <c r="AP67" s="6"/>
      <c r="AQ67" s="6"/>
      <c r="BD67"/>
      <c r="BE67"/>
      <c r="BF67"/>
      <c r="BG67"/>
      <c r="BH67"/>
    </row>
    <row r="68" spans="1:60" x14ac:dyDescent="0.25">
      <c r="A68"/>
      <c r="B68"/>
      <c r="C68"/>
      <c r="D68"/>
      <c r="E68"/>
      <c r="F68" s="65"/>
      <c r="G68" s="65"/>
      <c r="H68" s="65"/>
      <c r="I68" s="65"/>
      <c r="J68" s="65"/>
      <c r="K68" s="65"/>
      <c r="L68" s="65"/>
      <c r="M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"/>
      <c r="AL68" s="6"/>
      <c r="AM68" s="6"/>
      <c r="AN68" s="6"/>
      <c r="AO68" s="6"/>
      <c r="AP68" s="6"/>
      <c r="AQ68" s="6"/>
      <c r="BD68"/>
      <c r="BE68"/>
      <c r="BF68"/>
      <c r="BG68"/>
      <c r="BH68"/>
    </row>
    <row r="69" spans="1:60" x14ac:dyDescent="0.25">
      <c r="A69"/>
      <c r="B69"/>
      <c r="C69"/>
      <c r="D69"/>
      <c r="E69"/>
      <c r="F69" s="65"/>
      <c r="G69" s="65"/>
      <c r="H69" s="65"/>
      <c r="I69" s="65"/>
      <c r="J69" s="65"/>
      <c r="K69" s="65"/>
      <c r="L69" s="65"/>
      <c r="M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"/>
      <c r="AL69" s="6"/>
      <c r="AM69" s="6"/>
      <c r="AN69" s="6"/>
      <c r="AO69" s="6"/>
      <c r="AP69" s="6"/>
      <c r="AQ69" s="6"/>
      <c r="BD69"/>
      <c r="BE69"/>
      <c r="BF69"/>
      <c r="BG69"/>
      <c r="BH69"/>
    </row>
    <row r="70" spans="1:60" x14ac:dyDescent="0.25">
      <c r="A70"/>
      <c r="B70"/>
      <c r="C70"/>
      <c r="D70"/>
      <c r="E70"/>
      <c r="F70" s="65"/>
      <c r="G70" s="65"/>
      <c r="H70" s="65"/>
      <c r="I70" s="65"/>
      <c r="J70" s="65"/>
      <c r="K70" s="65"/>
      <c r="L70" s="65"/>
      <c r="M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"/>
      <c r="AL70" s="6"/>
      <c r="AM70" s="6"/>
      <c r="AN70" s="6"/>
      <c r="AO70" s="6"/>
      <c r="AP70" s="6"/>
      <c r="AQ70" s="6"/>
      <c r="BD70"/>
      <c r="BE70"/>
      <c r="BF70"/>
      <c r="BG70"/>
      <c r="BH70"/>
    </row>
    <row r="71" spans="1:60" x14ac:dyDescent="0.25">
      <c r="A71"/>
      <c r="B71"/>
      <c r="C71"/>
      <c r="D71"/>
      <c r="E71"/>
      <c r="F71" s="65"/>
      <c r="G71" s="65"/>
      <c r="H71" s="65"/>
      <c r="I71" s="65"/>
      <c r="J71" s="65"/>
      <c r="K71" s="65"/>
      <c r="L71" s="65"/>
      <c r="M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"/>
      <c r="AL71" s="6"/>
      <c r="AM71" s="6"/>
      <c r="AN71" s="6"/>
      <c r="AO71" s="6"/>
      <c r="AP71" s="6"/>
      <c r="AQ71" s="6"/>
      <c r="BD71"/>
      <c r="BE71"/>
      <c r="BF71"/>
      <c r="BG71"/>
      <c r="BH71"/>
    </row>
    <row r="72" spans="1:60" x14ac:dyDescent="0.25">
      <c r="A72"/>
      <c r="B72"/>
      <c r="C72"/>
      <c r="D72"/>
      <c r="E72"/>
      <c r="F72" s="65"/>
      <c r="G72" s="65"/>
      <c r="H72" s="65"/>
      <c r="I72" s="65"/>
      <c r="J72" s="65"/>
      <c r="K72" s="65"/>
      <c r="L72" s="65"/>
      <c r="M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"/>
      <c r="AL72" s="6"/>
      <c r="AM72" s="6"/>
      <c r="AN72" s="6"/>
      <c r="AO72" s="6"/>
      <c r="AP72" s="6"/>
      <c r="AQ72" s="6"/>
      <c r="BD72"/>
      <c r="BE72"/>
      <c r="BF72"/>
      <c r="BG72"/>
      <c r="BH72"/>
    </row>
    <row r="73" spans="1:60" x14ac:dyDescent="0.25">
      <c r="A73"/>
      <c r="B73"/>
      <c r="C73"/>
      <c r="D73"/>
      <c r="E73"/>
      <c r="F73" s="65"/>
      <c r="G73" s="65"/>
      <c r="H73" s="65"/>
      <c r="I73" s="65"/>
      <c r="J73" s="65"/>
      <c r="K73" s="65"/>
      <c r="L73" s="65"/>
      <c r="M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"/>
      <c r="AL73" s="6"/>
      <c r="AM73" s="6"/>
      <c r="AN73" s="6"/>
      <c r="AO73" s="6"/>
      <c r="AP73" s="6"/>
      <c r="AQ73" s="6"/>
      <c r="BD73"/>
      <c r="BE73"/>
      <c r="BF73"/>
      <c r="BG73"/>
      <c r="BH73"/>
    </row>
    <row r="74" spans="1:60" x14ac:dyDescent="0.25">
      <c r="A74"/>
      <c r="B74"/>
      <c r="C74"/>
      <c r="D74"/>
      <c r="E74"/>
      <c r="BD74"/>
      <c r="BE74"/>
      <c r="BF74"/>
      <c r="BG74"/>
      <c r="BH74"/>
    </row>
    <row r="75" spans="1:60" x14ac:dyDescent="0.25">
      <c r="A75"/>
      <c r="B75"/>
      <c r="C75"/>
      <c r="D75"/>
      <c r="E75"/>
      <c r="BD75"/>
      <c r="BE75"/>
      <c r="BF75"/>
      <c r="BG75"/>
      <c r="BH75"/>
    </row>
    <row r="76" spans="1:60" x14ac:dyDescent="0.25">
      <c r="A76"/>
      <c r="B76"/>
      <c r="C76"/>
      <c r="D76"/>
      <c r="E76"/>
      <c r="BD76"/>
      <c r="BE76"/>
      <c r="BF76"/>
      <c r="BG76"/>
      <c r="BH76"/>
    </row>
    <row r="77" spans="1:60" x14ac:dyDescent="0.25">
      <c r="A77"/>
      <c r="B77"/>
      <c r="C77"/>
      <c r="D77"/>
      <c r="E77"/>
      <c r="BD77"/>
      <c r="BE77"/>
      <c r="BF77"/>
      <c r="BG77"/>
      <c r="BH77"/>
    </row>
    <row r="78" spans="1:60" x14ac:dyDescent="0.25">
      <c r="A78"/>
      <c r="B78"/>
      <c r="C78"/>
      <c r="D78"/>
      <c r="E78"/>
      <c r="BD78"/>
      <c r="BE78"/>
      <c r="BF78"/>
      <c r="BG78"/>
      <c r="BH78"/>
    </row>
    <row r="79" spans="1:60" ht="16.5" x14ac:dyDescent="0.3">
      <c r="A79"/>
      <c r="B79"/>
      <c r="C79"/>
      <c r="D79"/>
      <c r="E79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BD79"/>
      <c r="BE79"/>
      <c r="BF79"/>
      <c r="BG79"/>
      <c r="BH79"/>
    </row>
    <row r="80" spans="1:60" ht="16.5" x14ac:dyDescent="0.3">
      <c r="A80"/>
      <c r="B80"/>
      <c r="C80"/>
      <c r="D80"/>
      <c r="E80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BD80"/>
      <c r="BE80"/>
      <c r="BF80"/>
      <c r="BG80"/>
      <c r="BH80"/>
    </row>
    <row r="81" spans="1:60" ht="16.5" x14ac:dyDescent="0.3">
      <c r="A81"/>
      <c r="B81"/>
      <c r="C81"/>
      <c r="D81"/>
      <c r="E8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BD81"/>
      <c r="BE81"/>
      <c r="BF81"/>
      <c r="BG81"/>
      <c r="BH81"/>
    </row>
    <row r="82" spans="1:60" ht="16.5" x14ac:dyDescent="0.3">
      <c r="A82"/>
      <c r="B82"/>
      <c r="C82"/>
      <c r="D82"/>
      <c r="E82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BD82"/>
      <c r="BE82"/>
      <c r="BF82"/>
      <c r="BG82"/>
      <c r="BH82"/>
    </row>
    <row r="83" spans="1:60" ht="16.5" x14ac:dyDescent="0.3">
      <c r="A83"/>
      <c r="B83"/>
      <c r="C83"/>
      <c r="D83"/>
      <c r="E83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BD83"/>
      <c r="BE83"/>
      <c r="BF83"/>
      <c r="BG83"/>
      <c r="BH83"/>
    </row>
    <row r="84" spans="1:60" ht="16.5" x14ac:dyDescent="0.3">
      <c r="A84"/>
      <c r="B84"/>
      <c r="C84"/>
      <c r="D84"/>
      <c r="E84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BD84"/>
      <c r="BE84"/>
      <c r="BF84"/>
      <c r="BG84"/>
      <c r="BH84"/>
    </row>
    <row r="85" spans="1:60" ht="16.5" x14ac:dyDescent="0.3">
      <c r="A85"/>
      <c r="B85"/>
      <c r="C85"/>
      <c r="D85"/>
      <c r="E85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BD85"/>
      <c r="BE85"/>
      <c r="BF85"/>
      <c r="BG85"/>
      <c r="BH85"/>
    </row>
    <row r="86" spans="1:60" ht="16.5" x14ac:dyDescent="0.3">
      <c r="A86"/>
      <c r="B86"/>
      <c r="C86"/>
      <c r="D86"/>
      <c r="E86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BD86"/>
      <c r="BE86"/>
      <c r="BF86"/>
      <c r="BG86"/>
      <c r="BH86"/>
    </row>
    <row r="87" spans="1:60" ht="16.5" x14ac:dyDescent="0.3">
      <c r="A87"/>
      <c r="B87"/>
      <c r="C87"/>
      <c r="D87"/>
      <c r="E87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BD87"/>
      <c r="BE87"/>
      <c r="BF87"/>
      <c r="BG87"/>
      <c r="BH87"/>
    </row>
    <row r="88" spans="1:60" ht="16.5" x14ac:dyDescent="0.3">
      <c r="A88"/>
      <c r="B88"/>
      <c r="C88"/>
      <c r="D88"/>
      <c r="E88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</row>
    <row r="89" spans="1:60" ht="16.5" x14ac:dyDescent="0.3">
      <c r="A89"/>
      <c r="B89"/>
      <c r="C89"/>
      <c r="D89"/>
      <c r="E89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</row>
    <row r="90" spans="1:60" ht="16.5" x14ac:dyDescent="0.3">
      <c r="A90"/>
      <c r="B90"/>
      <c r="C90"/>
      <c r="D90"/>
      <c r="E90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</row>
    <row r="91" spans="1:60" x14ac:dyDescent="0.25">
      <c r="A91"/>
      <c r="B91"/>
      <c r="C91"/>
      <c r="D91"/>
      <c r="E91"/>
    </row>
    <row r="92" spans="1:60" x14ac:dyDescent="0.25">
      <c r="A92"/>
      <c r="B92"/>
      <c r="C92"/>
      <c r="D92"/>
      <c r="E92"/>
    </row>
    <row r="93" spans="1:60" x14ac:dyDescent="0.25">
      <c r="A93"/>
      <c r="B93"/>
      <c r="C93"/>
      <c r="D93"/>
      <c r="E93"/>
    </row>
    <row r="94" spans="1:60" x14ac:dyDescent="0.25">
      <c r="A94"/>
      <c r="B94"/>
      <c r="C94"/>
      <c r="D94"/>
      <c r="E94"/>
    </row>
    <row r="95" spans="1:60" x14ac:dyDescent="0.25">
      <c r="A95"/>
      <c r="B95"/>
      <c r="C95"/>
      <c r="D95"/>
      <c r="E95"/>
    </row>
    <row r="96" spans="1:60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  <row r="283" spans="1:5" x14ac:dyDescent="0.25">
      <c r="A283"/>
      <c r="B283"/>
      <c r="C283"/>
      <c r="D283"/>
      <c r="E283"/>
    </row>
    <row r="284" spans="1:5" x14ac:dyDescent="0.25">
      <c r="A284"/>
      <c r="B284"/>
      <c r="C284"/>
      <c r="D284"/>
      <c r="E284"/>
    </row>
    <row r="285" spans="1:5" x14ac:dyDescent="0.25">
      <c r="A285"/>
      <c r="B285"/>
      <c r="C285"/>
      <c r="D285"/>
      <c r="E285"/>
    </row>
    <row r="286" spans="1:5" x14ac:dyDescent="0.25">
      <c r="A286"/>
      <c r="B286"/>
      <c r="C286"/>
      <c r="D286"/>
      <c r="E286"/>
    </row>
    <row r="287" spans="1:5" x14ac:dyDescent="0.25">
      <c r="A287"/>
      <c r="B287"/>
      <c r="C287"/>
      <c r="D287"/>
      <c r="E287"/>
    </row>
    <row r="288" spans="1:5" x14ac:dyDescent="0.25">
      <c r="A288"/>
      <c r="B288"/>
      <c r="C288"/>
      <c r="D288"/>
      <c r="E288"/>
    </row>
    <row r="289" spans="1:5" x14ac:dyDescent="0.25">
      <c r="A289"/>
      <c r="B289"/>
      <c r="C289"/>
      <c r="D289"/>
      <c r="E289"/>
    </row>
    <row r="290" spans="1:5" x14ac:dyDescent="0.25">
      <c r="A290"/>
      <c r="B290"/>
      <c r="C290"/>
      <c r="D290"/>
      <c r="E290"/>
    </row>
    <row r="291" spans="1:5" x14ac:dyDescent="0.25">
      <c r="A291"/>
      <c r="B291"/>
      <c r="C291"/>
      <c r="D291"/>
      <c r="E291"/>
    </row>
    <row r="292" spans="1:5" x14ac:dyDescent="0.25">
      <c r="A292"/>
      <c r="B292"/>
      <c r="C292"/>
      <c r="D292"/>
      <c r="E292"/>
    </row>
    <row r="293" spans="1:5" x14ac:dyDescent="0.25">
      <c r="A293"/>
      <c r="B293"/>
      <c r="C293"/>
      <c r="D293"/>
      <c r="E293"/>
    </row>
    <row r="294" spans="1:5" x14ac:dyDescent="0.25">
      <c r="A294"/>
      <c r="B294"/>
      <c r="C294"/>
      <c r="D294"/>
      <c r="E294"/>
    </row>
    <row r="295" spans="1:5" x14ac:dyDescent="0.25">
      <c r="A295"/>
      <c r="B295"/>
      <c r="C295"/>
      <c r="D295"/>
      <c r="E295"/>
    </row>
    <row r="296" spans="1:5" x14ac:dyDescent="0.25">
      <c r="A296"/>
      <c r="B296"/>
      <c r="C296"/>
      <c r="D296"/>
      <c r="E296"/>
    </row>
    <row r="297" spans="1:5" x14ac:dyDescent="0.25">
      <c r="A297"/>
      <c r="B297"/>
      <c r="C297"/>
      <c r="D297"/>
      <c r="E297"/>
    </row>
    <row r="298" spans="1:5" x14ac:dyDescent="0.25">
      <c r="A298"/>
      <c r="B298"/>
      <c r="C298"/>
      <c r="D298"/>
      <c r="E298"/>
    </row>
    <row r="299" spans="1:5" x14ac:dyDescent="0.25">
      <c r="A299"/>
      <c r="B299"/>
      <c r="C299"/>
      <c r="D299"/>
      <c r="E299"/>
    </row>
    <row r="300" spans="1:5" x14ac:dyDescent="0.25">
      <c r="A300"/>
      <c r="B300"/>
      <c r="C300"/>
      <c r="D300"/>
      <c r="E300"/>
    </row>
  </sheetData>
  <pageMargins left="0.75" right="0.75" top="1" bottom="1" header="0.5" footer="0.5"/>
  <pageSetup orientation="portrait" horizontalDpi="200" verticalDpi="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F9123-214E-4D79-900D-29EB9612859D}">
  <dimension ref="A1:AK26"/>
  <sheetViews>
    <sheetView workbookViewId="0">
      <selection activeCell="J32" sqref="J32"/>
    </sheetView>
  </sheetViews>
  <sheetFormatPr defaultRowHeight="15" x14ac:dyDescent="0.25"/>
  <cols>
    <col min="1" max="1" width="6.85546875" customWidth="1"/>
    <col min="2" max="2" width="5.5703125" customWidth="1"/>
    <col min="5" max="5" width="11.85546875" customWidth="1"/>
    <col min="6" max="6" width="12.42578125" customWidth="1"/>
    <col min="7" max="7" width="3.7109375" customWidth="1"/>
    <col min="8" max="8" width="5.7109375" customWidth="1"/>
    <col min="9" max="10" width="7" customWidth="1"/>
    <col min="11" max="11" width="5.140625" customWidth="1"/>
    <col min="14" max="14" width="13" customWidth="1"/>
    <col min="15" max="15" width="4.140625" customWidth="1"/>
    <col min="21" max="21" width="13.85546875" customWidth="1"/>
    <col min="22" max="22" width="5" customWidth="1"/>
    <col min="29" max="29" width="4.42578125" customWidth="1"/>
    <col min="30" max="30" width="3.5703125" customWidth="1"/>
  </cols>
  <sheetData>
    <row r="1" spans="1:37" ht="15.75" thickBot="1" x14ac:dyDescent="0.3">
      <c r="A1" s="268" t="s">
        <v>170</v>
      </c>
      <c r="B1" s="21" t="s">
        <v>0</v>
      </c>
      <c r="C1" s="21" t="s">
        <v>258</v>
      </c>
      <c r="D1" s="21" t="s">
        <v>259</v>
      </c>
      <c r="E1" s="21" t="s">
        <v>260</v>
      </c>
      <c r="F1" s="21" t="s">
        <v>108</v>
      </c>
      <c r="H1" s="268" t="s">
        <v>170</v>
      </c>
      <c r="I1" s="21" t="s">
        <v>0</v>
      </c>
      <c r="J1" s="21" t="s">
        <v>258</v>
      </c>
      <c r="K1" s="21" t="s">
        <v>259</v>
      </c>
      <c r="L1" s="21" t="s">
        <v>260</v>
      </c>
      <c r="M1" s="21" t="s">
        <v>108</v>
      </c>
      <c r="N1" s="1"/>
      <c r="P1" s="268" t="s">
        <v>170</v>
      </c>
      <c r="Q1" s="21" t="s">
        <v>0</v>
      </c>
      <c r="R1" s="21" t="s">
        <v>258</v>
      </c>
      <c r="S1" s="21" t="s">
        <v>259</v>
      </c>
      <c r="T1" s="21" t="s">
        <v>260</v>
      </c>
      <c r="U1" s="21" t="s">
        <v>108</v>
      </c>
      <c r="W1" s="268" t="s">
        <v>170</v>
      </c>
      <c r="X1" s="21" t="s">
        <v>0</v>
      </c>
      <c r="Y1" s="21" t="s">
        <v>258</v>
      </c>
      <c r="Z1" s="21" t="s">
        <v>259</v>
      </c>
      <c r="AA1" s="21" t="s">
        <v>260</v>
      </c>
      <c r="AB1" s="21" t="s">
        <v>108</v>
      </c>
      <c r="AC1" s="1"/>
      <c r="AD1" s="1"/>
      <c r="AE1" s="268" t="s">
        <v>170</v>
      </c>
      <c r="AF1" s="21" t="s">
        <v>0</v>
      </c>
      <c r="AG1" s="21" t="s">
        <v>258</v>
      </c>
      <c r="AH1" s="21" t="s">
        <v>259</v>
      </c>
      <c r="AI1" s="21" t="s">
        <v>260</v>
      </c>
      <c r="AJ1" s="21" t="s">
        <v>108</v>
      </c>
    </row>
    <row r="2" spans="1:37" x14ac:dyDescent="0.25">
      <c r="A2" s="269">
        <v>0</v>
      </c>
      <c r="B2" s="270"/>
      <c r="C2" s="271">
        <f>AVERAGE(B3:B6)</f>
        <v>9.75</v>
      </c>
      <c r="D2" s="272">
        <f>(AVERAGE(B11:B14)-AVERAGE(B3:B6))/(A14-$B$15-1)</f>
        <v>0.9642857142857143</v>
      </c>
      <c r="E2" s="273"/>
      <c r="F2" s="271"/>
      <c r="G2" s="274"/>
      <c r="H2" s="269">
        <v>0</v>
      </c>
      <c r="I2" s="270"/>
      <c r="J2" s="270">
        <f>AVERAGE(I3:I6)</f>
        <v>9.75</v>
      </c>
      <c r="K2" s="275">
        <f>(AVERAGE(I11:I14)-J2)/(H14-I15-1)</f>
        <v>0.61363636363636365</v>
      </c>
      <c r="L2" s="273"/>
      <c r="M2" s="271"/>
      <c r="N2" s="274"/>
      <c r="O2" s="274"/>
      <c r="P2" s="269">
        <v>0</v>
      </c>
      <c r="Q2" s="270"/>
      <c r="R2" s="270">
        <f>AVERAGE(Q3:Q6)</f>
        <v>9.75</v>
      </c>
      <c r="S2" s="275">
        <f>(AVERAGE(Q11:Q14)-R2)/(P14-Q15-1)</f>
        <v>0.61363636363636365</v>
      </c>
      <c r="T2" s="273"/>
      <c r="U2" s="271"/>
      <c r="W2" s="269">
        <v>0</v>
      </c>
      <c r="X2" s="270"/>
      <c r="Y2" s="270">
        <f>AVERAGE(X3:X6)</f>
        <v>9.75</v>
      </c>
      <c r="Z2" s="275">
        <f>(AVERAGE(X11:X14)-Y2)/(W14-X15-1)</f>
        <v>0.61363636363636365</v>
      </c>
      <c r="AA2" s="273"/>
      <c r="AB2" s="271"/>
      <c r="AC2" s="273"/>
      <c r="AD2" s="273"/>
      <c r="AE2" s="269">
        <v>0</v>
      </c>
      <c r="AF2" s="270"/>
      <c r="AG2" s="270">
        <f>AVERAGE(AF3:AF6)</f>
        <v>9.75</v>
      </c>
      <c r="AH2" s="275">
        <f>(AVERAGE(AF11:AF14)-AG2)/(AE14-AF15-1)</f>
        <v>0.61363636363636365</v>
      </c>
      <c r="AI2" s="273"/>
      <c r="AJ2" s="271"/>
    </row>
    <row r="3" spans="1:37" x14ac:dyDescent="0.25">
      <c r="A3" s="276">
        <v>1</v>
      </c>
      <c r="B3" s="277">
        <v>4</v>
      </c>
      <c r="C3" s="278"/>
      <c r="D3" s="271"/>
      <c r="E3" s="272">
        <f>B3/AVERAGE($B$3:$B$6)</f>
        <v>0.41025641025641024</v>
      </c>
      <c r="F3" s="279">
        <f>(C2+D2)*E3</f>
        <v>4.3956043956043951</v>
      </c>
      <c r="G3" s="274"/>
      <c r="H3" s="276">
        <v>1</v>
      </c>
      <c r="I3" s="277">
        <v>4</v>
      </c>
      <c r="J3" s="278">
        <f>(1-$B$24)*(J2+K2)+$B$24*I3/L3</f>
        <v>10.210227272727273</v>
      </c>
      <c r="K3" s="271">
        <f>(1-$B$25)*K2+$B$25*(J3-J2)</f>
        <v>0.57528409090909105</v>
      </c>
      <c r="L3" s="275">
        <f>I3/AVERAGE($B$3:$B$6)</f>
        <v>0.41025641025641024</v>
      </c>
      <c r="M3" s="280">
        <f>(J2+K2)*L3</f>
        <v>4.2517482517482517</v>
      </c>
      <c r="N3" s="274"/>
      <c r="O3" s="274"/>
      <c r="P3" s="276">
        <v>1</v>
      </c>
      <c r="Q3" s="277">
        <v>4</v>
      </c>
      <c r="R3" s="281">
        <f>(1-$B$24)*(R2+S2)+$B$24*Q3/T3</f>
        <v>10.210227272727273</v>
      </c>
      <c r="S3" s="282">
        <f>(1-$B$25)*S2+$B$25*(R3-R2)</f>
        <v>0.57528409090909105</v>
      </c>
      <c r="T3" s="275">
        <f>Q3/AVERAGE($B$3:$B$6)</f>
        <v>0.41025641025641024</v>
      </c>
      <c r="U3" s="280">
        <f>(R2+S2)*T3</f>
        <v>4.2517482517482517</v>
      </c>
      <c r="W3" s="276">
        <v>1</v>
      </c>
      <c r="X3" s="277">
        <v>4</v>
      </c>
      <c r="Y3" s="281">
        <f>(1-$B$24)*(Y2+Z2)+$B$24*X3/AA3</f>
        <v>10.210227272727273</v>
      </c>
      <c r="Z3" s="282">
        <f>(1-$B$25)*Z2+$B$25*(Y3-Y2)</f>
        <v>0.57528409090909105</v>
      </c>
      <c r="AA3" s="275">
        <f>X3/AVERAGE($B$3:$B$6)</f>
        <v>0.41025641025641024</v>
      </c>
      <c r="AB3" s="280">
        <f>(Y2+Z2)*AA3</f>
        <v>4.2517482517482517</v>
      </c>
      <c r="AC3" s="283"/>
      <c r="AD3" s="283"/>
      <c r="AE3" s="276">
        <v>1</v>
      </c>
      <c r="AF3" s="277">
        <v>4</v>
      </c>
      <c r="AG3" s="281">
        <f>(1-$B$24)*(AG2+AH2)+$B$24*AF3/AI3</f>
        <v>10.210227272727273</v>
      </c>
      <c r="AH3" s="282">
        <f>(1-$B$25)*AH2+$B$25*(AG3-AG2)</f>
        <v>0.57528409090909105</v>
      </c>
      <c r="AI3" s="282">
        <f>AF3/AVERAGE($B$3:$B$6)</f>
        <v>0.41025641025641024</v>
      </c>
      <c r="AJ3" s="284">
        <f>(AG2+AH2)*AI3</f>
        <v>4.2517482517482517</v>
      </c>
    </row>
    <row r="4" spans="1:37" x14ac:dyDescent="0.25">
      <c r="A4" s="276">
        <v>2</v>
      </c>
      <c r="B4" s="277">
        <v>9</v>
      </c>
      <c r="C4" s="278"/>
      <c r="D4" s="271"/>
      <c r="E4" s="272">
        <f>B4/AVERAGE($B$3:$B$6)</f>
        <v>0.92307692307692313</v>
      </c>
      <c r="F4" s="285"/>
      <c r="G4" s="274"/>
      <c r="H4" s="276">
        <v>2</v>
      </c>
      <c r="I4" s="277">
        <v>9</v>
      </c>
      <c r="J4" s="278"/>
      <c r="K4" s="271"/>
      <c r="L4" s="275">
        <f>I4/AVERAGE($B$3:$B$6)</f>
        <v>0.92307692307692313</v>
      </c>
      <c r="M4" s="279">
        <f>(J3+K3)*L4</f>
        <v>9.9558566433566451</v>
      </c>
      <c r="N4" s="274"/>
      <c r="O4" s="274"/>
      <c r="P4" s="276">
        <v>2</v>
      </c>
      <c r="Q4" s="277">
        <v>9</v>
      </c>
      <c r="R4" s="286">
        <f>(1-$B$24)*(R3+S3)+$B$24*Q4/T4</f>
        <v>10.526633522727273</v>
      </c>
      <c r="S4" s="272">
        <f>(1-$B$25)*S3+$B$25*(R4-R3)</f>
        <v>0.51056463068181834</v>
      </c>
      <c r="T4" s="275">
        <f>Q4/AVERAGE($B$3:$B$6)</f>
        <v>0.92307692307692313</v>
      </c>
      <c r="U4" s="284">
        <f>(R3+S3)*T4</f>
        <v>9.9558566433566451</v>
      </c>
      <c r="W4" s="276">
        <v>2</v>
      </c>
      <c r="X4" s="277">
        <v>9</v>
      </c>
      <c r="Y4" s="287">
        <f>(1-$B$24)*(Y3+Z3)+$B$24*X4/AA4</f>
        <v>10.526633522727273</v>
      </c>
      <c r="Z4" s="275">
        <f>(1-$B$25)*Z3+$B$25*(Y4-Y3)</f>
        <v>0.51056463068181834</v>
      </c>
      <c r="AA4" s="275">
        <f>X4/AVERAGE($B$3:$B$6)</f>
        <v>0.92307692307692313</v>
      </c>
      <c r="AB4" s="284">
        <f>(Y3+Z3)*AA4</f>
        <v>9.9558566433566451</v>
      </c>
      <c r="AC4" s="288"/>
      <c r="AD4" s="288"/>
      <c r="AE4" s="276">
        <v>2</v>
      </c>
      <c r="AF4" s="277">
        <v>9</v>
      </c>
      <c r="AG4" s="287">
        <f>(1-$B$24)*(AG3+AH3)+$B$24*AF4/AI4</f>
        <v>10.526633522727273</v>
      </c>
      <c r="AH4" s="275">
        <f>(1-$B$25)*AH3+$B$25*(AG4-AG3)</f>
        <v>0.51056463068181834</v>
      </c>
      <c r="AI4" s="282">
        <f>AF4/AVERAGE($B$3:$B$6)</f>
        <v>0.92307692307692313</v>
      </c>
      <c r="AJ4" s="284">
        <f>(AG3+AH3)*AI4</f>
        <v>9.9558566433566451</v>
      </c>
    </row>
    <row r="5" spans="1:37" x14ac:dyDescent="0.25">
      <c r="A5" s="276">
        <v>3</v>
      </c>
      <c r="B5" s="277">
        <v>15</v>
      </c>
      <c r="C5" s="278"/>
      <c r="D5" s="271"/>
      <c r="E5" s="272">
        <f>B5/AVERAGE($B$3:$B$6)</f>
        <v>1.5384615384615385</v>
      </c>
      <c r="F5" s="285"/>
      <c r="G5" s="274"/>
      <c r="H5" s="276">
        <v>3</v>
      </c>
      <c r="I5" s="277">
        <v>15</v>
      </c>
      <c r="J5" s="278"/>
      <c r="K5" s="271"/>
      <c r="L5" s="275">
        <f>I5/AVERAGE($B$3:$B$6)</f>
        <v>1.5384615384615385</v>
      </c>
      <c r="M5" s="285"/>
      <c r="N5" s="274"/>
      <c r="O5" s="274"/>
      <c r="P5" s="276">
        <v>3</v>
      </c>
      <c r="Q5" s="277">
        <v>15</v>
      </c>
      <c r="R5" s="278"/>
      <c r="S5" s="271"/>
      <c r="T5" s="275">
        <f>Q5/AVERAGE($B$3:$B$6)</f>
        <v>1.5384615384615385</v>
      </c>
      <c r="U5" s="279">
        <f>(R4+S4)*T5</f>
        <v>16.980304851398603</v>
      </c>
      <c r="W5" s="276">
        <v>3</v>
      </c>
      <c r="X5" s="277">
        <v>15</v>
      </c>
      <c r="Y5" s="286">
        <f>(1-$B$24)*(Y4+Z4)+$B$24*X5/AA5</f>
        <v>10.715398615056818</v>
      </c>
      <c r="Z5" s="272">
        <f>(1-$B$25)*Z4+$B$25*(Y5-Y4)</f>
        <v>0.43011474609375</v>
      </c>
      <c r="AA5" s="275">
        <f>X5/AVERAGE($B$3:$B$6)</f>
        <v>1.5384615384615385</v>
      </c>
      <c r="AB5" s="280">
        <f>(Y4+Z4)*AA5</f>
        <v>16.980304851398603</v>
      </c>
      <c r="AC5" s="289"/>
      <c r="AD5" s="289"/>
      <c r="AE5" s="276">
        <v>3</v>
      </c>
      <c r="AF5" s="277">
        <v>15</v>
      </c>
      <c r="AG5" s="281">
        <f>(1-$B$24)*(AG4+AH4)+$B$24*AF5/AI5</f>
        <v>10.715398615056818</v>
      </c>
      <c r="AH5" s="282">
        <f>(1-$B$25)*AH4+$B$25*(AG5-AG4)</f>
        <v>0.43011474609375</v>
      </c>
      <c r="AI5" s="282">
        <f>AF5/AVERAGE($B$3:$B$6)</f>
        <v>1.5384615384615385</v>
      </c>
      <c r="AJ5" s="284">
        <f>(AG4+AH4)*AI5</f>
        <v>16.980304851398603</v>
      </c>
    </row>
    <row r="6" spans="1:37" x14ac:dyDescent="0.25">
      <c r="A6" s="276">
        <v>4</v>
      </c>
      <c r="B6" s="277">
        <v>11</v>
      </c>
      <c r="C6" s="278"/>
      <c r="D6" s="271"/>
      <c r="E6" s="272">
        <f>B6/AVERAGE($B$3:$B$6)</f>
        <v>1.1282051282051282</v>
      </c>
      <c r="F6" s="285"/>
      <c r="G6" s="274"/>
      <c r="H6" s="276">
        <v>4</v>
      </c>
      <c r="I6" s="277">
        <v>11</v>
      </c>
      <c r="J6" s="278"/>
      <c r="K6" s="271"/>
      <c r="L6" s="275">
        <f>I6/AVERAGE($B$3:$B$6)</f>
        <v>1.1282051282051282</v>
      </c>
      <c r="M6" s="285"/>
      <c r="N6" s="274"/>
      <c r="O6" s="274"/>
      <c r="P6" s="276">
        <v>4</v>
      </c>
      <c r="Q6" s="277">
        <v>11</v>
      </c>
      <c r="R6" s="278"/>
      <c r="S6" s="271"/>
      <c r="T6" s="275">
        <f>Q6/AVERAGE($B$3:$B$6)</f>
        <v>1.1282051282051282</v>
      </c>
      <c r="U6" s="285"/>
      <c r="W6" s="276">
        <v>4</v>
      </c>
      <c r="X6" s="277">
        <v>11</v>
      </c>
      <c r="Y6" s="278"/>
      <c r="Z6" s="271"/>
      <c r="AA6" s="275">
        <f>X6/AVERAGE($B$3:$B$6)</f>
        <v>1.1282051282051282</v>
      </c>
      <c r="AB6" s="279">
        <f>(Y5+Z5)*AA6</f>
        <v>12.574425330528847</v>
      </c>
      <c r="AC6" s="273"/>
      <c r="AD6" s="273"/>
      <c r="AE6" s="276">
        <v>4</v>
      </c>
      <c r="AF6" s="277">
        <v>11</v>
      </c>
      <c r="AG6" s="286">
        <f>(1-$B$24)*(AG5+AH5)+$B$24*AF6/AI6</f>
        <v>10.796635020862926</v>
      </c>
      <c r="AH6" s="272">
        <f>(1-$B$25)*AH5+$B$25*(AG6-AG5)</f>
        <v>0.34289516102183937</v>
      </c>
      <c r="AI6" s="282">
        <f>AF6/AVERAGE($B$3:$B$6)</f>
        <v>1.1282051282051282</v>
      </c>
      <c r="AJ6" s="284">
        <f>(AG5+AH5)*AI6</f>
        <v>12.574425330528847</v>
      </c>
    </row>
    <row r="7" spans="1:37" x14ac:dyDescent="0.25">
      <c r="A7" s="276">
        <v>5</v>
      </c>
      <c r="B7" s="277">
        <v>6</v>
      </c>
      <c r="C7" s="269"/>
      <c r="D7" s="270"/>
      <c r="E7" s="270"/>
      <c r="F7" s="270"/>
      <c r="G7" s="274"/>
      <c r="H7" s="276">
        <v>5</v>
      </c>
      <c r="I7" s="277">
        <v>6</v>
      </c>
      <c r="J7" s="269"/>
      <c r="K7" s="270"/>
      <c r="L7" s="272">
        <f>(1-$B$26)*L3+$B$26*I3/(J2+K2)</f>
        <v>0.40418353576248317</v>
      </c>
      <c r="M7" s="270"/>
      <c r="N7" s="274"/>
      <c r="O7" s="274"/>
      <c r="P7" s="276">
        <v>5</v>
      </c>
      <c r="Q7" s="277">
        <v>6</v>
      </c>
      <c r="R7" s="269"/>
      <c r="S7" s="270"/>
      <c r="T7" s="282">
        <f>(1-$B$26)*T3+J26*Q3/(R2+S2)</f>
        <v>0.30769230769230771</v>
      </c>
      <c r="U7" s="270"/>
      <c r="W7" s="276">
        <v>5</v>
      </c>
      <c r="X7" s="277">
        <v>6</v>
      </c>
      <c r="Y7" s="269"/>
      <c r="Z7" s="270"/>
      <c r="AA7" s="282">
        <f>(1-$B$26)*AA3+Q26*X3/(Y2+Z2)</f>
        <v>0.30769230769230771</v>
      </c>
      <c r="AB7" s="270"/>
      <c r="AC7" s="274"/>
      <c r="AD7" s="274"/>
      <c r="AE7" s="276">
        <v>5</v>
      </c>
      <c r="AF7" s="277">
        <v>6</v>
      </c>
      <c r="AG7" s="269"/>
      <c r="AH7" s="270"/>
      <c r="AI7" s="282">
        <f>(1-$B$26)*AI3+Z26*AF3/(AG2+AH2)</f>
        <v>0.30769230769230771</v>
      </c>
      <c r="AJ7" s="279">
        <f>(AG6+AH6)*AI7</f>
        <v>3.4275477482722359</v>
      </c>
    </row>
    <row r="8" spans="1:37" x14ac:dyDescent="0.25">
      <c r="A8" s="276">
        <v>6</v>
      </c>
      <c r="B8" s="277">
        <v>14</v>
      </c>
      <c r="C8" s="269"/>
      <c r="D8" s="270"/>
      <c r="E8" s="270"/>
      <c r="F8" s="270"/>
      <c r="G8" s="274"/>
      <c r="H8" s="276">
        <v>6</v>
      </c>
      <c r="I8" s="277">
        <v>14</v>
      </c>
      <c r="J8" s="269"/>
      <c r="K8" s="270"/>
      <c r="L8" s="270"/>
      <c r="M8" s="270"/>
      <c r="N8" s="274"/>
      <c r="O8" s="274"/>
      <c r="P8" s="276">
        <v>6</v>
      </c>
      <c r="Q8" s="277">
        <v>14</v>
      </c>
      <c r="R8" s="269"/>
      <c r="S8" s="270"/>
      <c r="T8" s="272">
        <f>(1-$B$26)*T4+J27*Q4/(R3+S3)</f>
        <v>0.69230769230769229</v>
      </c>
      <c r="U8" s="270"/>
      <c r="W8" s="276">
        <v>6</v>
      </c>
      <c r="X8" s="277">
        <v>14</v>
      </c>
      <c r="Y8" s="269"/>
      <c r="Z8" s="270"/>
      <c r="AA8" s="275">
        <f>(1-$B$26)*AA4+Q27*X4/(Y3+Z3)</f>
        <v>0.69230769230769229</v>
      </c>
      <c r="AB8" s="270"/>
      <c r="AC8" s="274"/>
      <c r="AD8" s="274"/>
      <c r="AE8" s="276">
        <v>6</v>
      </c>
      <c r="AF8" s="277">
        <v>14</v>
      </c>
      <c r="AG8" s="269"/>
      <c r="AH8" s="270"/>
      <c r="AI8" s="282">
        <f>(1-$B$26)*AI4+Z27*AF4/(AG3+AH3)</f>
        <v>0.69230769230769229</v>
      </c>
      <c r="AJ8" s="270"/>
    </row>
    <row r="9" spans="1:37" x14ac:dyDescent="0.25">
      <c r="A9" s="276">
        <v>7</v>
      </c>
      <c r="B9" s="277">
        <v>23</v>
      </c>
      <c r="C9" s="269"/>
      <c r="D9" s="270"/>
      <c r="E9" s="270"/>
      <c r="F9" s="270"/>
      <c r="G9" s="274"/>
      <c r="H9" s="276">
        <v>7</v>
      </c>
      <c r="I9" s="277">
        <v>23</v>
      </c>
      <c r="J9" s="269"/>
      <c r="K9" s="270"/>
      <c r="L9" s="270"/>
      <c r="M9" s="270"/>
      <c r="N9" s="274"/>
      <c r="O9" s="274"/>
      <c r="P9" s="276">
        <v>7</v>
      </c>
      <c r="Q9" s="277">
        <v>23</v>
      </c>
      <c r="R9" s="269"/>
      <c r="S9" s="270"/>
      <c r="T9" s="270"/>
      <c r="U9" s="270"/>
      <c r="W9" s="276">
        <v>7</v>
      </c>
      <c r="X9" s="277">
        <v>23</v>
      </c>
      <c r="Y9" s="269"/>
      <c r="Z9" s="270"/>
      <c r="AA9" s="272">
        <f>(1-$B$26)*AA5+Q28*X5/(Y4+Z4)</f>
        <v>1.153846153846154</v>
      </c>
      <c r="AB9" s="270"/>
      <c r="AC9" s="274"/>
      <c r="AD9" s="274"/>
      <c r="AE9" s="276">
        <v>7</v>
      </c>
      <c r="AF9" s="277">
        <v>23</v>
      </c>
      <c r="AG9" s="269"/>
      <c r="AH9" s="270"/>
      <c r="AI9" s="282">
        <f>(1-$B$26)*AI5+Z28*AF5/(AG4+AH4)</f>
        <v>1.153846153846154</v>
      </c>
      <c r="AJ9" s="270"/>
    </row>
    <row r="10" spans="1:37" x14ac:dyDescent="0.25">
      <c r="A10" s="276">
        <v>8</v>
      </c>
      <c r="B10" s="277">
        <v>16</v>
      </c>
      <c r="C10" s="269"/>
      <c r="D10" s="270"/>
      <c r="E10" s="270"/>
      <c r="F10" s="270"/>
      <c r="G10" s="274"/>
      <c r="H10" s="276">
        <v>8</v>
      </c>
      <c r="I10" s="277">
        <v>16</v>
      </c>
      <c r="J10" s="269"/>
      <c r="K10" s="270"/>
      <c r="L10" s="270"/>
      <c r="M10" s="270"/>
      <c r="N10" s="274"/>
      <c r="O10" s="274"/>
      <c r="P10" s="276">
        <v>8</v>
      </c>
      <c r="Q10" s="277">
        <v>16</v>
      </c>
      <c r="R10" s="269"/>
      <c r="S10" s="270"/>
      <c r="T10" s="270"/>
      <c r="U10" s="270"/>
      <c r="W10" s="276">
        <v>8</v>
      </c>
      <c r="X10" s="277">
        <v>16</v>
      </c>
      <c r="Y10" s="269"/>
      <c r="Z10" s="270"/>
      <c r="AA10" s="270"/>
      <c r="AB10" s="270"/>
      <c r="AC10" s="274"/>
      <c r="AD10" s="274"/>
      <c r="AE10" s="276">
        <v>8</v>
      </c>
      <c r="AF10" s="277">
        <v>16</v>
      </c>
      <c r="AG10" s="269"/>
      <c r="AH10" s="270"/>
      <c r="AI10" s="272">
        <f>(1-$B$26)*AI6+Z29*AF6/(AG5+AH5)</f>
        <v>0.84615384615384615</v>
      </c>
      <c r="AJ10" s="270"/>
    </row>
    <row r="11" spans="1:37" x14ac:dyDescent="0.25">
      <c r="A11" s="276">
        <v>9</v>
      </c>
      <c r="B11" s="277">
        <v>8</v>
      </c>
      <c r="C11" s="269"/>
      <c r="D11" s="270"/>
      <c r="E11" s="270"/>
      <c r="F11" s="270"/>
      <c r="G11" s="274"/>
      <c r="H11" s="276">
        <v>9</v>
      </c>
      <c r="I11" s="277">
        <v>8</v>
      </c>
      <c r="J11" s="269"/>
      <c r="K11" s="270"/>
      <c r="L11" s="270"/>
      <c r="M11" s="270"/>
      <c r="N11" s="274"/>
      <c r="O11" s="274"/>
      <c r="P11" s="276">
        <v>9</v>
      </c>
      <c r="Q11" s="277">
        <v>8</v>
      </c>
      <c r="R11" s="269"/>
      <c r="S11" s="270"/>
      <c r="T11" s="270"/>
      <c r="U11" s="270"/>
      <c r="W11" s="276">
        <v>9</v>
      </c>
      <c r="X11" s="277">
        <v>8</v>
      </c>
      <c r="Y11" s="269"/>
      <c r="Z11" s="270"/>
      <c r="AA11" s="270"/>
      <c r="AB11" s="270"/>
      <c r="AC11" s="274"/>
      <c r="AD11" s="274"/>
      <c r="AE11" s="276">
        <v>9</v>
      </c>
      <c r="AF11" s="277">
        <v>8</v>
      </c>
      <c r="AG11" s="269"/>
      <c r="AH11" s="270"/>
      <c r="AI11" s="270"/>
      <c r="AJ11" s="270"/>
    </row>
    <row r="12" spans="1:37" x14ac:dyDescent="0.25">
      <c r="A12" s="276">
        <v>10</v>
      </c>
      <c r="B12" s="277">
        <v>17</v>
      </c>
      <c r="C12" s="269"/>
      <c r="D12" s="270"/>
      <c r="E12" s="270"/>
      <c r="F12" s="270"/>
      <c r="G12" s="274"/>
      <c r="H12" s="276">
        <v>10</v>
      </c>
      <c r="I12" s="277">
        <v>17</v>
      </c>
      <c r="J12" s="269"/>
      <c r="K12" s="270"/>
      <c r="L12" s="270"/>
      <c r="M12" s="270"/>
      <c r="N12" s="274"/>
      <c r="O12" s="274"/>
      <c r="P12" s="276">
        <v>10</v>
      </c>
      <c r="Q12" s="277">
        <v>17</v>
      </c>
      <c r="R12" s="269"/>
      <c r="S12" s="270"/>
      <c r="T12" s="270"/>
      <c r="U12" s="270"/>
      <c r="W12" s="276">
        <v>10</v>
      </c>
      <c r="X12" s="277">
        <v>17</v>
      </c>
      <c r="Y12" s="269"/>
      <c r="Z12" s="270"/>
      <c r="AA12" s="270"/>
      <c r="AB12" s="270"/>
      <c r="AC12" s="274"/>
      <c r="AD12" s="274"/>
      <c r="AE12" s="276">
        <v>10</v>
      </c>
      <c r="AF12" s="277">
        <v>17</v>
      </c>
      <c r="AG12" s="269"/>
      <c r="AH12" s="270"/>
      <c r="AI12" s="270"/>
      <c r="AJ12" s="270"/>
    </row>
    <row r="13" spans="1:37" x14ac:dyDescent="0.25">
      <c r="A13" s="276">
        <v>11</v>
      </c>
      <c r="B13" s="277">
        <v>24</v>
      </c>
      <c r="C13" s="269"/>
      <c r="D13" s="270"/>
      <c r="E13" s="270"/>
      <c r="F13" s="270"/>
      <c r="G13" s="274"/>
      <c r="H13" s="276">
        <v>11</v>
      </c>
      <c r="I13" s="277">
        <v>24</v>
      </c>
      <c r="J13" s="269"/>
      <c r="K13" s="270"/>
      <c r="L13" s="270"/>
      <c r="M13" s="270"/>
      <c r="N13" s="274"/>
      <c r="O13" s="274"/>
      <c r="P13" s="276">
        <v>11</v>
      </c>
      <c r="Q13" s="277">
        <v>24</v>
      </c>
      <c r="R13" s="269"/>
      <c r="S13" s="270"/>
      <c r="T13" s="270"/>
      <c r="U13" s="270"/>
      <c r="W13" s="276">
        <v>11</v>
      </c>
      <c r="X13" s="277">
        <v>24</v>
      </c>
      <c r="Y13" s="269"/>
      <c r="Z13" s="270"/>
      <c r="AA13" s="270"/>
      <c r="AB13" s="270"/>
      <c r="AC13" s="274"/>
      <c r="AD13" s="274"/>
      <c r="AE13" s="276">
        <v>11</v>
      </c>
      <c r="AF13" s="277">
        <v>24</v>
      </c>
      <c r="AG13" s="269"/>
      <c r="AH13" s="270"/>
      <c r="AI13" s="270"/>
      <c r="AJ13" s="270"/>
    </row>
    <row r="14" spans="1:37" ht="15.75" thickBot="1" x14ac:dyDescent="0.3">
      <c r="A14" s="290">
        <v>12</v>
      </c>
      <c r="B14" s="291">
        <v>17</v>
      </c>
      <c r="C14" s="292"/>
      <c r="D14" s="293"/>
      <c r="E14" s="293"/>
      <c r="F14" s="293"/>
      <c r="G14" s="274"/>
      <c r="H14" s="290">
        <v>12</v>
      </c>
      <c r="I14" s="291">
        <v>17</v>
      </c>
      <c r="J14" s="292"/>
      <c r="K14" s="293"/>
      <c r="L14" s="293"/>
      <c r="M14" s="293"/>
      <c r="N14" s="274"/>
      <c r="O14" s="274"/>
      <c r="P14" s="290">
        <v>12</v>
      </c>
      <c r="Q14" s="291">
        <v>17</v>
      </c>
      <c r="R14" s="292"/>
      <c r="S14" s="293"/>
      <c r="T14" s="293"/>
      <c r="U14" s="293"/>
      <c r="W14" s="290">
        <v>12</v>
      </c>
      <c r="X14" s="291">
        <v>17</v>
      </c>
      <c r="Y14" s="292"/>
      <c r="Z14" s="293"/>
      <c r="AA14" s="293"/>
      <c r="AB14" s="293"/>
      <c r="AC14" s="274"/>
      <c r="AD14" s="274"/>
      <c r="AE14" s="290">
        <v>12</v>
      </c>
      <c r="AF14" s="291">
        <v>17</v>
      </c>
      <c r="AG14" s="292"/>
      <c r="AH14" s="293"/>
      <c r="AI14" s="293"/>
      <c r="AJ14" s="293"/>
    </row>
    <row r="15" spans="1:37" ht="15.75" thickBot="1" x14ac:dyDescent="0.3">
      <c r="A15" s="122" t="s">
        <v>261</v>
      </c>
      <c r="B15" s="7">
        <v>4</v>
      </c>
      <c r="C15" s="122"/>
      <c r="D15" s="7"/>
      <c r="E15" s="122"/>
      <c r="F15" s="7"/>
      <c r="H15" s="122"/>
      <c r="I15" s="7"/>
      <c r="J15" s="1"/>
      <c r="K15" s="7"/>
      <c r="L15" s="122"/>
      <c r="M15" s="7"/>
      <c r="N15" s="7"/>
      <c r="P15" s="122"/>
      <c r="Q15" s="7"/>
      <c r="R15" s="1"/>
      <c r="S15" s="7"/>
      <c r="T15" s="122"/>
      <c r="U15" s="7"/>
      <c r="W15" s="122"/>
      <c r="X15" s="7"/>
      <c r="Y15" s="1"/>
      <c r="Z15" s="7"/>
      <c r="AA15" s="122"/>
      <c r="AB15" s="7"/>
      <c r="AC15" s="7"/>
      <c r="AD15" s="7"/>
    </row>
    <row r="16" spans="1:37" x14ac:dyDescent="0.25">
      <c r="A16" s="294" t="s">
        <v>262</v>
      </c>
      <c r="B16" s="295" t="str">
        <f ca="1">_xlfn.FORMULATEXT(C2)</f>
        <v>=AVERAGE(B3:B6)</v>
      </c>
      <c r="C16" s="296"/>
      <c r="D16" s="297"/>
      <c r="E16" s="299"/>
      <c r="F16" s="300"/>
      <c r="H16" s="298"/>
      <c r="I16" s="299"/>
      <c r="J16" s="297"/>
      <c r="K16" s="294" t="s">
        <v>263</v>
      </c>
      <c r="L16" s="295" t="str">
        <f ca="1">_xlfn.FORMULATEXT(J3)</f>
        <v>=(1-$B$24)*(J2+K2)+$B$24*I3/L3</v>
      </c>
      <c r="M16" s="297"/>
      <c r="N16" s="300"/>
      <c r="P16" s="298"/>
      <c r="Q16" s="299"/>
      <c r="R16" s="294" t="s">
        <v>264</v>
      </c>
      <c r="S16" s="295" t="str">
        <f ca="1">_xlfn.FORMULATEXT(R4)</f>
        <v>=(1-$B$24)*(R3+S3)+$B$24*Q4/T4</v>
      </c>
      <c r="T16" s="297"/>
      <c r="U16" s="301"/>
      <c r="W16" s="298"/>
      <c r="X16" s="299"/>
      <c r="Y16" s="294" t="s">
        <v>265</v>
      </c>
      <c r="Z16" s="295" t="str">
        <f ca="1">_xlfn.FORMULATEXT(Y5)</f>
        <v>=(1-$B$24)*(Y4+Z4)+$B$24*X5/AA5</v>
      </c>
      <c r="AA16" s="295"/>
      <c r="AB16" s="295"/>
      <c r="AC16" s="301"/>
      <c r="AE16" s="298"/>
      <c r="AF16" s="299"/>
      <c r="AG16" s="294" t="s">
        <v>266</v>
      </c>
      <c r="AH16" s="295" t="str">
        <f ca="1">_xlfn.FORMULATEXT(AG5)</f>
        <v>=(1-$B$24)*(AG4+AH4)+$B$24*AF5/AI5</v>
      </c>
      <c r="AI16" s="295"/>
      <c r="AJ16" s="295"/>
      <c r="AK16" s="301"/>
    </row>
    <row r="17" spans="1:37" x14ac:dyDescent="0.25">
      <c r="A17" s="302" t="s">
        <v>267</v>
      </c>
      <c r="B17" s="360" t="str">
        <f ca="1">_xlfn.FORMULATEXT(D2)</f>
        <v>=(AVERAGE(B11:B14)-AVERAGE(B3:B6))/(A14-$B$15-1)</v>
      </c>
      <c r="C17" s="361"/>
      <c r="D17" s="362"/>
      <c r="E17" s="359"/>
      <c r="F17" s="307"/>
      <c r="H17" s="305"/>
      <c r="I17" s="306"/>
      <c r="J17" s="304"/>
      <c r="K17" s="302" t="s">
        <v>268</v>
      </c>
      <c r="L17" s="303" t="str">
        <f ca="1">_xlfn.FORMULATEXT(K3)</f>
        <v>=(1-$B$25)*K2+$B$25*(J3-J2)</v>
      </c>
      <c r="M17" s="304"/>
      <c r="N17" s="307"/>
      <c r="P17" s="305"/>
      <c r="Q17" s="306"/>
      <c r="R17" s="302" t="s">
        <v>269</v>
      </c>
      <c r="S17" s="303" t="str">
        <f ca="1">_xlfn.FORMULATEXT(S4)</f>
        <v>=(1-$B$25)*S3+$B$25*(R4-R3)</v>
      </c>
      <c r="T17" s="304"/>
      <c r="U17" s="308"/>
      <c r="W17" s="305"/>
      <c r="X17" s="306"/>
      <c r="Y17" s="302" t="s">
        <v>270</v>
      </c>
      <c r="Z17" s="303" t="str">
        <f ca="1">_xlfn.FORMULATEXT(Z5)</f>
        <v>=(1-$B$25)*Z4+$B$25*(Y5-Y4)</v>
      </c>
      <c r="AA17" s="303"/>
      <c r="AB17" s="303"/>
      <c r="AC17" s="308"/>
      <c r="AE17" s="305"/>
      <c r="AF17" s="306"/>
      <c r="AG17" s="302" t="s">
        <v>271</v>
      </c>
      <c r="AH17" s="303" t="str">
        <f ca="1">_xlfn.FORMULATEXT(AH6)</f>
        <v>=(1-$B$25)*AH5+$B$25*(AG6-AG5)</v>
      </c>
      <c r="AI17" s="303"/>
      <c r="AJ17" s="303"/>
      <c r="AK17" s="308"/>
    </row>
    <row r="18" spans="1:37" x14ac:dyDescent="0.25">
      <c r="A18" s="302" t="s">
        <v>165</v>
      </c>
      <c r="B18" s="360" t="str">
        <f ca="1">_xlfn.FORMULATEXT(E3)</f>
        <v>=B3/AVERAGE($B$3:$B$6)</v>
      </c>
      <c r="C18" s="361"/>
      <c r="D18" s="362"/>
      <c r="E18" s="359"/>
      <c r="F18" s="307"/>
      <c r="H18" s="305"/>
      <c r="I18" s="306"/>
      <c r="J18" s="304"/>
      <c r="K18" s="302" t="s">
        <v>272</v>
      </c>
      <c r="L18" s="303" t="str">
        <f ca="1">_xlfn.FORMULATEXT(M4)</f>
        <v>=(J3+K3)*L4</v>
      </c>
      <c r="M18" s="304"/>
      <c r="N18" s="307"/>
      <c r="P18" s="305"/>
      <c r="Q18" s="306"/>
      <c r="R18" s="302" t="s">
        <v>273</v>
      </c>
      <c r="S18" s="303" t="str">
        <f ca="1">_xlfn.FORMULATEXT(U5)</f>
        <v>=(R4+S4)*T5</v>
      </c>
      <c r="T18" s="304"/>
      <c r="U18" s="308"/>
      <c r="W18" s="305"/>
      <c r="X18" s="306"/>
      <c r="Y18" s="302" t="s">
        <v>274</v>
      </c>
      <c r="Z18" s="303" t="str">
        <f ca="1">_xlfn.FORMULATEXT(AB6)</f>
        <v>=(Y5+Z5)*AA6</v>
      </c>
      <c r="AA18" s="303"/>
      <c r="AB18" s="303"/>
      <c r="AC18" s="308"/>
      <c r="AE18" s="305"/>
      <c r="AF18" s="306"/>
      <c r="AG18" s="302" t="s">
        <v>275</v>
      </c>
      <c r="AH18" s="303" t="str">
        <f ca="1">_xlfn.FORMULATEXT(AJ6)</f>
        <v>=(AG5+AH5)*AI6</v>
      </c>
      <c r="AI18" s="303"/>
      <c r="AJ18" s="303"/>
      <c r="AK18" s="308"/>
    </row>
    <row r="19" spans="1:37" ht="15.75" thickBot="1" x14ac:dyDescent="0.3">
      <c r="A19" s="302" t="s">
        <v>166</v>
      </c>
      <c r="B19" s="360" t="str">
        <f ca="1">_xlfn.FORMULATEXT(E4)</f>
        <v>=B4/AVERAGE($B$3:$B$6)</v>
      </c>
      <c r="C19" s="361"/>
      <c r="D19" s="362"/>
      <c r="E19" s="359"/>
      <c r="F19" s="307"/>
      <c r="H19" s="309"/>
      <c r="I19" s="310"/>
      <c r="J19" s="311"/>
      <c r="K19" s="312" t="s">
        <v>276</v>
      </c>
      <c r="L19" s="313" t="str">
        <f ca="1">_xlfn.FORMULATEXT(L7)</f>
        <v>=(1-$B$26)*L3+$B$26*I3/(J2+K2)</v>
      </c>
      <c r="M19" s="311"/>
      <c r="N19" s="314"/>
      <c r="P19" s="309"/>
      <c r="Q19" s="310"/>
      <c r="R19" s="312" t="s">
        <v>277</v>
      </c>
      <c r="S19" s="313" t="str">
        <f ca="1">_xlfn.FORMULATEXT(T8)</f>
        <v>=(1-$B$26)*T4+J27*Q4/(R3+S3)</v>
      </c>
      <c r="T19" s="311"/>
      <c r="U19" s="315"/>
      <c r="W19" s="309"/>
      <c r="X19" s="310"/>
      <c r="Y19" s="312" t="s">
        <v>278</v>
      </c>
      <c r="Z19" s="313" t="str">
        <f ca="1">_xlfn.FORMULATEXT(AA9)</f>
        <v>=(1-$B$26)*AA5+Q28*X5/(Y4+Z4)</v>
      </c>
      <c r="AA19" s="313"/>
      <c r="AB19" s="313"/>
      <c r="AC19" s="315"/>
      <c r="AE19" s="309"/>
      <c r="AF19" s="310"/>
      <c r="AG19" s="312" t="s">
        <v>279</v>
      </c>
      <c r="AH19" s="313" t="str">
        <f ca="1">_xlfn.FORMULATEXT(AI10)</f>
        <v>=(1-$B$26)*AI6+Z29*AF6/(AG5+AH5)</v>
      </c>
      <c r="AI19" s="313"/>
      <c r="AJ19" s="313"/>
      <c r="AK19" s="315"/>
    </row>
    <row r="20" spans="1:37" x14ac:dyDescent="0.25">
      <c r="A20" s="302" t="s">
        <v>167</v>
      </c>
      <c r="B20" s="360" t="str">
        <f ca="1">_xlfn.FORMULATEXT(E5)</f>
        <v>=B5/AVERAGE($B$3:$B$6)</v>
      </c>
      <c r="C20" s="361"/>
      <c r="D20" s="362"/>
      <c r="E20" s="359"/>
      <c r="F20" s="307"/>
    </row>
    <row r="21" spans="1:37" x14ac:dyDescent="0.25">
      <c r="A21" s="302" t="s">
        <v>168</v>
      </c>
      <c r="B21" s="360" t="str">
        <f ca="1">_xlfn.FORMULATEXT(E6)</f>
        <v>=B6/AVERAGE($B$3:$B$6)</v>
      </c>
      <c r="C21" s="361"/>
      <c r="D21" s="362"/>
      <c r="E21" s="359"/>
      <c r="F21" s="307"/>
    </row>
    <row r="22" spans="1:37" ht="15.75" thickBot="1" x14ac:dyDescent="0.3">
      <c r="A22" s="312" t="s">
        <v>280</v>
      </c>
      <c r="B22" s="313" t="str">
        <f ca="1">_xlfn.FORMULATEXT(F3)</f>
        <v>=(C2+D2)*E3</v>
      </c>
      <c r="C22" s="311"/>
      <c r="D22" s="311"/>
      <c r="E22" s="311"/>
      <c r="F22" s="314"/>
    </row>
    <row r="23" spans="1:37" x14ac:dyDescent="0.25">
      <c r="AF23" t="s">
        <v>281</v>
      </c>
    </row>
    <row r="24" spans="1:37" x14ac:dyDescent="0.25">
      <c r="A24" s="316" t="s">
        <v>282</v>
      </c>
      <c r="B24" s="7">
        <v>0.25</v>
      </c>
    </row>
    <row r="25" spans="1:37" x14ac:dyDescent="0.25">
      <c r="A25" s="316" t="s">
        <v>283</v>
      </c>
      <c r="B25" s="7">
        <v>0.25</v>
      </c>
    </row>
    <row r="26" spans="1:37" x14ac:dyDescent="0.25">
      <c r="A26" s="316" t="s">
        <v>284</v>
      </c>
      <c r="B26" s="7">
        <v>0.25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1EFD-8EE1-42A4-9CE7-335ECD588B11}">
  <sheetPr>
    <tabColor rgb="FFFFFF00"/>
  </sheetPr>
  <dimension ref="A1:O58"/>
  <sheetViews>
    <sheetView zoomScale="97" zoomScaleNormal="97" workbookViewId="0">
      <selection activeCell="I33" sqref="I33"/>
    </sheetView>
  </sheetViews>
  <sheetFormatPr defaultColWidth="9.140625" defaultRowHeight="15.75" x14ac:dyDescent="0.25"/>
  <cols>
    <col min="1" max="1" width="9.42578125" style="218" bestFit="1" customWidth="1"/>
    <col min="2" max="2" width="7" style="218" bestFit="1" customWidth="1"/>
    <col min="3" max="3" width="20" style="218" bestFit="1" customWidth="1"/>
    <col min="4" max="4" width="22.28515625" style="218" customWidth="1"/>
    <col min="5" max="5" width="22.5703125" style="219" bestFit="1" customWidth="1"/>
    <col min="6" max="6" width="19.85546875" style="219" customWidth="1"/>
    <col min="7" max="7" width="13" style="219" bestFit="1" customWidth="1"/>
    <col min="8" max="8" width="14.7109375" style="219" bestFit="1" customWidth="1"/>
    <col min="9" max="9" width="14.140625" style="219" bestFit="1" customWidth="1"/>
    <col min="10" max="10" width="8.28515625" style="219" bestFit="1" customWidth="1"/>
    <col min="11" max="11" width="12.42578125" style="219" customWidth="1"/>
    <col min="12" max="12" width="11.42578125" style="219" customWidth="1"/>
    <col min="13" max="13" width="33" style="218" customWidth="1"/>
    <col min="14" max="14" width="16.85546875" style="218" customWidth="1"/>
    <col min="15" max="16384" width="9.140625" style="218"/>
  </cols>
  <sheetData>
    <row r="1" spans="1:15" ht="16.5" x14ac:dyDescent="0.3">
      <c r="A1" s="219" t="s">
        <v>170</v>
      </c>
      <c r="B1" s="244" t="s">
        <v>0</v>
      </c>
      <c r="D1" s="231" t="s">
        <v>28</v>
      </c>
      <c r="E1" s="231"/>
      <c r="F1" s="231"/>
      <c r="G1" s="231"/>
      <c r="H1" s="231"/>
      <c r="I1" s="231"/>
      <c r="J1" s="231"/>
      <c r="K1" s="231"/>
      <c r="L1" s="231"/>
    </row>
    <row r="2" spans="1:15" ht="17.25" thickBot="1" x14ac:dyDescent="0.35">
      <c r="A2" s="224">
        <v>1</v>
      </c>
      <c r="B2" s="225">
        <v>21</v>
      </c>
      <c r="D2" s="231"/>
      <c r="E2" s="231"/>
      <c r="G2" s="231"/>
      <c r="H2" s="231"/>
      <c r="I2" s="231"/>
      <c r="J2" s="231"/>
      <c r="K2" s="231"/>
      <c r="L2" s="231"/>
    </row>
    <row r="3" spans="1:15" ht="16.5" x14ac:dyDescent="0.3">
      <c r="A3" s="224">
        <v>2</v>
      </c>
      <c r="B3" s="225">
        <v>28</v>
      </c>
      <c r="D3" s="243" t="s">
        <v>29</v>
      </c>
      <c r="E3" s="243"/>
      <c r="F3" s="231"/>
      <c r="G3" s="231"/>
      <c r="H3" s="231"/>
      <c r="I3" s="231"/>
      <c r="J3" s="231"/>
      <c r="K3" s="231"/>
      <c r="L3" s="231"/>
    </row>
    <row r="4" spans="1:15" ht="16.5" x14ac:dyDescent="0.3">
      <c r="A4" s="224">
        <v>3</v>
      </c>
      <c r="B4" s="225">
        <v>32</v>
      </c>
      <c r="C4" s="242"/>
      <c r="D4" s="237" t="s">
        <v>31</v>
      </c>
      <c r="E4" s="236">
        <f>SQRT(E5)*SIGN(E18)</f>
        <v>0.94683332571518386</v>
      </c>
      <c r="F4" s="229" t="str">
        <f ca="1">_xlfn.FORMULATEXT(E4)</f>
        <v>=SQRT(E5)*SIGN(E18)</v>
      </c>
      <c r="G4" s="231"/>
      <c r="H4" s="231"/>
      <c r="I4" s="229" t="s">
        <v>289</v>
      </c>
      <c r="J4" s="231"/>
      <c r="K4" s="231"/>
      <c r="M4" s="229" t="s">
        <v>230</v>
      </c>
      <c r="N4" s="229"/>
    </row>
    <row r="5" spans="1:15" ht="16.5" x14ac:dyDescent="0.3">
      <c r="A5" s="224">
        <v>4</v>
      </c>
      <c r="B5" s="225">
        <v>34</v>
      </c>
      <c r="C5" s="223"/>
      <c r="D5" s="237" t="s">
        <v>33</v>
      </c>
      <c r="E5" s="236">
        <f>RSQ(B2:B29,A2:A29)</f>
        <v>0.89649334668487546</v>
      </c>
      <c r="F5" s="229" t="str">
        <f ca="1">_xlfn.FORMULATEXT(E5)</f>
        <v>=RSQ(B2:B29,A2:A29)</v>
      </c>
      <c r="G5" s="231"/>
      <c r="H5" s="231"/>
      <c r="I5" s="231"/>
      <c r="J5" s="231"/>
      <c r="K5" s="231"/>
      <c r="M5" s="229" t="s">
        <v>229</v>
      </c>
      <c r="N5" s="229"/>
    </row>
    <row r="6" spans="1:15" ht="16.5" x14ac:dyDescent="0.3">
      <c r="A6" s="224">
        <v>5</v>
      </c>
      <c r="B6" s="225">
        <v>36</v>
      </c>
      <c r="C6" s="223"/>
      <c r="D6" s="231" t="s">
        <v>34</v>
      </c>
      <c r="E6" s="241">
        <v>0.89251232155737081</v>
      </c>
      <c r="I6" s="231"/>
      <c r="J6" s="231"/>
      <c r="K6" s="231"/>
      <c r="M6" s="229" t="s">
        <v>228</v>
      </c>
      <c r="N6" s="229"/>
    </row>
    <row r="7" spans="1:15" ht="16.5" x14ac:dyDescent="0.3">
      <c r="A7" s="224">
        <v>6</v>
      </c>
      <c r="B7" s="225">
        <v>37</v>
      </c>
      <c r="C7" s="223"/>
      <c r="D7" s="237" t="s">
        <v>35</v>
      </c>
      <c r="E7" s="236">
        <f>STEYX(B2:B29,A2:A29)</f>
        <v>5.1042663124113554</v>
      </c>
      <c r="F7" s="229" t="s">
        <v>227</v>
      </c>
      <c r="G7" s="231"/>
      <c r="H7" s="231"/>
      <c r="I7" s="231"/>
      <c r="J7" s="231"/>
      <c r="K7" s="231"/>
      <c r="L7" s="231"/>
      <c r="M7" s="218" t="s">
        <v>226</v>
      </c>
      <c r="N7" s="229"/>
    </row>
    <row r="8" spans="1:15" ht="17.25" thickBot="1" x14ac:dyDescent="0.35">
      <c r="A8" s="224">
        <v>7</v>
      </c>
      <c r="B8" s="225">
        <v>39</v>
      </c>
      <c r="C8" s="223"/>
      <c r="D8" s="235" t="s">
        <v>36</v>
      </c>
      <c r="E8" s="236">
        <f>COUNT(B2:B29)</f>
        <v>28</v>
      </c>
      <c r="F8" s="229" t="s">
        <v>225</v>
      </c>
      <c r="G8" s="231"/>
      <c r="H8" s="231"/>
      <c r="I8" s="231"/>
      <c r="J8" s="231"/>
      <c r="K8" s="231"/>
      <c r="L8" s="231"/>
      <c r="M8" s="218" t="s">
        <v>224</v>
      </c>
      <c r="N8" s="229"/>
    </row>
    <row r="9" spans="1:15" ht="16.5" x14ac:dyDescent="0.3">
      <c r="A9" s="224">
        <v>8</v>
      </c>
      <c r="B9" s="225">
        <v>40</v>
      </c>
      <c r="C9" s="223"/>
      <c r="D9" s="231"/>
      <c r="E9" s="231"/>
      <c r="F9" s="229" t="s">
        <v>223</v>
      </c>
      <c r="G9" s="231"/>
      <c r="H9" s="231"/>
      <c r="I9" s="231"/>
      <c r="J9" s="231"/>
      <c r="K9" s="231"/>
      <c r="L9" s="231"/>
      <c r="M9" s="218" t="s">
        <v>222</v>
      </c>
    </row>
    <row r="10" spans="1:15" ht="17.25" thickBot="1" x14ac:dyDescent="0.35">
      <c r="A10" s="224">
        <v>9</v>
      </c>
      <c r="B10" s="225">
        <v>40</v>
      </c>
      <c r="C10" s="223"/>
      <c r="D10" s="231" t="s">
        <v>37</v>
      </c>
      <c r="E10" s="231"/>
      <c r="F10" s="229" t="s">
        <v>221</v>
      </c>
      <c r="G10" s="231"/>
      <c r="H10" s="231"/>
      <c r="I10" s="231"/>
      <c r="J10" s="231"/>
      <c r="K10" s="231"/>
      <c r="L10" s="231"/>
      <c r="M10" s="218" t="s">
        <v>220</v>
      </c>
      <c r="N10" s="229"/>
    </row>
    <row r="11" spans="1:15" ht="16.5" x14ac:dyDescent="0.3">
      <c r="A11" s="224">
        <v>10</v>
      </c>
      <c r="B11" s="225">
        <v>40</v>
      </c>
      <c r="C11" s="223"/>
      <c r="D11" s="238"/>
      <c r="E11" s="238" t="s">
        <v>38</v>
      </c>
      <c r="F11" s="238" t="s">
        <v>39</v>
      </c>
      <c r="G11" s="238" t="s">
        <v>40</v>
      </c>
      <c r="H11" s="238" t="s">
        <v>41</v>
      </c>
      <c r="I11" s="238" t="s">
        <v>42</v>
      </c>
      <c r="J11" s="231"/>
      <c r="K11" s="231"/>
      <c r="L11" s="231"/>
      <c r="M11" s="229" t="s">
        <v>219</v>
      </c>
    </row>
    <row r="12" spans="1:15" ht="16.5" x14ac:dyDescent="0.3">
      <c r="A12" s="224">
        <v>11</v>
      </c>
      <c r="B12" s="225">
        <v>41</v>
      </c>
      <c r="C12" s="223"/>
      <c r="D12" s="218" t="s">
        <v>43</v>
      </c>
      <c r="E12" s="218">
        <v>1</v>
      </c>
      <c r="F12" s="218">
        <v>5867.0366721401197</v>
      </c>
      <c r="G12" s="218">
        <v>5867.0366721401197</v>
      </c>
      <c r="H12" s="218">
        <v>225.19158206036687</v>
      </c>
      <c r="I12" s="218">
        <v>2.5516337069302656E-14</v>
      </c>
      <c r="J12" s="231"/>
      <c r="K12" s="231"/>
      <c r="L12" s="231"/>
      <c r="M12" s="229" t="s">
        <v>218</v>
      </c>
    </row>
    <row r="13" spans="1:15" ht="16.5" x14ac:dyDescent="0.3">
      <c r="A13" s="224">
        <v>12</v>
      </c>
      <c r="B13" s="225">
        <v>43</v>
      </c>
      <c r="C13" s="223"/>
      <c r="D13" s="218" t="s">
        <v>44</v>
      </c>
      <c r="E13" s="218">
        <v>26</v>
      </c>
      <c r="F13" s="218">
        <v>677.39189928845155</v>
      </c>
      <c r="G13" s="218">
        <v>26.053534588017367</v>
      </c>
      <c r="H13" s="218"/>
      <c r="I13" s="218"/>
      <c r="J13" s="231"/>
      <c r="K13" s="231"/>
      <c r="L13" s="231"/>
      <c r="M13" s="229" t="s">
        <v>217</v>
      </c>
    </row>
    <row r="14" spans="1:15" ht="17.25" thickBot="1" x14ac:dyDescent="0.35">
      <c r="A14" s="224">
        <v>13</v>
      </c>
      <c r="B14" s="225">
        <v>44</v>
      </c>
      <c r="C14" s="223"/>
      <c r="D14" s="232" t="s">
        <v>45</v>
      </c>
      <c r="E14" s="232">
        <v>27</v>
      </c>
      <c r="F14" s="232">
        <v>6544.4285714285716</v>
      </c>
      <c r="G14" s="232"/>
      <c r="H14" s="232"/>
      <c r="I14" s="232"/>
      <c r="J14" s="231"/>
      <c r="K14" s="231"/>
      <c r="L14" s="231"/>
      <c r="M14" s="229" t="str">
        <f>"F29="&amp;ROUND(E17,3)&amp;"+"&amp;ROUND(E18,3)&amp;"*29="</f>
        <v>F29=22.659+1.792*29=</v>
      </c>
      <c r="N14" s="240">
        <f>E17+E18*29</f>
        <v>74.626984126984127</v>
      </c>
      <c r="O14" s="218" t="str">
        <f ca="1">_xlfn.FORMULATEXT(N14)</f>
        <v>=E17+E18*29</v>
      </c>
    </row>
    <row r="15" spans="1:15" ht="17.25" thickBot="1" x14ac:dyDescent="0.35">
      <c r="A15" s="224">
        <v>14</v>
      </c>
      <c r="B15" s="225">
        <v>44</v>
      </c>
      <c r="C15" s="223"/>
      <c r="D15" s="231"/>
      <c r="E15" s="231"/>
      <c r="F15" s="231"/>
      <c r="G15" s="231"/>
      <c r="H15" s="231"/>
      <c r="I15" s="231"/>
      <c r="J15" s="231"/>
      <c r="K15" s="231"/>
      <c r="L15" s="231"/>
      <c r="M15" s="229" t="s">
        <v>216</v>
      </c>
    </row>
    <row r="16" spans="1:15" ht="16.5" x14ac:dyDescent="0.3">
      <c r="A16" s="224">
        <v>15</v>
      </c>
      <c r="B16" s="225">
        <v>45</v>
      </c>
      <c r="C16" s="223"/>
      <c r="D16" s="239"/>
      <c r="E16" s="239" t="s">
        <v>215</v>
      </c>
      <c r="F16" s="238" t="s">
        <v>35</v>
      </c>
      <c r="G16" s="238" t="s">
        <v>47</v>
      </c>
      <c r="H16" s="238" t="s">
        <v>48</v>
      </c>
      <c r="I16" s="238" t="s">
        <v>49</v>
      </c>
      <c r="J16" s="238" t="s">
        <v>50</v>
      </c>
      <c r="K16" s="231"/>
      <c r="L16" s="231"/>
      <c r="M16" s="229" t="s">
        <v>214</v>
      </c>
    </row>
    <row r="17" spans="1:14" ht="16.5" x14ac:dyDescent="0.3">
      <c r="A17" s="224">
        <v>16</v>
      </c>
      <c r="B17" s="225">
        <v>46</v>
      </c>
      <c r="C17" s="223"/>
      <c r="D17" s="237" t="s">
        <v>52</v>
      </c>
      <c r="E17" s="236">
        <f>INTERCEPT(B2:B29,A2:A29)</f>
        <v>22.658730158730165</v>
      </c>
      <c r="F17" s="218">
        <v>1.9820967677199302</v>
      </c>
      <c r="G17" s="218">
        <v>11.431697244930795</v>
      </c>
      <c r="H17" s="218">
        <v>1.2189520178894721E-11</v>
      </c>
      <c r="I17" s="218">
        <v>18.58447190244296</v>
      </c>
      <c r="J17" s="218">
        <v>26.732988415017363</v>
      </c>
      <c r="K17" s="231"/>
      <c r="L17" s="231"/>
    </row>
    <row r="18" spans="1:14" ht="17.25" thickBot="1" x14ac:dyDescent="0.35">
      <c r="A18" s="224">
        <v>17</v>
      </c>
      <c r="B18" s="225">
        <v>48</v>
      </c>
      <c r="C18" s="223"/>
      <c r="D18" s="235" t="s">
        <v>54</v>
      </c>
      <c r="E18" s="234">
        <f>SLOPE(B2:B29,A2:A29)</f>
        <v>1.7920087575259986</v>
      </c>
      <c r="F18" s="232">
        <v>0.11941642122158622</v>
      </c>
      <c r="G18" s="232">
        <v>15.00638470986156</v>
      </c>
      <c r="H18" s="233">
        <v>2.5516337069302656E-14</v>
      </c>
      <c r="I18" s="232">
        <v>1.5465447882476508</v>
      </c>
      <c r="J18" s="232">
        <v>2.0374727268043467</v>
      </c>
      <c r="K18" s="231"/>
      <c r="L18" s="231"/>
      <c r="M18" s="230"/>
    </row>
    <row r="19" spans="1:14" ht="16.5" x14ac:dyDescent="0.3">
      <c r="A19" s="224">
        <v>18</v>
      </c>
      <c r="B19" s="225">
        <v>50</v>
      </c>
      <c r="C19" s="223"/>
      <c r="D19" s="229" t="s">
        <v>213</v>
      </c>
      <c r="E19" s="218" t="str">
        <f>"y="&amp;ROUND(E17,2)&amp;IF(E18&gt;0,"+","-")&amp;ABS(ROUND(E18,2))&amp;"x"</f>
        <v>y=22.66+1.79x</v>
      </c>
      <c r="F19" s="218"/>
      <c r="G19" s="218"/>
      <c r="H19" s="229" t="s">
        <v>212</v>
      </c>
      <c r="I19" s="218"/>
      <c r="J19" s="218"/>
      <c r="K19" s="218"/>
      <c r="L19" s="218"/>
    </row>
    <row r="20" spans="1:14" ht="16.5" x14ac:dyDescent="0.3">
      <c r="A20" s="224">
        <v>19</v>
      </c>
      <c r="B20" s="225">
        <v>54</v>
      </c>
      <c r="C20" s="223"/>
      <c r="F20" s="218"/>
      <c r="G20" s="218"/>
      <c r="H20" s="229" t="s">
        <v>211</v>
      </c>
      <c r="I20" s="218"/>
      <c r="J20" s="218"/>
      <c r="K20" s="218"/>
      <c r="L20" s="218"/>
    </row>
    <row r="21" spans="1:14" ht="16.5" x14ac:dyDescent="0.3">
      <c r="A21" s="224">
        <v>20</v>
      </c>
      <c r="B21" s="225">
        <v>54</v>
      </c>
      <c r="C21" s="223"/>
      <c r="E21" s="218"/>
      <c r="F21" s="218"/>
      <c r="G21" s="218"/>
      <c r="H21" s="229" t="s">
        <v>210</v>
      </c>
      <c r="I21" s="218"/>
      <c r="J21" s="218"/>
      <c r="K21" s="218"/>
      <c r="L21" s="218"/>
    </row>
    <row r="22" spans="1:14" ht="16.5" x14ac:dyDescent="0.3">
      <c r="A22" s="224">
        <v>21</v>
      </c>
      <c r="B22" s="225">
        <v>55</v>
      </c>
      <c r="C22" s="223"/>
      <c r="D22" s="223"/>
      <c r="E22" s="226"/>
      <c r="F22" s="226"/>
      <c r="G22" s="226"/>
      <c r="H22" s="226"/>
      <c r="I22" s="226"/>
      <c r="J22" s="228"/>
      <c r="K22" s="227"/>
      <c r="L22" s="226"/>
    </row>
    <row r="23" spans="1:14" ht="16.5" x14ac:dyDescent="0.3">
      <c r="A23" s="224">
        <v>22</v>
      </c>
      <c r="B23" s="225">
        <v>58</v>
      </c>
      <c r="C23" s="223"/>
      <c r="D23" s="223"/>
      <c r="E23" s="226"/>
      <c r="F23" s="226"/>
      <c r="G23" s="226"/>
      <c r="H23" s="226"/>
      <c r="I23" s="226"/>
      <c r="J23" s="228"/>
      <c r="K23" s="227"/>
      <c r="L23" s="226"/>
      <c r="M23" s="41" t="s">
        <v>206</v>
      </c>
      <c r="N23" s="41" t="s">
        <v>209</v>
      </c>
    </row>
    <row r="24" spans="1:14" ht="16.5" x14ac:dyDescent="0.3">
      <c r="A24" s="224">
        <v>23</v>
      </c>
      <c r="B24" s="225">
        <v>60</v>
      </c>
      <c r="C24" s="223"/>
      <c r="D24" s="223"/>
      <c r="E24" s="226"/>
      <c r="F24" s="226"/>
      <c r="G24" s="226"/>
      <c r="H24" s="226"/>
      <c r="I24" s="226"/>
      <c r="J24" s="228"/>
      <c r="K24" s="227"/>
      <c r="L24" s="226"/>
      <c r="M24" s="41" t="s">
        <v>206</v>
      </c>
      <c r="N24" s="41" t="s">
        <v>208</v>
      </c>
    </row>
    <row r="25" spans="1:14" ht="16.5" x14ac:dyDescent="0.3">
      <c r="A25" s="224">
        <v>24</v>
      </c>
      <c r="B25" s="225">
        <v>63</v>
      </c>
      <c r="C25" s="223"/>
      <c r="D25" s="223"/>
      <c r="E25" s="226"/>
      <c r="F25" s="226"/>
      <c r="G25" s="226"/>
      <c r="H25" s="226"/>
      <c r="I25" s="226"/>
      <c r="J25" s="228"/>
      <c r="K25" s="227"/>
      <c r="L25" s="226"/>
      <c r="M25" s="41" t="s">
        <v>206</v>
      </c>
      <c r="N25" s="41" t="s">
        <v>207</v>
      </c>
    </row>
    <row r="26" spans="1:14" ht="16.5" x14ac:dyDescent="0.3">
      <c r="A26" s="224">
        <v>25</v>
      </c>
      <c r="B26" s="225">
        <v>70</v>
      </c>
      <c r="C26" s="223"/>
      <c r="D26" s="223"/>
      <c r="E26" s="226"/>
      <c r="F26" s="226"/>
      <c r="G26" s="226"/>
      <c r="H26" s="226"/>
      <c r="I26" s="226"/>
      <c r="J26" s="228"/>
      <c r="K26" s="227"/>
      <c r="L26" s="226"/>
      <c r="M26" s="41" t="s">
        <v>206</v>
      </c>
      <c r="N26" s="41" t="s">
        <v>205</v>
      </c>
    </row>
    <row r="27" spans="1:14" ht="16.5" x14ac:dyDescent="0.3">
      <c r="A27" s="224">
        <v>26</v>
      </c>
      <c r="B27" s="225">
        <v>70</v>
      </c>
      <c r="C27" s="223"/>
      <c r="E27" s="218"/>
      <c r="F27" s="218"/>
      <c r="G27" s="218"/>
      <c r="H27" s="218"/>
      <c r="I27" s="218"/>
      <c r="J27" s="218"/>
      <c r="K27" s="218"/>
      <c r="L27" s="218"/>
    </row>
    <row r="28" spans="1:14" ht="16.5" x14ac:dyDescent="0.3">
      <c r="A28" s="224">
        <v>27</v>
      </c>
      <c r="B28" s="225">
        <v>82</v>
      </c>
      <c r="C28" s="223"/>
      <c r="E28" s="218"/>
      <c r="F28" s="218"/>
      <c r="G28" s="218"/>
      <c r="H28" s="218"/>
      <c r="I28" s="218"/>
      <c r="J28" s="218"/>
      <c r="K28" s="218"/>
      <c r="L28" s="218"/>
    </row>
    <row r="29" spans="1:14" ht="16.5" x14ac:dyDescent="0.3">
      <c r="A29" s="224">
        <v>28</v>
      </c>
      <c r="B29" s="225">
        <v>88</v>
      </c>
      <c r="C29" s="223"/>
      <c r="E29" s="218"/>
      <c r="F29" s="218"/>
      <c r="G29" s="218"/>
      <c r="H29" s="218"/>
      <c r="I29" s="218"/>
      <c r="J29" s="218"/>
      <c r="K29" s="218"/>
      <c r="L29" s="218"/>
    </row>
    <row r="30" spans="1:14" ht="16.5" x14ac:dyDescent="0.3">
      <c r="A30" s="224">
        <v>29</v>
      </c>
      <c r="C30" s="223"/>
      <c r="E30" s="218"/>
      <c r="F30" s="218"/>
      <c r="G30" s="218"/>
      <c r="H30" s="218"/>
      <c r="I30" s="218"/>
      <c r="J30" s="218"/>
      <c r="K30" s="218"/>
      <c r="L30" s="218"/>
    </row>
    <row r="31" spans="1:14" ht="16.5" x14ac:dyDescent="0.3">
      <c r="A31" s="224">
        <v>30</v>
      </c>
      <c r="C31" s="223"/>
      <c r="E31" s="218"/>
      <c r="F31" s="218"/>
      <c r="G31" s="218"/>
      <c r="H31" s="218"/>
      <c r="I31" s="218"/>
      <c r="J31" s="218"/>
      <c r="K31" s="218"/>
      <c r="L31" s="218"/>
    </row>
    <row r="32" spans="1:14" ht="16.5" x14ac:dyDescent="0.3">
      <c r="C32" s="223"/>
      <c r="E32" s="218"/>
      <c r="F32" s="218"/>
      <c r="G32" s="218"/>
      <c r="H32" s="218"/>
      <c r="I32" s="218"/>
      <c r="J32" s="218"/>
      <c r="K32" s="218"/>
      <c r="L32" s="218"/>
    </row>
    <row r="33" spans="3:13" ht="16.5" x14ac:dyDescent="0.3">
      <c r="C33" s="223"/>
      <c r="E33" s="218"/>
      <c r="F33" s="218"/>
      <c r="G33" s="218"/>
      <c r="H33" s="218"/>
      <c r="I33" s="218"/>
      <c r="J33" s="218"/>
      <c r="K33" s="218"/>
      <c r="L33" s="218"/>
    </row>
    <row r="34" spans="3:13" x14ac:dyDescent="0.25">
      <c r="E34" s="218"/>
      <c r="F34" s="218"/>
      <c r="G34" s="218"/>
      <c r="H34" s="218"/>
      <c r="I34" s="218"/>
      <c r="J34" s="218"/>
      <c r="K34" s="218"/>
      <c r="L34" s="218"/>
    </row>
    <row r="35" spans="3:13" x14ac:dyDescent="0.25">
      <c r="E35" s="218"/>
      <c r="F35" s="218"/>
      <c r="G35" s="218"/>
      <c r="H35" s="218"/>
      <c r="I35" s="218"/>
      <c r="J35" s="218"/>
      <c r="K35" s="218"/>
      <c r="L35" s="218"/>
    </row>
    <row r="36" spans="3:13" x14ac:dyDescent="0.25">
      <c r="E36" s="218"/>
      <c r="F36" s="218"/>
      <c r="G36" s="218"/>
      <c r="H36" s="218"/>
      <c r="I36" s="218"/>
      <c r="J36" s="218"/>
      <c r="K36" s="218"/>
      <c r="L36" s="218"/>
    </row>
    <row r="37" spans="3:13" x14ac:dyDescent="0.25">
      <c r="D37" t="s">
        <v>28</v>
      </c>
      <c r="E37"/>
      <c r="F37"/>
      <c r="G37"/>
      <c r="H37"/>
      <c r="I37"/>
      <c r="J37"/>
      <c r="K37"/>
      <c r="L37"/>
      <c r="M37"/>
    </row>
    <row r="38" spans="3:13" ht="16.5" thickBot="1" x14ac:dyDescent="0.3">
      <c r="D38"/>
      <c r="E38"/>
      <c r="F38"/>
      <c r="G38"/>
      <c r="H38"/>
      <c r="I38"/>
      <c r="J38"/>
      <c r="K38"/>
      <c r="L38"/>
      <c r="M38"/>
    </row>
    <row r="39" spans="3:13" x14ac:dyDescent="0.25">
      <c r="D39" s="222" t="s">
        <v>29</v>
      </c>
      <c r="E39" s="222"/>
      <c r="F39"/>
      <c r="G39"/>
      <c r="H39"/>
      <c r="I39"/>
      <c r="J39"/>
      <c r="K39"/>
      <c r="L39"/>
      <c r="M39"/>
    </row>
    <row r="40" spans="3:13" x14ac:dyDescent="0.25">
      <c r="D40" t="s">
        <v>31</v>
      </c>
      <c r="E40">
        <v>0.94683332571518397</v>
      </c>
      <c r="F40"/>
      <c r="G40"/>
      <c r="H40"/>
      <c r="I40"/>
      <c r="J40"/>
      <c r="K40"/>
      <c r="L40"/>
      <c r="M40"/>
    </row>
    <row r="41" spans="3:13" x14ac:dyDescent="0.25">
      <c r="D41" t="s">
        <v>33</v>
      </c>
      <c r="E41">
        <v>0.89649334668487557</v>
      </c>
      <c r="F41"/>
      <c r="G41"/>
      <c r="H41"/>
      <c r="I41"/>
      <c r="J41"/>
      <c r="K41"/>
      <c r="L41"/>
      <c r="M41"/>
    </row>
    <row r="42" spans="3:13" x14ac:dyDescent="0.25">
      <c r="D42" t="s">
        <v>34</v>
      </c>
      <c r="E42">
        <v>0.89251232155737081</v>
      </c>
      <c r="F42"/>
      <c r="G42"/>
      <c r="H42"/>
      <c r="I42"/>
      <c r="J42"/>
      <c r="K42"/>
      <c r="L42"/>
      <c r="M42"/>
    </row>
    <row r="43" spans="3:13" x14ac:dyDescent="0.25">
      <c r="D43" t="s">
        <v>35</v>
      </c>
      <c r="E43">
        <v>5.104266312411351</v>
      </c>
      <c r="F43"/>
      <c r="G43"/>
      <c r="H43"/>
      <c r="I43"/>
      <c r="J43"/>
      <c r="K43"/>
      <c r="L43"/>
      <c r="M43"/>
    </row>
    <row r="44" spans="3:13" ht="16.5" thickBot="1" x14ac:dyDescent="0.3">
      <c r="D44" s="220" t="s">
        <v>36</v>
      </c>
      <c r="E44" s="220">
        <v>28</v>
      </c>
      <c r="F44"/>
      <c r="G44"/>
      <c r="H44"/>
      <c r="I44"/>
      <c r="J44"/>
      <c r="K44"/>
      <c r="L44"/>
      <c r="M44"/>
    </row>
    <row r="45" spans="3:13" x14ac:dyDescent="0.25">
      <c r="D45"/>
      <c r="E45"/>
      <c r="F45"/>
      <c r="G45"/>
      <c r="H45"/>
      <c r="I45"/>
      <c r="J45"/>
      <c r="K45"/>
      <c r="L45"/>
      <c r="M45"/>
    </row>
    <row r="46" spans="3:13" ht="16.5" thickBot="1" x14ac:dyDescent="0.3">
      <c r="D46" t="s">
        <v>37</v>
      </c>
      <c r="E46"/>
      <c r="F46"/>
      <c r="G46"/>
      <c r="H46"/>
      <c r="I46"/>
      <c r="J46"/>
      <c r="K46"/>
      <c r="L46"/>
      <c r="M46"/>
    </row>
    <row r="47" spans="3:13" ht="15.75" customHeight="1" x14ac:dyDescent="0.25">
      <c r="D47" s="221"/>
      <c r="E47" s="221" t="s">
        <v>38</v>
      </c>
      <c r="F47" s="221" t="s">
        <v>39</v>
      </c>
      <c r="G47" s="221" t="s">
        <v>40</v>
      </c>
      <c r="H47" s="221" t="s">
        <v>41</v>
      </c>
      <c r="I47" s="221" t="s">
        <v>42</v>
      </c>
      <c r="J47"/>
      <c r="K47"/>
      <c r="L47"/>
      <c r="M47"/>
    </row>
    <row r="48" spans="3:13" x14ac:dyDescent="0.25">
      <c r="D48" t="s">
        <v>43</v>
      </c>
      <c r="E48">
        <v>1</v>
      </c>
      <c r="F48">
        <v>5867.0366721401197</v>
      </c>
      <c r="G48">
        <v>5867.0366721401197</v>
      </c>
      <c r="H48">
        <v>225.19158206036687</v>
      </c>
      <c r="I48">
        <v>2.5516337069302656E-14</v>
      </c>
      <c r="J48"/>
      <c r="K48"/>
      <c r="L48"/>
      <c r="M48"/>
    </row>
    <row r="49" spans="4:13" x14ac:dyDescent="0.25">
      <c r="D49" t="s">
        <v>44</v>
      </c>
      <c r="E49">
        <v>26</v>
      </c>
      <c r="F49">
        <v>677.39189928845155</v>
      </c>
      <c r="G49">
        <v>26.053534588017367</v>
      </c>
      <c r="H49"/>
      <c r="I49"/>
      <c r="J49"/>
      <c r="K49"/>
      <c r="L49"/>
      <c r="M49"/>
    </row>
    <row r="50" spans="4:13" ht="16.5" thickBot="1" x14ac:dyDescent="0.3">
      <c r="D50" s="220" t="s">
        <v>45</v>
      </c>
      <c r="E50" s="220">
        <v>27</v>
      </c>
      <c r="F50" s="220">
        <v>6544.4285714285716</v>
      </c>
      <c r="G50" s="220"/>
      <c r="H50" s="220"/>
      <c r="I50" s="220"/>
      <c r="J50"/>
      <c r="K50"/>
      <c r="L50"/>
      <c r="M50"/>
    </row>
    <row r="51" spans="4:13" ht="16.5" thickBot="1" x14ac:dyDescent="0.3">
      <c r="D51"/>
      <c r="E51"/>
      <c r="F51"/>
      <c r="G51"/>
      <c r="H51"/>
      <c r="I51"/>
      <c r="J51"/>
      <c r="K51"/>
      <c r="L51"/>
      <c r="M51"/>
    </row>
    <row r="52" spans="4:13" x14ac:dyDescent="0.25">
      <c r="D52" s="221"/>
      <c r="E52" s="221" t="s">
        <v>46</v>
      </c>
      <c r="F52" s="221" t="s">
        <v>35</v>
      </c>
      <c r="G52" s="221" t="s">
        <v>47</v>
      </c>
      <c r="H52" s="221" t="s">
        <v>48</v>
      </c>
      <c r="I52" s="221" t="s">
        <v>49</v>
      </c>
      <c r="J52" s="221" t="s">
        <v>50</v>
      </c>
      <c r="K52"/>
      <c r="L52"/>
      <c r="M52"/>
    </row>
    <row r="53" spans="4:13" x14ac:dyDescent="0.25">
      <c r="D53" t="s">
        <v>52</v>
      </c>
      <c r="E53">
        <v>22.658730158730162</v>
      </c>
      <c r="F53">
        <v>1.9820967677199302</v>
      </c>
      <c r="G53">
        <v>11.431697244930795</v>
      </c>
      <c r="H53">
        <v>1.2189520178894721E-11</v>
      </c>
      <c r="I53">
        <v>18.58447190244296</v>
      </c>
      <c r="J53">
        <v>26.732988415017363</v>
      </c>
      <c r="K53"/>
      <c r="L53"/>
      <c r="M53"/>
    </row>
    <row r="54" spans="4:13" ht="16.5" thickBot="1" x14ac:dyDescent="0.3">
      <c r="D54" s="220" t="s">
        <v>54</v>
      </c>
      <c r="E54" s="220">
        <v>1.7920087575259989</v>
      </c>
      <c r="F54" s="220">
        <v>0.11941642122158622</v>
      </c>
      <c r="G54" s="220">
        <v>15.00638470986156</v>
      </c>
      <c r="H54" s="220">
        <v>2.5516337069302656E-14</v>
      </c>
      <c r="I54" s="220">
        <v>1.5465447882476508</v>
      </c>
      <c r="J54" s="220">
        <v>2.0374727268043467</v>
      </c>
      <c r="K54"/>
      <c r="L54"/>
      <c r="M54"/>
    </row>
    <row r="55" spans="4:13" x14ac:dyDescent="0.25">
      <c r="D55"/>
      <c r="E55"/>
      <c r="F55"/>
      <c r="G55"/>
      <c r="H55"/>
      <c r="I55"/>
      <c r="J55"/>
      <c r="K55"/>
      <c r="L55"/>
      <c r="M55"/>
    </row>
    <row r="56" spans="4:13" x14ac:dyDescent="0.25">
      <c r="D56"/>
      <c r="E56"/>
      <c r="F56"/>
      <c r="G56"/>
      <c r="H56"/>
      <c r="I56"/>
      <c r="J56"/>
      <c r="K56"/>
      <c r="L56"/>
      <c r="M56"/>
    </row>
    <row r="57" spans="4:13" x14ac:dyDescent="0.25">
      <c r="D57"/>
      <c r="E57"/>
      <c r="F57"/>
      <c r="G57"/>
      <c r="H57"/>
      <c r="I57"/>
      <c r="J57"/>
      <c r="K57"/>
      <c r="L57"/>
      <c r="M57"/>
    </row>
    <row r="58" spans="4:13" x14ac:dyDescent="0.25">
      <c r="E58" s="218"/>
      <c r="F58" s="218"/>
      <c r="G58" s="218"/>
      <c r="H58" s="218"/>
      <c r="I58" s="218"/>
      <c r="J58" s="218"/>
      <c r="K58"/>
      <c r="L58"/>
      <c r="M58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C85EB-D185-476E-9B35-2F1DD322E174}">
  <sheetPr>
    <tabColor rgb="FFFFFF00"/>
  </sheetPr>
  <dimension ref="B1:I26"/>
  <sheetViews>
    <sheetView zoomScale="111" zoomScaleNormal="111" workbookViewId="0">
      <selection activeCell="S14" sqref="S14"/>
    </sheetView>
  </sheetViews>
  <sheetFormatPr defaultColWidth="9.140625" defaultRowHeight="16.5" x14ac:dyDescent="0.3"/>
  <cols>
    <col min="1" max="1" width="9.140625" style="41"/>
    <col min="2" max="2" width="11.140625" style="41" bestFit="1" customWidth="1"/>
    <col min="3" max="3" width="10.7109375" style="41" bestFit="1" customWidth="1"/>
    <col min="4" max="4" width="9.140625" style="41"/>
    <col min="5" max="5" width="13.42578125" style="41" bestFit="1" customWidth="1"/>
    <col min="6" max="6" width="9.140625" style="41"/>
    <col min="7" max="7" width="11" style="41" bestFit="1" customWidth="1"/>
    <col min="8" max="9" width="7.7109375" style="41" customWidth="1"/>
    <col min="10" max="10" width="5.7109375" style="41" customWidth="1"/>
    <col min="11" max="25" width="9.140625" style="41"/>
    <col min="26" max="26" width="6.5703125" style="41" customWidth="1"/>
    <col min="27" max="16384" width="9.140625" style="41"/>
  </cols>
  <sheetData>
    <row r="1" spans="2:9" x14ac:dyDescent="0.3">
      <c r="E1"/>
      <c r="F1"/>
      <c r="G1"/>
      <c r="H1"/>
      <c r="I1"/>
    </row>
    <row r="2" spans="2:9" ht="17.25" thickBot="1" x14ac:dyDescent="0.35">
      <c r="B2" s="169" t="s">
        <v>237</v>
      </c>
      <c r="C2" s="169" t="s">
        <v>236</v>
      </c>
      <c r="E2"/>
      <c r="F2"/>
      <c r="G2"/>
      <c r="H2"/>
      <c r="I2"/>
    </row>
    <row r="3" spans="2:9" ht="17.25" thickBot="1" x14ac:dyDescent="0.35">
      <c r="B3" s="250" t="s">
        <v>235</v>
      </c>
      <c r="C3" s="250" t="s">
        <v>234</v>
      </c>
      <c r="E3"/>
      <c r="F3"/>
      <c r="G3"/>
      <c r="H3"/>
      <c r="I3"/>
    </row>
    <row r="4" spans="2:9" x14ac:dyDescent="0.3">
      <c r="B4" s="249">
        <v>20</v>
      </c>
      <c r="C4" s="249">
        <v>1468</v>
      </c>
      <c r="E4"/>
      <c r="F4"/>
      <c r="G4"/>
      <c r="H4"/>
      <c r="I4"/>
    </row>
    <row r="5" spans="2:9" x14ac:dyDescent="0.3">
      <c r="B5" s="248">
        <v>40</v>
      </c>
      <c r="C5" s="248">
        <v>1800</v>
      </c>
      <c r="E5"/>
      <c r="F5"/>
      <c r="G5"/>
      <c r="H5"/>
      <c r="I5"/>
    </row>
    <row r="6" spans="2:9" x14ac:dyDescent="0.3">
      <c r="B6" s="248">
        <v>50</v>
      </c>
      <c r="C6" s="248">
        <v>2000</v>
      </c>
      <c r="E6"/>
      <c r="F6"/>
      <c r="G6"/>
      <c r="H6"/>
      <c r="I6"/>
    </row>
    <row r="7" spans="2:9" x14ac:dyDescent="0.3">
      <c r="B7" s="248">
        <v>70</v>
      </c>
      <c r="C7" s="248">
        <v>2300</v>
      </c>
      <c r="E7"/>
      <c r="F7"/>
      <c r="G7"/>
      <c r="H7"/>
      <c r="I7"/>
    </row>
    <row r="8" spans="2:9" x14ac:dyDescent="0.3">
      <c r="B8" s="248">
        <v>90</v>
      </c>
      <c r="C8" s="248">
        <v>2700</v>
      </c>
      <c r="E8"/>
      <c r="F8"/>
      <c r="G8"/>
      <c r="H8"/>
      <c r="I8"/>
    </row>
    <row r="9" spans="2:9" x14ac:dyDescent="0.3">
      <c r="B9" s="248">
        <v>100</v>
      </c>
      <c r="C9" s="248">
        <v>2961.1219253302847</v>
      </c>
      <c r="E9"/>
      <c r="F9"/>
      <c r="G9"/>
      <c r="H9"/>
      <c r="I9"/>
    </row>
    <row r="10" spans="2:9" x14ac:dyDescent="0.3">
      <c r="B10" s="248">
        <v>120</v>
      </c>
      <c r="C10" s="248">
        <v>3173.4592379126093</v>
      </c>
      <c r="E10"/>
      <c r="F10"/>
      <c r="G10"/>
      <c r="H10"/>
      <c r="I10"/>
    </row>
    <row r="11" spans="2:9" x14ac:dyDescent="0.3">
      <c r="B11" s="248">
        <v>140</v>
      </c>
      <c r="C11" s="248">
        <v>3390.0126596118184</v>
      </c>
    </row>
    <row r="12" spans="2:9" ht="17.25" thickBot="1" x14ac:dyDescent="0.35">
      <c r="B12" s="247">
        <v>150</v>
      </c>
      <c r="C12" s="247">
        <v>3487.4061771454217</v>
      </c>
    </row>
    <row r="17" spans="2:5" ht="18" x14ac:dyDescent="0.3">
      <c r="C17" s="246" t="s">
        <v>233</v>
      </c>
      <c r="D17" s="246" t="s">
        <v>232</v>
      </c>
      <c r="E17" s="246" t="s">
        <v>231</v>
      </c>
    </row>
    <row r="18" spans="2:5" x14ac:dyDescent="0.3">
      <c r="B18" s="245">
        <v>20</v>
      </c>
      <c r="C18" s="169">
        <f t="shared" ref="C18:C26" ca="1" si="0">INT(1000+20*B18+_xlfn.NORM.INV(RAND(), 0,300))</f>
        <v>1416</v>
      </c>
      <c r="D18" s="169">
        <f t="shared" ref="D18:D26" ca="1" si="1">INT(3000-15*B18+_xlfn.NORM.INV(RAND(),0,300))</f>
        <v>2651</v>
      </c>
      <c r="E18" s="169">
        <f t="shared" ref="E18:E26" ca="1" si="2">INT(10000*RAND())</f>
        <v>9927</v>
      </c>
    </row>
    <row r="19" spans="2:5" x14ac:dyDescent="0.3">
      <c r="B19" s="245">
        <v>40</v>
      </c>
      <c r="C19" s="169">
        <f t="shared" ca="1" si="0"/>
        <v>1688</v>
      </c>
      <c r="D19" s="169">
        <f t="shared" ca="1" si="1"/>
        <v>2836</v>
      </c>
      <c r="E19" s="169">
        <f t="shared" ca="1" si="2"/>
        <v>5409</v>
      </c>
    </row>
    <row r="20" spans="2:5" x14ac:dyDescent="0.3">
      <c r="B20" s="245">
        <v>50</v>
      </c>
      <c r="C20" s="169">
        <f t="shared" ca="1" si="0"/>
        <v>2271</v>
      </c>
      <c r="D20" s="169">
        <f t="shared" ca="1" si="1"/>
        <v>1776</v>
      </c>
      <c r="E20" s="169">
        <f t="shared" ca="1" si="2"/>
        <v>9841</v>
      </c>
    </row>
    <row r="21" spans="2:5" x14ac:dyDescent="0.3">
      <c r="B21" s="245">
        <v>70</v>
      </c>
      <c r="C21" s="169">
        <f t="shared" ca="1" si="0"/>
        <v>1814</v>
      </c>
      <c r="D21" s="169">
        <f t="shared" ca="1" si="1"/>
        <v>1763</v>
      </c>
      <c r="E21" s="169">
        <f t="shared" ca="1" si="2"/>
        <v>2625</v>
      </c>
    </row>
    <row r="22" spans="2:5" x14ac:dyDescent="0.3">
      <c r="B22" s="245">
        <v>90</v>
      </c>
      <c r="C22" s="169">
        <f t="shared" ca="1" si="0"/>
        <v>2875</v>
      </c>
      <c r="D22" s="169">
        <f t="shared" ca="1" si="1"/>
        <v>2100</v>
      </c>
      <c r="E22" s="169">
        <f t="shared" ca="1" si="2"/>
        <v>2191</v>
      </c>
    </row>
    <row r="23" spans="2:5" x14ac:dyDescent="0.3">
      <c r="B23" s="245">
        <v>100</v>
      </c>
      <c r="C23" s="169">
        <f t="shared" ca="1" si="0"/>
        <v>3091</v>
      </c>
      <c r="D23" s="169">
        <f t="shared" ca="1" si="1"/>
        <v>1718</v>
      </c>
      <c r="E23" s="169">
        <f t="shared" ca="1" si="2"/>
        <v>983</v>
      </c>
    </row>
    <row r="24" spans="2:5" x14ac:dyDescent="0.3">
      <c r="B24" s="245">
        <v>120</v>
      </c>
      <c r="C24" s="169">
        <f t="shared" ca="1" si="0"/>
        <v>3062</v>
      </c>
      <c r="D24" s="169">
        <f t="shared" ca="1" si="1"/>
        <v>1014</v>
      </c>
      <c r="E24" s="169">
        <f t="shared" ca="1" si="2"/>
        <v>5254</v>
      </c>
    </row>
    <row r="25" spans="2:5" x14ac:dyDescent="0.3">
      <c r="B25" s="245">
        <v>140</v>
      </c>
      <c r="C25" s="169">
        <f t="shared" ca="1" si="0"/>
        <v>3344</v>
      </c>
      <c r="D25" s="169">
        <f t="shared" ca="1" si="1"/>
        <v>989</v>
      </c>
      <c r="E25" s="169">
        <f t="shared" ca="1" si="2"/>
        <v>3328</v>
      </c>
    </row>
    <row r="26" spans="2:5" x14ac:dyDescent="0.3">
      <c r="B26" s="245">
        <v>150</v>
      </c>
      <c r="C26" s="169">
        <f t="shared" ca="1" si="0"/>
        <v>4172</v>
      </c>
      <c r="D26" s="169">
        <f t="shared" ca="1" si="1"/>
        <v>1426</v>
      </c>
      <c r="E26" s="169">
        <f t="shared" ca="1" si="2"/>
        <v>2233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B5FCE-528A-4838-A9AE-A68B6A7ACE0E}">
  <sheetPr>
    <tabColor rgb="FFFFFF00"/>
  </sheetPr>
  <dimension ref="A1:O26"/>
  <sheetViews>
    <sheetView zoomScale="127" zoomScaleNormal="127" workbookViewId="0">
      <selection activeCell="B2" sqref="B2:B29"/>
    </sheetView>
  </sheetViews>
  <sheetFormatPr defaultRowHeight="16.5" x14ac:dyDescent="0.3"/>
  <cols>
    <col min="1" max="1" width="20.7109375" style="41" bestFit="1" customWidth="1"/>
    <col min="2" max="2" width="13.42578125" style="41" bestFit="1" customWidth="1"/>
    <col min="3" max="3" width="28.7109375" style="41" bestFit="1" customWidth="1"/>
    <col min="4" max="13" width="9.140625" style="41"/>
    <col min="14" max="14" width="4.7109375" style="41" customWidth="1"/>
    <col min="15" max="16384" width="9.140625" style="41"/>
  </cols>
  <sheetData>
    <row r="1" spans="1:7" ht="17.25" thickBot="1" x14ac:dyDescent="0.35">
      <c r="A1" s="41" t="s">
        <v>245</v>
      </c>
      <c r="B1" s="41" t="s">
        <v>244</v>
      </c>
      <c r="C1" s="41" t="s">
        <v>243</v>
      </c>
    </row>
    <row r="2" spans="1:7" x14ac:dyDescent="0.3">
      <c r="A2" s="261">
        <v>10</v>
      </c>
      <c r="B2" s="260">
        <v>1690</v>
      </c>
      <c r="C2" s="259">
        <v>16350</v>
      </c>
      <c r="D2" s="41" t="s">
        <v>52</v>
      </c>
      <c r="E2" s="251">
        <f>INTERCEPT(B$2:B$7,$A$2:$A$7)</f>
        <v>1992.143906020558</v>
      </c>
      <c r="F2" s="258">
        <f>INTERCEPT(C$2:C$7,$A$2:$A$7)</f>
        <v>13016.578560939795</v>
      </c>
      <c r="G2" s="41" t="str">
        <f ca="1">_xlfn.FORMULATEXT(F2)</f>
        <v>=INTERCEPT(C$2:C$7,$A$2:$A$7)</v>
      </c>
    </row>
    <row r="3" spans="1:7" x14ac:dyDescent="0.3">
      <c r="A3" s="257">
        <v>30</v>
      </c>
      <c r="B3" s="256">
        <v>1580</v>
      </c>
      <c r="C3" s="255">
        <v>22960</v>
      </c>
      <c r="D3" s="41" t="s">
        <v>242</v>
      </c>
      <c r="E3" s="251">
        <f>SLOPE(B$2:B$7,$A$2:$A$7)</f>
        <v>-17.030837004405285</v>
      </c>
      <c r="F3" s="258">
        <f>SLOPE(C$2:C$7,$A$2:$A$7)</f>
        <v>298.59030837004406</v>
      </c>
      <c r="G3" s="41" t="str">
        <f ca="1">_xlfn.FORMULATEXT(F3)</f>
        <v>=SLOPE(C$2:C$7,$A$2:$A$7)</v>
      </c>
    </row>
    <row r="4" spans="1:7" x14ac:dyDescent="0.3">
      <c r="A4" s="257">
        <v>35</v>
      </c>
      <c r="B4" s="256">
        <v>1510</v>
      </c>
      <c r="C4" s="255">
        <v>21800</v>
      </c>
      <c r="D4" s="41" t="s">
        <v>241</v>
      </c>
      <c r="E4" s="251">
        <f>RSQ(B$2:B$7,$A$2:$A$7)</f>
        <v>0.94049922663123753</v>
      </c>
      <c r="F4" s="258">
        <f>RSQ(C$2:C$7,$A$2:$A$7)</f>
        <v>0.9615031259472413</v>
      </c>
      <c r="G4" s="41" t="str">
        <f ca="1">_xlfn.FORMULATEXT(F4)</f>
        <v>=RSQ(C$2:C$7,$A$2:$A$7)</v>
      </c>
    </row>
    <row r="5" spans="1:7" x14ac:dyDescent="0.3">
      <c r="A5" s="257">
        <v>45</v>
      </c>
      <c r="B5" s="256">
        <v>1270</v>
      </c>
      <c r="C5" s="255">
        <v>27850</v>
      </c>
      <c r="D5" s="41" t="s">
        <v>240</v>
      </c>
      <c r="E5" s="251">
        <f>STEYX(B$2:B$7,$A$2:$A$7)</f>
        <v>114.09221609672564</v>
      </c>
      <c r="F5" s="258">
        <f>STEYX(C$2:C$7,$A$2:$A$7)</f>
        <v>1591.2962143181812</v>
      </c>
      <c r="G5" s="41" t="str">
        <f ca="1">_xlfn.FORMULATEXT(F5)</f>
        <v>=STEYX(C$2:C$7,$A$2:$A$7)</v>
      </c>
    </row>
    <row r="6" spans="1:7" x14ac:dyDescent="0.3">
      <c r="A6" s="257">
        <v>55</v>
      </c>
      <c r="B6" s="256">
        <v>960</v>
      </c>
      <c r="C6" s="255">
        <v>27540</v>
      </c>
      <c r="D6" s="41" t="s">
        <v>239</v>
      </c>
      <c r="E6" s="251">
        <f>E2</f>
        <v>1992.143906020558</v>
      </c>
      <c r="F6" s="41" t="str">
        <f ca="1">_xlfn.FORMULATEXT(E6)</f>
        <v>=E2</v>
      </c>
    </row>
    <row r="7" spans="1:7" ht="17.25" thickBot="1" x14ac:dyDescent="0.35">
      <c r="A7" s="254">
        <v>80</v>
      </c>
      <c r="B7" s="253">
        <v>600</v>
      </c>
      <c r="C7" s="252">
        <v>37740</v>
      </c>
      <c r="D7" s="41" t="s">
        <v>238</v>
      </c>
      <c r="E7" s="251">
        <f>E2/-E3</f>
        <v>116.9727539230902</v>
      </c>
      <c r="F7" s="41" t="str">
        <f ca="1">_xlfn.FORMULATEXT(E7)</f>
        <v>=E2/-E3</v>
      </c>
    </row>
    <row r="25" spans="3:15" x14ac:dyDescent="0.3">
      <c r="C25" s="41" t="str">
        <f>"Demand Curve (R vs. Q): P="&amp;ROUND(E2,2)&amp;ROUND(E3,2)&amp;"Q; R2="&amp;ROUND(E4,2)</f>
        <v>Demand Curve (R vs. Q): P=1992.14-17.03Q; R2=0.94</v>
      </c>
      <c r="K25" s="41">
        <v>0</v>
      </c>
      <c r="L25" s="41">
        <f>E6</f>
        <v>1992.143906020558</v>
      </c>
      <c r="N25" s="41">
        <v>0</v>
      </c>
      <c r="O25" s="41">
        <f>F2</f>
        <v>13016.578560939795</v>
      </c>
    </row>
    <row r="26" spans="3:15" x14ac:dyDescent="0.3">
      <c r="C26" s="41" t="str">
        <f>"Total Cost Curve (TC vs. Q): TC="&amp;ROUND(F2,2)&amp;"+"&amp;ROUND(F3,2)&amp;"Q; R2="&amp;ROUND(F4,2)&amp;",   StdDev="&amp;ROUND(F5,2)</f>
        <v>Total Cost Curve (TC vs. Q): TC=13016.58+298.59Q; R2=0.96,   StdDev=1591.3</v>
      </c>
      <c r="K26" s="41">
        <f>E7</f>
        <v>116.9727539230902</v>
      </c>
      <c r="L26" s="41">
        <v>0</v>
      </c>
      <c r="N26" s="41">
        <v>100</v>
      </c>
      <c r="O26" s="41">
        <f>O25+F3*N26</f>
        <v>42875.609397944201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59A91-2EDA-4DEE-9394-2231947D69DF}">
  <dimension ref="A1:N139"/>
  <sheetViews>
    <sheetView workbookViewId="0">
      <selection activeCell="B2" sqref="B2:B29"/>
    </sheetView>
  </sheetViews>
  <sheetFormatPr defaultRowHeight="15.75" x14ac:dyDescent="0.25"/>
  <cols>
    <col min="1" max="1" width="20.7109375" style="218" bestFit="1" customWidth="1"/>
    <col min="2" max="2" width="13.42578125" style="218" bestFit="1" customWidth="1"/>
    <col min="3" max="3" width="28.7109375" style="218" bestFit="1" customWidth="1"/>
    <col min="4" max="16384" width="9.140625" style="218"/>
  </cols>
  <sheetData>
    <row r="1" spans="1:14" ht="16.5" x14ac:dyDescent="0.3">
      <c r="A1" s="267" t="s">
        <v>257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</row>
    <row r="2" spans="1:14" x14ac:dyDescent="0.25">
      <c r="A2" s="218" t="s">
        <v>245</v>
      </c>
      <c r="B2" s="218" t="s">
        <v>256</v>
      </c>
      <c r="C2" s="218" t="s">
        <v>243</v>
      </c>
    </row>
    <row r="3" spans="1:14" x14ac:dyDescent="0.25">
      <c r="A3" s="218">
        <v>10</v>
      </c>
      <c r="B3" s="218">
        <v>1690</v>
      </c>
      <c r="C3" s="218">
        <v>16350</v>
      </c>
      <c r="D3" s="218" t="s">
        <v>52</v>
      </c>
      <c r="E3" s="218">
        <f>INTERCEPT(B$3:B$8,$A$3:$A$8)</f>
        <v>1992.143906020558</v>
      </c>
      <c r="F3" s="218">
        <f>INTERCEPT(C$3:C$8,$A$3:$A$8)</f>
        <v>13016.578560939795</v>
      </c>
      <c r="G3" s="218" t="str">
        <f ca="1">_xlfn.FORMULATEXT(F3)</f>
        <v>=INTERCEPT(C$3:C$8,$A$3:$A$8)</v>
      </c>
    </row>
    <row r="4" spans="1:14" x14ac:dyDescent="0.25">
      <c r="A4" s="218">
        <v>30</v>
      </c>
      <c r="B4" s="218">
        <v>1580</v>
      </c>
      <c r="C4" s="218">
        <v>22960</v>
      </c>
      <c r="D4" s="218" t="s">
        <v>242</v>
      </c>
      <c r="E4" s="218">
        <f>SLOPE(B$3:B$8,$A$3:$A$8)</f>
        <v>-17.030837004405285</v>
      </c>
      <c r="F4" s="218">
        <f>SLOPE(C$3:C$8,$A$3:$A$8)</f>
        <v>298.59030837004406</v>
      </c>
      <c r="G4" s="218" t="str">
        <f ca="1">_xlfn.FORMULATEXT(F4)</f>
        <v>=SLOPE(C$3:C$8,$A$3:$A$8)</v>
      </c>
    </row>
    <row r="5" spans="1:14" x14ac:dyDescent="0.25">
      <c r="A5" s="218">
        <v>35</v>
      </c>
      <c r="B5" s="218">
        <v>1510</v>
      </c>
      <c r="C5" s="218">
        <v>21800</v>
      </c>
      <c r="D5" s="218" t="s">
        <v>241</v>
      </c>
      <c r="E5" s="218">
        <f>RSQ(B$3:B$8,$A$3:$A$8)</f>
        <v>0.94049922663123753</v>
      </c>
      <c r="F5" s="218">
        <f>RSQ(C$3:C$8,$A$3:$A$8)</f>
        <v>0.9615031259472413</v>
      </c>
      <c r="G5" s="218" t="str">
        <f ca="1">_xlfn.FORMULATEXT(F5)</f>
        <v>=RSQ(C$3:C$8,$A$3:$A$8)</v>
      </c>
    </row>
    <row r="6" spans="1:14" x14ac:dyDescent="0.25">
      <c r="A6" s="218">
        <v>45</v>
      </c>
      <c r="B6" s="218">
        <v>1270</v>
      </c>
      <c r="C6" s="218">
        <v>27850</v>
      </c>
      <c r="D6" s="218" t="s">
        <v>240</v>
      </c>
      <c r="E6" s="218">
        <f>STEYX(B$3:B$8,$A$3:$A$8)</f>
        <v>114.09221609672564</v>
      </c>
      <c r="F6" s="218">
        <f>STEYX(C$3:C$8,$A$3:$A$8)</f>
        <v>1591.2962143181812</v>
      </c>
      <c r="G6" s="218" t="str">
        <f ca="1">_xlfn.FORMULATEXT(F6)</f>
        <v>=STEYX(C$3:C$8,$A$3:$A$8)</v>
      </c>
    </row>
    <row r="7" spans="1:14" x14ac:dyDescent="0.25">
      <c r="A7" s="218">
        <v>55</v>
      </c>
      <c r="B7" s="218">
        <v>960</v>
      </c>
      <c r="C7" s="218">
        <v>27540</v>
      </c>
      <c r="D7" s="218" t="s">
        <v>239</v>
      </c>
      <c r="E7" s="218">
        <f>E3</f>
        <v>1992.143906020558</v>
      </c>
      <c r="F7" s="218" t="str">
        <f ca="1">_xlfn.FORMULATEXT(E7)</f>
        <v>=E3</v>
      </c>
    </row>
    <row r="8" spans="1:14" x14ac:dyDescent="0.25">
      <c r="A8" s="218">
        <v>80</v>
      </c>
      <c r="B8" s="218">
        <v>600</v>
      </c>
      <c r="C8" s="218">
        <v>37740</v>
      </c>
      <c r="D8" s="218" t="s">
        <v>238</v>
      </c>
      <c r="E8" s="218">
        <f>E3/-E4</f>
        <v>116.9727539230902</v>
      </c>
      <c r="F8" s="218" t="str">
        <f ca="1">_xlfn.FORMULATEXT(E8)</f>
        <v>=E3/-E4</v>
      </c>
    </row>
    <row r="9" spans="1:14" x14ac:dyDescent="0.25">
      <c r="D9" s="218" t="str">
        <f>"TC="&amp;ROUND(F3,2)&amp;"+"&amp;ROUND(F4,2)&amp;"Q"</f>
        <v>TC=13016.58+298.59Q</v>
      </c>
      <c r="F9" s="218" t="str">
        <f ca="1">_xlfn.FORMULATEXT(D9)</f>
        <v>="TC="&amp;ROUND(F3,2)&amp;"+"&amp;ROUND(F4,2)&amp;"Q"</v>
      </c>
      <c r="M9" s="218" t="str">
        <f>B18&amp;" vs. "&amp;A18</f>
        <v>P vs. Q</v>
      </c>
    </row>
    <row r="10" spans="1:14" x14ac:dyDescent="0.25">
      <c r="D10" s="218" t="str">
        <f>"P="&amp;ROUND(E3,2)&amp;ROUND(E4,2)&amp;"Q"</f>
        <v>P=1992.14-17.03Q</v>
      </c>
      <c r="F10" s="218" t="str">
        <f ca="1">_xlfn.FORMULATEXT(D10)</f>
        <v>="P="&amp;ROUND(E3,2)&amp;ROUND(E4,2)&amp;"Q"</v>
      </c>
      <c r="M10" s="218" t="str">
        <f>C18&amp;" vs. "&amp;A18</f>
        <v>TR vs. Q</v>
      </c>
      <c r="N10" s="218" t="str">
        <f>G18&amp;" vs. "&amp;A18</f>
        <v>TP vs. Q</v>
      </c>
    </row>
    <row r="11" spans="1:14" x14ac:dyDescent="0.25">
      <c r="M11" s="218" t="str">
        <f>C18&amp;" &amp; "&amp;F18&amp;" vs. "&amp;A18</f>
        <v>TR &amp; TC vs. Q</v>
      </c>
    </row>
    <row r="14" spans="1:14" ht="16.5" thickBot="1" x14ac:dyDescent="0.3">
      <c r="A14" s="218" t="s">
        <v>237</v>
      </c>
      <c r="B14" s="218" t="s">
        <v>255</v>
      </c>
      <c r="C14" s="218" t="s">
        <v>254</v>
      </c>
      <c r="D14" s="218" t="s">
        <v>41</v>
      </c>
      <c r="E14" s="218" t="s">
        <v>253</v>
      </c>
      <c r="F14" s="218" t="s">
        <v>236</v>
      </c>
      <c r="G14" s="218" t="s">
        <v>252</v>
      </c>
    </row>
    <row r="15" spans="1:14" ht="16.5" thickBot="1" x14ac:dyDescent="0.3">
      <c r="A15" s="266">
        <v>49.720210381100195</v>
      </c>
      <c r="B15" s="218">
        <f>$E$3+$E$4*A15</f>
        <v>1145.3671071953011</v>
      </c>
      <c r="C15" s="218">
        <f>A15*B15</f>
        <v>56947.893533342511</v>
      </c>
      <c r="D15" s="218">
        <f>F3</f>
        <v>13016.578560939795</v>
      </c>
      <c r="E15" s="218">
        <f>F4</f>
        <v>298.59030837004406</v>
      </c>
      <c r="F15" s="218">
        <f>D15+E15*A15</f>
        <v>27862.55151085597</v>
      </c>
      <c r="G15" s="218">
        <f>C15-F15</f>
        <v>29085.34202248654</v>
      </c>
    </row>
    <row r="18" spans="1:7" x14ac:dyDescent="0.25">
      <c r="A18" s="218" t="s">
        <v>237</v>
      </c>
      <c r="B18" s="218" t="s">
        <v>255</v>
      </c>
      <c r="C18" s="218" t="s">
        <v>254</v>
      </c>
      <c r="D18" s="218" t="s">
        <v>41</v>
      </c>
      <c r="E18" s="218" t="s">
        <v>253</v>
      </c>
      <c r="F18" s="218" t="s">
        <v>236</v>
      </c>
      <c r="G18" s="218" t="s">
        <v>252</v>
      </c>
    </row>
    <row r="19" spans="1:7" x14ac:dyDescent="0.25">
      <c r="A19" s="218">
        <v>0</v>
      </c>
      <c r="B19" s="265">
        <f t="shared" ref="B19:B50" si="0">$E$3+$E$4*A19</f>
        <v>1992.143906020558</v>
      </c>
      <c r="C19" s="218">
        <f t="shared" ref="C19:C50" si="1">A19*B19</f>
        <v>0</v>
      </c>
      <c r="D19" s="218">
        <f t="shared" ref="D19:D50" si="2">$F$3</f>
        <v>13016.578560939795</v>
      </c>
      <c r="E19" s="218">
        <f t="shared" ref="E19:E50" si="3">$F$4</f>
        <v>298.59030837004406</v>
      </c>
      <c r="F19" s="218">
        <f t="shared" ref="F19:F50" si="4">D19+E19*A19</f>
        <v>13016.578560939795</v>
      </c>
      <c r="G19" s="218">
        <f t="shared" ref="G19:G50" si="5">C19-F19</f>
        <v>-13016.578560939795</v>
      </c>
    </row>
    <row r="20" spans="1:7" x14ac:dyDescent="0.25">
      <c r="A20" s="218">
        <v>1</v>
      </c>
      <c r="B20" s="265">
        <f t="shared" si="0"/>
        <v>1975.1130690161526</v>
      </c>
      <c r="C20" s="265">
        <f t="shared" si="1"/>
        <v>1975.1130690161526</v>
      </c>
      <c r="D20" s="218">
        <f t="shared" si="2"/>
        <v>13016.578560939795</v>
      </c>
      <c r="E20" s="218">
        <f t="shared" si="3"/>
        <v>298.59030837004406</v>
      </c>
      <c r="F20" s="218">
        <f t="shared" si="4"/>
        <v>13315.168869309839</v>
      </c>
      <c r="G20" s="218">
        <f t="shared" si="5"/>
        <v>-11340.055800293685</v>
      </c>
    </row>
    <row r="21" spans="1:7" x14ac:dyDescent="0.25">
      <c r="A21" s="218">
        <v>2</v>
      </c>
      <c r="B21" s="265">
        <f t="shared" si="0"/>
        <v>1958.0822320117475</v>
      </c>
      <c r="C21" s="265">
        <f t="shared" si="1"/>
        <v>3916.1644640234949</v>
      </c>
      <c r="D21" s="218">
        <f t="shared" si="2"/>
        <v>13016.578560939795</v>
      </c>
      <c r="E21" s="218">
        <f t="shared" si="3"/>
        <v>298.59030837004406</v>
      </c>
      <c r="F21" s="218">
        <f t="shared" si="4"/>
        <v>13613.759177679884</v>
      </c>
      <c r="G21" s="218">
        <f t="shared" si="5"/>
        <v>-9697.5947136563882</v>
      </c>
    </row>
    <row r="22" spans="1:7" x14ac:dyDescent="0.25">
      <c r="A22" s="218">
        <v>3</v>
      </c>
      <c r="B22" s="265">
        <f t="shared" si="0"/>
        <v>1941.0513950073421</v>
      </c>
      <c r="C22" s="265">
        <f t="shared" si="1"/>
        <v>5823.1541850220265</v>
      </c>
      <c r="D22" s="218">
        <f t="shared" si="2"/>
        <v>13016.578560939795</v>
      </c>
      <c r="E22" s="218">
        <f t="shared" si="3"/>
        <v>298.59030837004406</v>
      </c>
      <c r="F22" s="218">
        <f t="shared" si="4"/>
        <v>13912.349486049927</v>
      </c>
      <c r="G22" s="218">
        <f t="shared" si="5"/>
        <v>-8089.1953010279003</v>
      </c>
    </row>
    <row r="23" spans="1:7" x14ac:dyDescent="0.25">
      <c r="A23" s="218">
        <v>4</v>
      </c>
      <c r="B23" s="265">
        <f t="shared" si="0"/>
        <v>1924.0205580029369</v>
      </c>
      <c r="C23" s="265">
        <f t="shared" si="1"/>
        <v>7696.0822320117477</v>
      </c>
      <c r="D23" s="218">
        <f t="shared" si="2"/>
        <v>13016.578560939795</v>
      </c>
      <c r="E23" s="218">
        <f t="shared" si="3"/>
        <v>298.59030837004406</v>
      </c>
      <c r="F23" s="218">
        <f t="shared" si="4"/>
        <v>14210.939794419972</v>
      </c>
      <c r="G23" s="218">
        <f t="shared" si="5"/>
        <v>-6514.8575624082241</v>
      </c>
    </row>
    <row r="24" spans="1:7" x14ac:dyDescent="0.25">
      <c r="A24" s="218">
        <v>5</v>
      </c>
      <c r="B24" s="265">
        <f t="shared" si="0"/>
        <v>1906.9897209985315</v>
      </c>
      <c r="C24" s="265">
        <f t="shared" si="1"/>
        <v>9534.9486049926581</v>
      </c>
      <c r="D24" s="218">
        <f t="shared" si="2"/>
        <v>13016.578560939795</v>
      </c>
      <c r="E24" s="218">
        <f t="shared" si="3"/>
        <v>298.59030837004406</v>
      </c>
      <c r="F24" s="218">
        <f t="shared" si="4"/>
        <v>14509.530102790015</v>
      </c>
      <c r="G24" s="218">
        <f t="shared" si="5"/>
        <v>-4974.5814977973569</v>
      </c>
    </row>
    <row r="25" spans="1:7" x14ac:dyDescent="0.25">
      <c r="A25" s="218">
        <v>6</v>
      </c>
      <c r="B25" s="265">
        <f t="shared" si="0"/>
        <v>1889.9588839941264</v>
      </c>
      <c r="C25" s="265">
        <f t="shared" si="1"/>
        <v>11339.753303964759</v>
      </c>
      <c r="D25" s="218">
        <f t="shared" si="2"/>
        <v>13016.578560939795</v>
      </c>
      <c r="E25" s="218">
        <f t="shared" si="3"/>
        <v>298.59030837004406</v>
      </c>
      <c r="F25" s="218">
        <f t="shared" si="4"/>
        <v>14808.12041116006</v>
      </c>
      <c r="G25" s="218">
        <f t="shared" si="5"/>
        <v>-3468.3671071953013</v>
      </c>
    </row>
    <row r="26" spans="1:7" x14ac:dyDescent="0.25">
      <c r="A26" s="218">
        <v>7</v>
      </c>
      <c r="B26" s="265">
        <f t="shared" si="0"/>
        <v>1872.928046989721</v>
      </c>
      <c r="C26" s="265">
        <f t="shared" si="1"/>
        <v>13110.496328928048</v>
      </c>
      <c r="D26" s="218">
        <f t="shared" si="2"/>
        <v>13016.578560939795</v>
      </c>
      <c r="E26" s="218">
        <f t="shared" si="3"/>
        <v>298.59030837004406</v>
      </c>
      <c r="F26" s="218">
        <f t="shared" si="4"/>
        <v>15106.710719530103</v>
      </c>
      <c r="G26" s="218">
        <f t="shared" si="5"/>
        <v>-1996.2143906020556</v>
      </c>
    </row>
    <row r="27" spans="1:7" x14ac:dyDescent="0.25">
      <c r="A27" s="218">
        <v>8</v>
      </c>
      <c r="B27" s="265">
        <f t="shared" si="0"/>
        <v>1855.8972099853158</v>
      </c>
      <c r="C27" s="265">
        <f t="shared" si="1"/>
        <v>14847.177679882527</v>
      </c>
      <c r="D27" s="218">
        <f t="shared" si="2"/>
        <v>13016.578560939795</v>
      </c>
      <c r="E27" s="218">
        <f t="shared" si="3"/>
        <v>298.59030837004406</v>
      </c>
      <c r="F27" s="218">
        <f t="shared" si="4"/>
        <v>15405.301027900148</v>
      </c>
      <c r="G27" s="218">
        <f t="shared" si="5"/>
        <v>-558.12334801762154</v>
      </c>
    </row>
    <row r="28" spans="1:7" x14ac:dyDescent="0.25">
      <c r="A28" s="218">
        <v>9</v>
      </c>
      <c r="B28" s="265">
        <f t="shared" si="0"/>
        <v>1838.8663729809105</v>
      </c>
      <c r="C28" s="265">
        <f t="shared" si="1"/>
        <v>16549.797356828196</v>
      </c>
      <c r="D28" s="218">
        <f t="shared" si="2"/>
        <v>13016.578560939795</v>
      </c>
      <c r="E28" s="218">
        <f t="shared" si="3"/>
        <v>298.59030837004406</v>
      </c>
      <c r="F28" s="218">
        <f t="shared" si="4"/>
        <v>15703.891336270191</v>
      </c>
      <c r="G28" s="218">
        <f t="shared" si="5"/>
        <v>845.90602055800446</v>
      </c>
    </row>
    <row r="29" spans="1:7" x14ac:dyDescent="0.25">
      <c r="A29" s="218">
        <v>10</v>
      </c>
      <c r="B29" s="265">
        <f t="shared" si="0"/>
        <v>1821.8355359765051</v>
      </c>
      <c r="C29" s="265">
        <f t="shared" si="1"/>
        <v>18218.35535976505</v>
      </c>
      <c r="D29" s="218">
        <f t="shared" si="2"/>
        <v>13016.578560939795</v>
      </c>
      <c r="E29" s="218">
        <f t="shared" si="3"/>
        <v>298.59030837004406</v>
      </c>
      <c r="F29" s="218">
        <f t="shared" si="4"/>
        <v>16002.481644640236</v>
      </c>
      <c r="G29" s="218">
        <f t="shared" si="5"/>
        <v>2215.8737151248133</v>
      </c>
    </row>
    <row r="30" spans="1:7" x14ac:dyDescent="0.25">
      <c r="A30" s="218">
        <v>11</v>
      </c>
      <c r="B30" s="265">
        <f t="shared" si="0"/>
        <v>1804.8046989720999</v>
      </c>
      <c r="C30" s="265">
        <f t="shared" si="1"/>
        <v>19852.851688693099</v>
      </c>
      <c r="D30" s="218">
        <f t="shared" si="2"/>
        <v>13016.578560939795</v>
      </c>
      <c r="E30" s="218">
        <f t="shared" si="3"/>
        <v>298.59030837004406</v>
      </c>
      <c r="F30" s="218">
        <f t="shared" si="4"/>
        <v>16301.07195301028</v>
      </c>
      <c r="G30" s="218">
        <f t="shared" si="5"/>
        <v>3551.7797356828196</v>
      </c>
    </row>
    <row r="31" spans="1:7" x14ac:dyDescent="0.25">
      <c r="A31" s="218">
        <v>12</v>
      </c>
      <c r="B31" s="265">
        <f t="shared" si="0"/>
        <v>1787.7738619676945</v>
      </c>
      <c r="C31" s="265">
        <f t="shared" si="1"/>
        <v>21453.286343612333</v>
      </c>
      <c r="D31" s="218">
        <f t="shared" si="2"/>
        <v>13016.578560939795</v>
      </c>
      <c r="E31" s="218">
        <f t="shared" si="3"/>
        <v>298.59030837004406</v>
      </c>
      <c r="F31" s="218">
        <f t="shared" si="4"/>
        <v>16599.662261380323</v>
      </c>
      <c r="G31" s="218">
        <f t="shared" si="5"/>
        <v>4853.6240822320106</v>
      </c>
    </row>
    <row r="32" spans="1:7" x14ac:dyDescent="0.25">
      <c r="A32" s="218">
        <v>13</v>
      </c>
      <c r="B32" s="265">
        <f t="shared" si="0"/>
        <v>1770.7430249632894</v>
      </c>
      <c r="C32" s="265">
        <f t="shared" si="1"/>
        <v>23019.659324522763</v>
      </c>
      <c r="D32" s="218">
        <f t="shared" si="2"/>
        <v>13016.578560939795</v>
      </c>
      <c r="E32" s="218">
        <f t="shared" si="3"/>
        <v>298.59030837004406</v>
      </c>
      <c r="F32" s="218">
        <f t="shared" si="4"/>
        <v>16898.252569750366</v>
      </c>
      <c r="G32" s="218">
        <f t="shared" si="5"/>
        <v>6121.4067547723971</v>
      </c>
    </row>
    <row r="33" spans="1:7" x14ac:dyDescent="0.25">
      <c r="A33" s="218">
        <v>14</v>
      </c>
      <c r="B33" s="265">
        <f t="shared" si="0"/>
        <v>1753.712187958884</v>
      </c>
      <c r="C33" s="265">
        <f t="shared" si="1"/>
        <v>24551.970631424374</v>
      </c>
      <c r="D33" s="218">
        <f t="shared" si="2"/>
        <v>13016.578560939795</v>
      </c>
      <c r="E33" s="218">
        <f t="shared" si="3"/>
        <v>298.59030837004406</v>
      </c>
      <c r="F33" s="218">
        <f t="shared" si="4"/>
        <v>17196.842878120413</v>
      </c>
      <c r="G33" s="218">
        <f t="shared" si="5"/>
        <v>7355.1277533039611</v>
      </c>
    </row>
    <row r="34" spans="1:7" x14ac:dyDescent="0.25">
      <c r="A34" s="218">
        <v>15</v>
      </c>
      <c r="B34" s="265">
        <f t="shared" si="0"/>
        <v>1736.6813509544786</v>
      </c>
      <c r="C34" s="265">
        <f t="shared" si="1"/>
        <v>26050.22026431718</v>
      </c>
      <c r="D34" s="218">
        <f t="shared" si="2"/>
        <v>13016.578560939795</v>
      </c>
      <c r="E34" s="218">
        <f t="shared" si="3"/>
        <v>298.59030837004406</v>
      </c>
      <c r="F34" s="218">
        <f t="shared" si="4"/>
        <v>17495.433186490456</v>
      </c>
      <c r="G34" s="218">
        <f t="shared" si="5"/>
        <v>8554.7870778267243</v>
      </c>
    </row>
    <row r="35" spans="1:7" x14ac:dyDescent="0.25">
      <c r="A35" s="218">
        <v>16</v>
      </c>
      <c r="B35" s="265">
        <f t="shared" si="0"/>
        <v>1719.6505139500734</v>
      </c>
      <c r="C35" s="265">
        <f t="shared" si="1"/>
        <v>27514.408223201175</v>
      </c>
      <c r="D35" s="218">
        <f t="shared" si="2"/>
        <v>13016.578560939795</v>
      </c>
      <c r="E35" s="218">
        <f t="shared" si="3"/>
        <v>298.59030837004406</v>
      </c>
      <c r="F35" s="218">
        <f t="shared" si="4"/>
        <v>17794.023494860499</v>
      </c>
      <c r="G35" s="218">
        <f t="shared" si="5"/>
        <v>9720.3847283406758</v>
      </c>
    </row>
    <row r="36" spans="1:7" x14ac:dyDescent="0.25">
      <c r="A36" s="218">
        <v>17</v>
      </c>
      <c r="B36" s="265">
        <f t="shared" si="0"/>
        <v>1702.6196769456683</v>
      </c>
      <c r="C36" s="265">
        <f t="shared" si="1"/>
        <v>28944.534508076362</v>
      </c>
      <c r="D36" s="218">
        <f t="shared" si="2"/>
        <v>13016.578560939795</v>
      </c>
      <c r="E36" s="218">
        <f t="shared" si="3"/>
        <v>298.59030837004406</v>
      </c>
      <c r="F36" s="218">
        <f t="shared" si="4"/>
        <v>18092.613803230546</v>
      </c>
      <c r="G36" s="218">
        <f t="shared" si="5"/>
        <v>10851.920704845816</v>
      </c>
    </row>
    <row r="37" spans="1:7" x14ac:dyDescent="0.25">
      <c r="A37" s="218">
        <v>18</v>
      </c>
      <c r="B37" s="265">
        <f t="shared" si="0"/>
        <v>1685.5888399412629</v>
      </c>
      <c r="C37" s="265">
        <f t="shared" si="1"/>
        <v>30340.599118942733</v>
      </c>
      <c r="D37" s="218">
        <f t="shared" si="2"/>
        <v>13016.578560939795</v>
      </c>
      <c r="E37" s="218">
        <f t="shared" si="3"/>
        <v>298.59030837004406</v>
      </c>
      <c r="F37" s="218">
        <f t="shared" si="4"/>
        <v>18391.204111600589</v>
      </c>
      <c r="G37" s="218">
        <f t="shared" si="5"/>
        <v>11949.395007342144</v>
      </c>
    </row>
    <row r="38" spans="1:7" x14ac:dyDescent="0.25">
      <c r="A38" s="218">
        <v>19</v>
      </c>
      <c r="B38" s="265">
        <f t="shared" si="0"/>
        <v>1668.5580029368575</v>
      </c>
      <c r="C38" s="265">
        <f t="shared" si="1"/>
        <v>31702.602055800293</v>
      </c>
      <c r="D38" s="218">
        <f t="shared" si="2"/>
        <v>13016.578560939795</v>
      </c>
      <c r="E38" s="218">
        <f t="shared" si="3"/>
        <v>298.59030837004406</v>
      </c>
      <c r="F38" s="218">
        <f t="shared" si="4"/>
        <v>18689.794419970633</v>
      </c>
      <c r="G38" s="218">
        <f t="shared" si="5"/>
        <v>13012.80763582966</v>
      </c>
    </row>
    <row r="39" spans="1:7" x14ac:dyDescent="0.25">
      <c r="A39" s="218">
        <v>20</v>
      </c>
      <c r="B39" s="265">
        <f t="shared" si="0"/>
        <v>1651.5271659324524</v>
      </c>
      <c r="C39" s="265">
        <f t="shared" si="1"/>
        <v>33030.543318649048</v>
      </c>
      <c r="D39" s="218">
        <f t="shared" si="2"/>
        <v>13016.578560939795</v>
      </c>
      <c r="E39" s="218">
        <f t="shared" si="3"/>
        <v>298.59030837004406</v>
      </c>
      <c r="F39" s="218">
        <f t="shared" si="4"/>
        <v>18988.384728340676</v>
      </c>
      <c r="G39" s="218">
        <f t="shared" si="5"/>
        <v>14042.158590308372</v>
      </c>
    </row>
    <row r="40" spans="1:7" x14ac:dyDescent="0.25">
      <c r="A40" s="218">
        <v>21</v>
      </c>
      <c r="B40" s="265">
        <f t="shared" si="0"/>
        <v>1634.496328928047</v>
      </c>
      <c r="C40" s="265">
        <f t="shared" si="1"/>
        <v>34324.422907488988</v>
      </c>
      <c r="D40" s="218">
        <f t="shared" si="2"/>
        <v>13016.578560939795</v>
      </c>
      <c r="E40" s="218">
        <f t="shared" si="3"/>
        <v>298.59030837004406</v>
      </c>
      <c r="F40" s="218">
        <f t="shared" si="4"/>
        <v>19286.975036710719</v>
      </c>
      <c r="G40" s="218">
        <f t="shared" si="5"/>
        <v>15037.447870778269</v>
      </c>
    </row>
    <row r="41" spans="1:7" x14ac:dyDescent="0.25">
      <c r="A41" s="218">
        <v>22</v>
      </c>
      <c r="B41" s="265">
        <f t="shared" si="0"/>
        <v>1617.4654919236418</v>
      </c>
      <c r="C41" s="265">
        <f t="shared" si="1"/>
        <v>35584.24082232012</v>
      </c>
      <c r="D41" s="218">
        <f t="shared" si="2"/>
        <v>13016.578560939795</v>
      </c>
      <c r="E41" s="218">
        <f t="shared" si="3"/>
        <v>298.59030837004406</v>
      </c>
      <c r="F41" s="218">
        <f t="shared" si="4"/>
        <v>19585.565345080766</v>
      </c>
      <c r="G41" s="218">
        <f t="shared" si="5"/>
        <v>15998.675477239354</v>
      </c>
    </row>
    <row r="42" spans="1:7" x14ac:dyDescent="0.25">
      <c r="A42" s="218">
        <v>23</v>
      </c>
      <c r="B42" s="265">
        <f t="shared" si="0"/>
        <v>1600.4346549192364</v>
      </c>
      <c r="C42" s="265">
        <f t="shared" si="1"/>
        <v>36809.997063142437</v>
      </c>
      <c r="D42" s="218">
        <f t="shared" si="2"/>
        <v>13016.578560939795</v>
      </c>
      <c r="E42" s="218">
        <f t="shared" si="3"/>
        <v>298.59030837004406</v>
      </c>
      <c r="F42" s="218">
        <f t="shared" si="4"/>
        <v>19884.155653450809</v>
      </c>
      <c r="G42" s="218">
        <f t="shared" si="5"/>
        <v>16925.841409691628</v>
      </c>
    </row>
    <row r="43" spans="1:7" x14ac:dyDescent="0.25">
      <c r="A43" s="218">
        <v>24</v>
      </c>
      <c r="B43" s="265">
        <f t="shared" si="0"/>
        <v>1583.4038179148311</v>
      </c>
      <c r="C43" s="265">
        <f t="shared" si="1"/>
        <v>38001.691629955945</v>
      </c>
      <c r="D43" s="218">
        <f t="shared" si="2"/>
        <v>13016.578560939795</v>
      </c>
      <c r="E43" s="218">
        <f t="shared" si="3"/>
        <v>298.59030837004406</v>
      </c>
      <c r="F43" s="218">
        <f t="shared" si="4"/>
        <v>20182.745961820852</v>
      </c>
      <c r="G43" s="218">
        <f t="shared" si="5"/>
        <v>17818.945668135093</v>
      </c>
    </row>
    <row r="44" spans="1:7" x14ac:dyDescent="0.25">
      <c r="A44" s="218">
        <v>25</v>
      </c>
      <c r="B44" s="265">
        <f t="shared" si="0"/>
        <v>1566.3729809104259</v>
      </c>
      <c r="C44" s="265">
        <f t="shared" si="1"/>
        <v>39159.324522760646</v>
      </c>
      <c r="D44" s="218">
        <f t="shared" si="2"/>
        <v>13016.578560939795</v>
      </c>
      <c r="E44" s="218">
        <f t="shared" si="3"/>
        <v>298.59030837004406</v>
      </c>
      <c r="F44" s="218">
        <f t="shared" si="4"/>
        <v>20481.336270190895</v>
      </c>
      <c r="G44" s="218">
        <f t="shared" si="5"/>
        <v>18677.98825256975</v>
      </c>
    </row>
    <row r="45" spans="1:7" x14ac:dyDescent="0.25">
      <c r="A45" s="218">
        <v>26</v>
      </c>
      <c r="B45" s="265">
        <f t="shared" si="0"/>
        <v>1549.3421439060207</v>
      </c>
      <c r="C45" s="265">
        <f t="shared" si="1"/>
        <v>40282.895741556538</v>
      </c>
      <c r="D45" s="218">
        <f t="shared" si="2"/>
        <v>13016.578560939795</v>
      </c>
      <c r="E45" s="218">
        <f t="shared" si="3"/>
        <v>298.59030837004406</v>
      </c>
      <c r="F45" s="218">
        <f t="shared" si="4"/>
        <v>20779.926578560939</v>
      </c>
      <c r="G45" s="218">
        <f t="shared" si="5"/>
        <v>19502.9691629956</v>
      </c>
    </row>
    <row r="46" spans="1:7" x14ac:dyDescent="0.25">
      <c r="A46" s="218">
        <v>27</v>
      </c>
      <c r="B46" s="265">
        <f t="shared" si="0"/>
        <v>1532.3113069016154</v>
      </c>
      <c r="C46" s="265">
        <f t="shared" si="1"/>
        <v>41372.405286343615</v>
      </c>
      <c r="D46" s="218">
        <f t="shared" si="2"/>
        <v>13016.578560939795</v>
      </c>
      <c r="E46" s="218">
        <f t="shared" si="3"/>
        <v>298.59030837004406</v>
      </c>
      <c r="F46" s="218">
        <f t="shared" si="4"/>
        <v>21078.516886930985</v>
      </c>
      <c r="G46" s="218">
        <f t="shared" si="5"/>
        <v>20293.88839941263</v>
      </c>
    </row>
    <row r="47" spans="1:7" x14ac:dyDescent="0.25">
      <c r="A47" s="218">
        <v>28</v>
      </c>
      <c r="B47" s="265">
        <f t="shared" si="0"/>
        <v>1515.28046989721</v>
      </c>
      <c r="C47" s="265">
        <f t="shared" si="1"/>
        <v>42427.853157121877</v>
      </c>
      <c r="D47" s="218">
        <f t="shared" si="2"/>
        <v>13016.578560939795</v>
      </c>
      <c r="E47" s="218">
        <f t="shared" si="3"/>
        <v>298.59030837004406</v>
      </c>
      <c r="F47" s="218">
        <f t="shared" si="4"/>
        <v>21377.107195301029</v>
      </c>
      <c r="G47" s="218">
        <f t="shared" si="5"/>
        <v>21050.745961820849</v>
      </c>
    </row>
    <row r="48" spans="1:7" x14ac:dyDescent="0.25">
      <c r="A48" s="218">
        <v>29</v>
      </c>
      <c r="B48" s="265">
        <f t="shared" si="0"/>
        <v>1498.2496328928048</v>
      </c>
      <c r="C48" s="265">
        <f t="shared" si="1"/>
        <v>43449.239353891338</v>
      </c>
      <c r="D48" s="218">
        <f t="shared" si="2"/>
        <v>13016.578560939795</v>
      </c>
      <c r="E48" s="218">
        <f t="shared" si="3"/>
        <v>298.59030837004406</v>
      </c>
      <c r="F48" s="218">
        <f t="shared" si="4"/>
        <v>21675.697503671072</v>
      </c>
      <c r="G48" s="218">
        <f t="shared" si="5"/>
        <v>21773.541850220266</v>
      </c>
    </row>
    <row r="49" spans="1:7" x14ac:dyDescent="0.25">
      <c r="A49" s="218">
        <v>30</v>
      </c>
      <c r="B49" s="265">
        <f t="shared" si="0"/>
        <v>1481.2187958883994</v>
      </c>
      <c r="C49" s="265">
        <f t="shared" si="1"/>
        <v>44436.563876651984</v>
      </c>
      <c r="D49" s="218">
        <f t="shared" si="2"/>
        <v>13016.578560939795</v>
      </c>
      <c r="E49" s="218">
        <f t="shared" si="3"/>
        <v>298.59030837004406</v>
      </c>
      <c r="F49" s="218">
        <f t="shared" si="4"/>
        <v>21974.287812041119</v>
      </c>
      <c r="G49" s="218">
        <f t="shared" si="5"/>
        <v>22462.276064610865</v>
      </c>
    </row>
    <row r="50" spans="1:7" x14ac:dyDescent="0.25">
      <c r="A50" s="218">
        <v>31</v>
      </c>
      <c r="B50" s="265">
        <f t="shared" si="0"/>
        <v>1464.1879588839943</v>
      </c>
      <c r="C50" s="265">
        <f t="shared" si="1"/>
        <v>45389.826725403822</v>
      </c>
      <c r="D50" s="218">
        <f t="shared" si="2"/>
        <v>13016.578560939795</v>
      </c>
      <c r="E50" s="218">
        <f t="shared" si="3"/>
        <v>298.59030837004406</v>
      </c>
      <c r="F50" s="218">
        <f t="shared" si="4"/>
        <v>22272.878120411162</v>
      </c>
      <c r="G50" s="218">
        <f t="shared" si="5"/>
        <v>23116.94860499266</v>
      </c>
    </row>
    <row r="51" spans="1:7" x14ac:dyDescent="0.25">
      <c r="A51" s="218">
        <v>32</v>
      </c>
      <c r="B51" s="265">
        <f t="shared" ref="B51:B82" si="6">$E$3+$E$4*A51</f>
        <v>1447.1571218795889</v>
      </c>
      <c r="C51" s="265">
        <f t="shared" ref="C51:C82" si="7">A51*B51</f>
        <v>46309.027900146844</v>
      </c>
      <c r="D51" s="218">
        <f t="shared" ref="D51:D82" si="8">$F$3</f>
        <v>13016.578560939795</v>
      </c>
      <c r="E51" s="218">
        <f t="shared" ref="E51:E82" si="9">$F$4</f>
        <v>298.59030837004406</v>
      </c>
      <c r="F51" s="218">
        <f t="shared" ref="F51:F82" si="10">D51+E51*A51</f>
        <v>22571.468428781205</v>
      </c>
      <c r="G51" s="218">
        <f t="shared" ref="G51:G82" si="11">C51-F51</f>
        <v>23737.559471365639</v>
      </c>
    </row>
    <row r="52" spans="1:7" x14ac:dyDescent="0.25">
      <c r="A52" s="218">
        <v>33</v>
      </c>
      <c r="B52" s="265">
        <f t="shared" si="6"/>
        <v>1430.1262848751835</v>
      </c>
      <c r="C52" s="265">
        <f t="shared" si="7"/>
        <v>47194.167400881059</v>
      </c>
      <c r="D52" s="218">
        <f t="shared" si="8"/>
        <v>13016.578560939795</v>
      </c>
      <c r="E52" s="218">
        <f t="shared" si="9"/>
        <v>298.59030837004406</v>
      </c>
      <c r="F52" s="218">
        <f t="shared" si="10"/>
        <v>22870.058737151248</v>
      </c>
      <c r="G52" s="218">
        <f t="shared" si="11"/>
        <v>24324.10866372981</v>
      </c>
    </row>
    <row r="53" spans="1:7" x14ac:dyDescent="0.25">
      <c r="A53" s="218">
        <v>34</v>
      </c>
      <c r="B53" s="265">
        <f t="shared" si="6"/>
        <v>1413.0954478707783</v>
      </c>
      <c r="C53" s="265">
        <f t="shared" si="7"/>
        <v>48045.245227606465</v>
      </c>
      <c r="D53" s="218">
        <f t="shared" si="8"/>
        <v>13016.578560939795</v>
      </c>
      <c r="E53" s="218">
        <f t="shared" si="9"/>
        <v>298.59030837004406</v>
      </c>
      <c r="F53" s="218">
        <f t="shared" si="10"/>
        <v>23168.649045521292</v>
      </c>
      <c r="G53" s="218">
        <f t="shared" si="11"/>
        <v>24876.596182085173</v>
      </c>
    </row>
    <row r="54" spans="1:7" x14ac:dyDescent="0.25">
      <c r="A54" s="218">
        <v>35</v>
      </c>
      <c r="B54" s="265">
        <f t="shared" si="6"/>
        <v>1396.0646108663732</v>
      </c>
      <c r="C54" s="265">
        <f t="shared" si="7"/>
        <v>48862.261380323063</v>
      </c>
      <c r="D54" s="218">
        <f t="shared" si="8"/>
        <v>13016.578560939795</v>
      </c>
      <c r="E54" s="218">
        <f t="shared" si="9"/>
        <v>298.59030837004406</v>
      </c>
      <c r="F54" s="218">
        <f t="shared" si="10"/>
        <v>23467.239353891338</v>
      </c>
      <c r="G54" s="218">
        <f t="shared" si="11"/>
        <v>25395.022026431725</v>
      </c>
    </row>
    <row r="55" spans="1:7" x14ac:dyDescent="0.25">
      <c r="A55" s="218">
        <v>36</v>
      </c>
      <c r="B55" s="265">
        <f t="shared" si="6"/>
        <v>1379.0337738619678</v>
      </c>
      <c r="C55" s="265">
        <f t="shared" si="7"/>
        <v>49645.215859030839</v>
      </c>
      <c r="D55" s="218">
        <f t="shared" si="8"/>
        <v>13016.578560939795</v>
      </c>
      <c r="E55" s="218">
        <f t="shared" si="9"/>
        <v>298.59030837004406</v>
      </c>
      <c r="F55" s="218">
        <f t="shared" si="10"/>
        <v>23765.829662261382</v>
      </c>
      <c r="G55" s="218">
        <f t="shared" si="11"/>
        <v>25879.386196769457</v>
      </c>
    </row>
    <row r="56" spans="1:7" x14ac:dyDescent="0.25">
      <c r="A56" s="218">
        <v>37</v>
      </c>
      <c r="B56" s="265">
        <f t="shared" si="6"/>
        <v>1362.0029368575624</v>
      </c>
      <c r="C56" s="265">
        <f t="shared" si="7"/>
        <v>50394.108663729807</v>
      </c>
      <c r="D56" s="218">
        <f t="shared" si="8"/>
        <v>13016.578560939795</v>
      </c>
      <c r="E56" s="218">
        <f t="shared" si="9"/>
        <v>298.59030837004406</v>
      </c>
      <c r="F56" s="218">
        <f t="shared" si="10"/>
        <v>24064.419970631425</v>
      </c>
      <c r="G56" s="218">
        <f t="shared" si="11"/>
        <v>26329.688693098382</v>
      </c>
    </row>
    <row r="57" spans="1:7" x14ac:dyDescent="0.25">
      <c r="A57" s="218">
        <v>38</v>
      </c>
      <c r="B57" s="265">
        <f t="shared" si="6"/>
        <v>1344.972099853157</v>
      </c>
      <c r="C57" s="265">
        <f t="shared" si="7"/>
        <v>51108.939794419966</v>
      </c>
      <c r="D57" s="218">
        <f t="shared" si="8"/>
        <v>13016.578560939795</v>
      </c>
      <c r="E57" s="218">
        <f t="shared" si="9"/>
        <v>298.59030837004406</v>
      </c>
      <c r="F57" s="218">
        <f t="shared" si="10"/>
        <v>24363.010279001472</v>
      </c>
      <c r="G57" s="218">
        <f t="shared" si="11"/>
        <v>26745.929515418495</v>
      </c>
    </row>
    <row r="58" spans="1:7" x14ac:dyDescent="0.25">
      <c r="A58" s="218">
        <v>39</v>
      </c>
      <c r="B58" s="265">
        <f t="shared" si="6"/>
        <v>1327.9412628487519</v>
      </c>
      <c r="C58" s="265">
        <f t="shared" si="7"/>
        <v>51789.709251101325</v>
      </c>
      <c r="D58" s="218">
        <f t="shared" si="8"/>
        <v>13016.578560939795</v>
      </c>
      <c r="E58" s="218">
        <f t="shared" si="9"/>
        <v>298.59030837004406</v>
      </c>
      <c r="F58" s="218">
        <f t="shared" si="10"/>
        <v>24661.600587371511</v>
      </c>
      <c r="G58" s="218">
        <f t="shared" si="11"/>
        <v>27128.108663729814</v>
      </c>
    </row>
    <row r="59" spans="1:7" x14ac:dyDescent="0.25">
      <c r="A59" s="218">
        <v>40</v>
      </c>
      <c r="B59" s="265">
        <f t="shared" si="6"/>
        <v>1310.9104258443467</v>
      </c>
      <c r="C59" s="265">
        <f t="shared" si="7"/>
        <v>52436.417033773869</v>
      </c>
      <c r="D59" s="218">
        <f t="shared" si="8"/>
        <v>13016.578560939795</v>
      </c>
      <c r="E59" s="218">
        <f t="shared" si="9"/>
        <v>298.59030837004406</v>
      </c>
      <c r="F59" s="218">
        <f t="shared" si="10"/>
        <v>24960.190895741558</v>
      </c>
      <c r="G59" s="218">
        <f t="shared" si="11"/>
        <v>27476.226138032311</v>
      </c>
    </row>
    <row r="60" spans="1:7" x14ac:dyDescent="0.25">
      <c r="A60" s="218">
        <v>41</v>
      </c>
      <c r="B60" s="265">
        <f t="shared" si="6"/>
        <v>1293.8795888399413</v>
      </c>
      <c r="C60" s="265">
        <f t="shared" si="7"/>
        <v>53049.063142437597</v>
      </c>
      <c r="D60" s="218">
        <f t="shared" si="8"/>
        <v>13016.578560939795</v>
      </c>
      <c r="E60" s="218">
        <f t="shared" si="9"/>
        <v>298.59030837004406</v>
      </c>
      <c r="F60" s="218">
        <f t="shared" si="10"/>
        <v>25258.781204111601</v>
      </c>
      <c r="G60" s="218">
        <f t="shared" si="11"/>
        <v>27790.281938325996</v>
      </c>
    </row>
    <row r="61" spans="1:7" x14ac:dyDescent="0.25">
      <c r="A61" s="218">
        <v>42</v>
      </c>
      <c r="B61" s="265">
        <f t="shared" si="6"/>
        <v>1276.8487518355359</v>
      </c>
      <c r="C61" s="265">
        <f t="shared" si="7"/>
        <v>53627.64757709251</v>
      </c>
      <c r="D61" s="218">
        <f t="shared" si="8"/>
        <v>13016.578560939795</v>
      </c>
      <c r="E61" s="218">
        <f t="shared" si="9"/>
        <v>298.59030837004406</v>
      </c>
      <c r="F61" s="218">
        <f t="shared" si="10"/>
        <v>25557.371512481644</v>
      </c>
      <c r="G61" s="218">
        <f t="shared" si="11"/>
        <v>28070.276064610865</v>
      </c>
    </row>
    <row r="62" spans="1:7" x14ac:dyDescent="0.25">
      <c r="A62" s="218">
        <v>43</v>
      </c>
      <c r="B62" s="265">
        <f t="shared" si="6"/>
        <v>1259.8179148311308</v>
      </c>
      <c r="C62" s="265">
        <f t="shared" si="7"/>
        <v>54172.170337738622</v>
      </c>
      <c r="D62" s="218">
        <f t="shared" si="8"/>
        <v>13016.578560939795</v>
      </c>
      <c r="E62" s="218">
        <f t="shared" si="9"/>
        <v>298.59030837004406</v>
      </c>
      <c r="F62" s="218">
        <f t="shared" si="10"/>
        <v>25855.961820851691</v>
      </c>
      <c r="G62" s="218">
        <f t="shared" si="11"/>
        <v>28316.208516886931</v>
      </c>
    </row>
    <row r="63" spans="1:7" x14ac:dyDescent="0.25">
      <c r="A63" s="218">
        <v>44</v>
      </c>
      <c r="B63" s="265">
        <f t="shared" si="6"/>
        <v>1242.7870778267254</v>
      </c>
      <c r="C63" s="265">
        <f t="shared" si="7"/>
        <v>54682.631424375919</v>
      </c>
      <c r="D63" s="218">
        <f t="shared" si="8"/>
        <v>13016.578560939795</v>
      </c>
      <c r="E63" s="218">
        <f t="shared" si="9"/>
        <v>298.59030837004406</v>
      </c>
      <c r="F63" s="218">
        <f t="shared" si="10"/>
        <v>26154.552129221735</v>
      </c>
      <c r="G63" s="218">
        <f t="shared" si="11"/>
        <v>28528.079295154184</v>
      </c>
    </row>
    <row r="64" spans="1:7" x14ac:dyDescent="0.25">
      <c r="A64" s="218">
        <v>45</v>
      </c>
      <c r="B64" s="265">
        <f t="shared" si="6"/>
        <v>1225.7562408223203</v>
      </c>
      <c r="C64" s="265">
        <f t="shared" si="7"/>
        <v>55159.030837004408</v>
      </c>
      <c r="D64" s="218">
        <f t="shared" si="8"/>
        <v>13016.578560939795</v>
      </c>
      <c r="E64" s="218">
        <f t="shared" si="9"/>
        <v>298.59030837004406</v>
      </c>
      <c r="F64" s="218">
        <f t="shared" si="10"/>
        <v>26453.142437591778</v>
      </c>
      <c r="G64" s="218">
        <f t="shared" si="11"/>
        <v>28705.88839941263</v>
      </c>
    </row>
    <row r="65" spans="1:7" x14ac:dyDescent="0.25">
      <c r="A65" s="218">
        <v>46</v>
      </c>
      <c r="B65" s="265">
        <f t="shared" si="6"/>
        <v>1208.7254038179149</v>
      </c>
      <c r="C65" s="265">
        <f t="shared" si="7"/>
        <v>55601.368575624081</v>
      </c>
      <c r="D65" s="218">
        <f t="shared" si="8"/>
        <v>13016.578560939795</v>
      </c>
      <c r="E65" s="218">
        <f t="shared" si="9"/>
        <v>298.59030837004406</v>
      </c>
      <c r="F65" s="218">
        <f t="shared" si="10"/>
        <v>26751.732745961825</v>
      </c>
      <c r="G65" s="218">
        <f t="shared" si="11"/>
        <v>28849.635829662257</v>
      </c>
    </row>
    <row r="66" spans="1:7" x14ac:dyDescent="0.25">
      <c r="A66" s="218">
        <v>47</v>
      </c>
      <c r="B66" s="265">
        <f t="shared" si="6"/>
        <v>1191.6945668135095</v>
      </c>
      <c r="C66" s="265">
        <f t="shared" si="7"/>
        <v>56009.644640234947</v>
      </c>
      <c r="D66" s="218">
        <f t="shared" si="8"/>
        <v>13016.578560939795</v>
      </c>
      <c r="E66" s="218">
        <f t="shared" si="9"/>
        <v>298.59030837004406</v>
      </c>
      <c r="F66" s="218">
        <f t="shared" si="10"/>
        <v>27050.323054331864</v>
      </c>
      <c r="G66" s="218">
        <f t="shared" si="11"/>
        <v>28959.321585903082</v>
      </c>
    </row>
    <row r="67" spans="1:7" x14ac:dyDescent="0.25">
      <c r="A67" s="218">
        <v>48</v>
      </c>
      <c r="B67" s="265">
        <f t="shared" si="6"/>
        <v>1174.6637298091043</v>
      </c>
      <c r="C67" s="265">
        <f t="shared" si="7"/>
        <v>56383.859030837004</v>
      </c>
      <c r="D67" s="218">
        <f t="shared" si="8"/>
        <v>13016.578560939795</v>
      </c>
      <c r="E67" s="218">
        <f t="shared" si="9"/>
        <v>298.59030837004406</v>
      </c>
      <c r="F67" s="218">
        <f t="shared" si="10"/>
        <v>27348.913362701911</v>
      </c>
      <c r="G67" s="218">
        <f t="shared" si="11"/>
        <v>29034.945668135093</v>
      </c>
    </row>
    <row r="68" spans="1:7" x14ac:dyDescent="0.25">
      <c r="A68" s="218">
        <v>49</v>
      </c>
      <c r="B68" s="265">
        <f t="shared" si="6"/>
        <v>1157.6328928046992</v>
      </c>
      <c r="C68" s="265">
        <f t="shared" si="7"/>
        <v>56724.011747430261</v>
      </c>
      <c r="D68" s="218">
        <f t="shared" si="8"/>
        <v>13016.578560939795</v>
      </c>
      <c r="E68" s="218">
        <f t="shared" si="9"/>
        <v>298.59030837004406</v>
      </c>
      <c r="F68" s="218">
        <f t="shared" si="10"/>
        <v>27647.503671071954</v>
      </c>
      <c r="G68" s="218">
        <f t="shared" si="11"/>
        <v>29076.508076358306</v>
      </c>
    </row>
    <row r="69" spans="1:7" x14ac:dyDescent="0.25">
      <c r="A69" s="218">
        <v>50</v>
      </c>
      <c r="B69" s="265">
        <f t="shared" si="6"/>
        <v>1140.6020558002938</v>
      </c>
      <c r="C69" s="265">
        <f t="shared" si="7"/>
        <v>57030.102790014687</v>
      </c>
      <c r="D69" s="218">
        <f t="shared" si="8"/>
        <v>13016.578560939795</v>
      </c>
      <c r="E69" s="218">
        <f t="shared" si="9"/>
        <v>298.59030837004406</v>
      </c>
      <c r="F69" s="218">
        <f t="shared" si="10"/>
        <v>27946.093979441997</v>
      </c>
      <c r="G69" s="218">
        <f t="shared" si="11"/>
        <v>29084.00881057269</v>
      </c>
    </row>
    <row r="70" spans="1:7" x14ac:dyDescent="0.25">
      <c r="A70" s="218">
        <v>51</v>
      </c>
      <c r="B70" s="265">
        <f t="shared" si="6"/>
        <v>1123.5712187958884</v>
      </c>
      <c r="C70" s="265">
        <f t="shared" si="7"/>
        <v>57302.132158590306</v>
      </c>
      <c r="D70" s="218">
        <f t="shared" si="8"/>
        <v>13016.578560939795</v>
      </c>
      <c r="E70" s="218">
        <f t="shared" si="9"/>
        <v>298.59030837004406</v>
      </c>
      <c r="F70" s="218">
        <f t="shared" si="10"/>
        <v>28244.684287812044</v>
      </c>
      <c r="G70" s="218">
        <f t="shared" si="11"/>
        <v>29057.447870778262</v>
      </c>
    </row>
    <row r="71" spans="1:7" x14ac:dyDescent="0.25">
      <c r="A71" s="218">
        <v>52</v>
      </c>
      <c r="B71" s="265">
        <f t="shared" si="6"/>
        <v>1106.5403817914832</v>
      </c>
      <c r="C71" s="265">
        <f t="shared" si="7"/>
        <v>57540.099853157131</v>
      </c>
      <c r="D71" s="218">
        <f t="shared" si="8"/>
        <v>13016.578560939795</v>
      </c>
      <c r="E71" s="218">
        <f t="shared" si="9"/>
        <v>298.59030837004406</v>
      </c>
      <c r="F71" s="218">
        <f t="shared" si="10"/>
        <v>28543.274596182084</v>
      </c>
      <c r="G71" s="218">
        <f t="shared" si="11"/>
        <v>28996.825256975048</v>
      </c>
    </row>
    <row r="72" spans="1:7" x14ac:dyDescent="0.25">
      <c r="A72" s="218">
        <v>53</v>
      </c>
      <c r="B72" s="265">
        <f t="shared" si="6"/>
        <v>1089.5095447870779</v>
      </c>
      <c r="C72" s="265">
        <f t="shared" si="7"/>
        <v>57744.005873715127</v>
      </c>
      <c r="D72" s="218">
        <f t="shared" si="8"/>
        <v>13016.578560939795</v>
      </c>
      <c r="E72" s="218">
        <f t="shared" si="9"/>
        <v>298.59030837004406</v>
      </c>
      <c r="F72" s="218">
        <f t="shared" si="10"/>
        <v>28841.864904552131</v>
      </c>
      <c r="G72" s="218">
        <f t="shared" si="11"/>
        <v>28902.140969162996</v>
      </c>
    </row>
    <row r="73" spans="1:7" x14ac:dyDescent="0.25">
      <c r="A73" s="218">
        <v>54</v>
      </c>
      <c r="B73" s="265">
        <f t="shared" si="6"/>
        <v>1072.4787077826727</v>
      </c>
      <c r="C73" s="265">
        <f t="shared" si="7"/>
        <v>57913.850220264329</v>
      </c>
      <c r="D73" s="218">
        <f t="shared" si="8"/>
        <v>13016.578560939795</v>
      </c>
      <c r="E73" s="218">
        <f t="shared" si="9"/>
        <v>298.59030837004406</v>
      </c>
      <c r="F73" s="218">
        <f t="shared" si="10"/>
        <v>29140.455212922174</v>
      </c>
      <c r="G73" s="218">
        <f t="shared" si="11"/>
        <v>28773.395007342155</v>
      </c>
    </row>
    <row r="74" spans="1:7" x14ac:dyDescent="0.25">
      <c r="A74" s="218">
        <v>55</v>
      </c>
      <c r="B74" s="265">
        <f t="shared" si="6"/>
        <v>1055.4478707782673</v>
      </c>
      <c r="C74" s="265">
        <f t="shared" si="7"/>
        <v>58049.632892804701</v>
      </c>
      <c r="D74" s="218">
        <f t="shared" si="8"/>
        <v>13016.578560939795</v>
      </c>
      <c r="E74" s="218">
        <f t="shared" si="9"/>
        <v>298.59030837004406</v>
      </c>
      <c r="F74" s="218">
        <f t="shared" si="10"/>
        <v>29439.045521292217</v>
      </c>
      <c r="G74" s="218">
        <f t="shared" si="11"/>
        <v>28610.587371512484</v>
      </c>
    </row>
    <row r="75" spans="1:7" x14ac:dyDescent="0.25">
      <c r="A75" s="218">
        <v>56</v>
      </c>
      <c r="B75" s="265">
        <f t="shared" si="6"/>
        <v>1038.4170337738619</v>
      </c>
      <c r="C75" s="265">
        <f t="shared" si="7"/>
        <v>58151.353891336272</v>
      </c>
      <c r="D75" s="218">
        <f t="shared" si="8"/>
        <v>13016.578560939795</v>
      </c>
      <c r="E75" s="218">
        <f t="shared" si="9"/>
        <v>298.59030837004406</v>
      </c>
      <c r="F75" s="218">
        <f t="shared" si="10"/>
        <v>29737.635829662264</v>
      </c>
      <c r="G75" s="218">
        <f t="shared" si="11"/>
        <v>28413.718061674008</v>
      </c>
    </row>
    <row r="76" spans="1:7" x14ac:dyDescent="0.25">
      <c r="A76" s="218">
        <v>57</v>
      </c>
      <c r="B76" s="265">
        <f t="shared" si="6"/>
        <v>1021.3861967694568</v>
      </c>
      <c r="C76" s="265">
        <f t="shared" si="7"/>
        <v>58219.013215859035</v>
      </c>
      <c r="D76" s="218">
        <f t="shared" si="8"/>
        <v>13016.578560939795</v>
      </c>
      <c r="E76" s="218">
        <f t="shared" si="9"/>
        <v>298.59030837004406</v>
      </c>
      <c r="F76" s="218">
        <f t="shared" si="10"/>
        <v>30036.226138032303</v>
      </c>
      <c r="G76" s="218">
        <f t="shared" si="11"/>
        <v>28182.787077826732</v>
      </c>
    </row>
    <row r="77" spans="1:7" x14ac:dyDescent="0.25">
      <c r="A77" s="218">
        <v>58</v>
      </c>
      <c r="B77" s="265">
        <f t="shared" si="6"/>
        <v>1004.3553597650515</v>
      </c>
      <c r="C77" s="265">
        <f t="shared" si="7"/>
        <v>58252.61086637299</v>
      </c>
      <c r="D77" s="218">
        <f t="shared" si="8"/>
        <v>13016.578560939795</v>
      </c>
      <c r="E77" s="218">
        <f t="shared" si="9"/>
        <v>298.59030837004406</v>
      </c>
      <c r="F77" s="218">
        <f t="shared" si="10"/>
        <v>30334.81644640235</v>
      </c>
      <c r="G77" s="218">
        <f t="shared" si="11"/>
        <v>27917.79441997064</v>
      </c>
    </row>
    <row r="78" spans="1:7" x14ac:dyDescent="0.25">
      <c r="A78" s="218">
        <v>59</v>
      </c>
      <c r="B78" s="265">
        <f t="shared" si="6"/>
        <v>987.32452276064623</v>
      </c>
      <c r="C78" s="265">
        <f t="shared" si="7"/>
        <v>58252.14684287813</v>
      </c>
      <c r="D78" s="218">
        <f t="shared" si="8"/>
        <v>13016.578560939795</v>
      </c>
      <c r="E78" s="218">
        <f t="shared" si="9"/>
        <v>298.59030837004406</v>
      </c>
      <c r="F78" s="218">
        <f t="shared" si="10"/>
        <v>30633.406754772397</v>
      </c>
      <c r="G78" s="218">
        <f t="shared" si="11"/>
        <v>27618.740088105733</v>
      </c>
    </row>
    <row r="79" spans="1:7" x14ac:dyDescent="0.25">
      <c r="A79" s="218">
        <v>60</v>
      </c>
      <c r="B79" s="265">
        <f t="shared" si="6"/>
        <v>970.29368575624085</v>
      </c>
      <c r="C79" s="265">
        <f t="shared" si="7"/>
        <v>58217.621145374447</v>
      </c>
      <c r="D79" s="218">
        <f t="shared" si="8"/>
        <v>13016.578560939795</v>
      </c>
      <c r="E79" s="218">
        <f t="shared" si="9"/>
        <v>298.59030837004406</v>
      </c>
      <c r="F79" s="218">
        <f t="shared" si="10"/>
        <v>30931.997063142437</v>
      </c>
      <c r="G79" s="218">
        <f t="shared" si="11"/>
        <v>27285.624082232011</v>
      </c>
    </row>
    <row r="80" spans="1:7" x14ac:dyDescent="0.25">
      <c r="A80" s="218">
        <v>61</v>
      </c>
      <c r="B80" s="265">
        <f t="shared" si="6"/>
        <v>953.26284875183569</v>
      </c>
      <c r="C80" s="265">
        <f t="shared" si="7"/>
        <v>58149.033773861978</v>
      </c>
      <c r="D80" s="218">
        <f t="shared" si="8"/>
        <v>13016.578560939795</v>
      </c>
      <c r="E80" s="218">
        <f t="shared" si="9"/>
        <v>298.59030837004406</v>
      </c>
      <c r="F80" s="218">
        <f t="shared" si="10"/>
        <v>31230.587371512484</v>
      </c>
      <c r="G80" s="218">
        <f t="shared" si="11"/>
        <v>26918.446402349495</v>
      </c>
    </row>
    <row r="81" spans="1:7" x14ac:dyDescent="0.25">
      <c r="A81" s="218">
        <v>62</v>
      </c>
      <c r="B81" s="265">
        <f t="shared" si="6"/>
        <v>936.23201174743031</v>
      </c>
      <c r="C81" s="265">
        <f t="shared" si="7"/>
        <v>58046.384728340679</v>
      </c>
      <c r="D81" s="218">
        <f t="shared" si="8"/>
        <v>13016.578560939795</v>
      </c>
      <c r="E81" s="218">
        <f t="shared" si="9"/>
        <v>298.59030837004406</v>
      </c>
      <c r="F81" s="218">
        <f t="shared" si="10"/>
        <v>31529.17767988253</v>
      </c>
      <c r="G81" s="218">
        <f t="shared" si="11"/>
        <v>26517.207048458149</v>
      </c>
    </row>
    <row r="82" spans="1:7" x14ac:dyDescent="0.25">
      <c r="A82" s="218">
        <v>63</v>
      </c>
      <c r="B82" s="265">
        <f t="shared" si="6"/>
        <v>919.20117474302515</v>
      </c>
      <c r="C82" s="265">
        <f t="shared" si="7"/>
        <v>57909.674008810587</v>
      </c>
      <c r="D82" s="218">
        <f t="shared" si="8"/>
        <v>13016.578560939795</v>
      </c>
      <c r="E82" s="218">
        <f t="shared" si="9"/>
        <v>298.59030837004406</v>
      </c>
      <c r="F82" s="218">
        <f t="shared" si="10"/>
        <v>31827.76798825257</v>
      </c>
      <c r="G82" s="218">
        <f t="shared" si="11"/>
        <v>26081.906020558017</v>
      </c>
    </row>
    <row r="83" spans="1:7" x14ac:dyDescent="0.25">
      <c r="A83" s="218">
        <v>64</v>
      </c>
      <c r="B83" s="265">
        <f t="shared" ref="B83:B114" si="12">$E$3+$E$4*A83</f>
        <v>902.17033773861976</v>
      </c>
      <c r="C83" s="265">
        <f t="shared" ref="C83:C114" si="13">A83*B83</f>
        <v>57738.901615271665</v>
      </c>
      <c r="D83" s="218">
        <f t="shared" ref="D83:D114" si="14">$F$3</f>
        <v>13016.578560939795</v>
      </c>
      <c r="E83" s="218">
        <f t="shared" ref="E83:E114" si="15">$F$4</f>
        <v>298.59030837004406</v>
      </c>
      <c r="F83" s="218">
        <f t="shared" ref="F83:F114" si="16">D83+E83*A83</f>
        <v>32126.358296622617</v>
      </c>
      <c r="G83" s="218">
        <f t="shared" ref="G83:G114" si="17">C83-F83</f>
        <v>25612.543318649048</v>
      </c>
    </row>
    <row r="84" spans="1:7" x14ac:dyDescent="0.25">
      <c r="A84" s="218">
        <v>65</v>
      </c>
      <c r="B84" s="265">
        <f t="shared" si="12"/>
        <v>885.13950073421438</v>
      </c>
      <c r="C84" s="265">
        <f t="shared" si="13"/>
        <v>57534.067547723935</v>
      </c>
      <c r="D84" s="218">
        <f t="shared" si="14"/>
        <v>13016.578560939795</v>
      </c>
      <c r="E84" s="218">
        <f t="shared" si="15"/>
        <v>298.59030837004406</v>
      </c>
      <c r="F84" s="218">
        <f t="shared" si="16"/>
        <v>32424.948604992656</v>
      </c>
      <c r="G84" s="218">
        <f t="shared" si="17"/>
        <v>25109.118942731278</v>
      </c>
    </row>
    <row r="85" spans="1:7" x14ac:dyDescent="0.25">
      <c r="A85" s="218">
        <v>66</v>
      </c>
      <c r="B85" s="265">
        <f t="shared" si="12"/>
        <v>868.10866372980922</v>
      </c>
      <c r="C85" s="265">
        <f t="shared" si="13"/>
        <v>57295.171806167411</v>
      </c>
      <c r="D85" s="218">
        <f t="shared" si="14"/>
        <v>13016.578560939795</v>
      </c>
      <c r="E85" s="218">
        <f t="shared" si="15"/>
        <v>298.59030837004406</v>
      </c>
      <c r="F85" s="218">
        <f t="shared" si="16"/>
        <v>32723.538913362703</v>
      </c>
      <c r="G85" s="218">
        <f t="shared" si="17"/>
        <v>24571.632892804708</v>
      </c>
    </row>
    <row r="86" spans="1:7" x14ac:dyDescent="0.25">
      <c r="A86" s="218">
        <v>67</v>
      </c>
      <c r="B86" s="265">
        <f t="shared" si="12"/>
        <v>851.07782672540384</v>
      </c>
      <c r="C86" s="265">
        <f t="shared" si="13"/>
        <v>57022.214390602057</v>
      </c>
      <c r="D86" s="218">
        <f t="shared" si="14"/>
        <v>13016.578560939795</v>
      </c>
      <c r="E86" s="218">
        <f t="shared" si="15"/>
        <v>298.59030837004406</v>
      </c>
      <c r="F86" s="218">
        <f t="shared" si="16"/>
        <v>33022.12922173275</v>
      </c>
      <c r="G86" s="218">
        <f t="shared" si="17"/>
        <v>24000.085168869307</v>
      </c>
    </row>
    <row r="87" spans="1:7" x14ac:dyDescent="0.25">
      <c r="A87" s="218">
        <v>68</v>
      </c>
      <c r="B87" s="265">
        <f t="shared" si="12"/>
        <v>834.04698972099868</v>
      </c>
      <c r="C87" s="265">
        <f t="shared" si="13"/>
        <v>56715.19530102791</v>
      </c>
      <c r="D87" s="218">
        <f t="shared" si="14"/>
        <v>13016.578560939795</v>
      </c>
      <c r="E87" s="218">
        <f t="shared" si="15"/>
        <v>298.59030837004406</v>
      </c>
      <c r="F87" s="218">
        <f t="shared" si="16"/>
        <v>33320.71953010279</v>
      </c>
      <c r="G87" s="218">
        <f t="shared" si="17"/>
        <v>23394.475770925121</v>
      </c>
    </row>
    <row r="88" spans="1:7" x14ac:dyDescent="0.25">
      <c r="A88" s="218">
        <v>69</v>
      </c>
      <c r="B88" s="265">
        <f t="shared" si="12"/>
        <v>817.0161527165933</v>
      </c>
      <c r="C88" s="265">
        <f t="shared" si="13"/>
        <v>56374.114537444941</v>
      </c>
      <c r="D88" s="218">
        <f t="shared" si="14"/>
        <v>13016.578560939795</v>
      </c>
      <c r="E88" s="218">
        <f t="shared" si="15"/>
        <v>298.59030837004406</v>
      </c>
      <c r="F88" s="218">
        <f t="shared" si="16"/>
        <v>33619.309838472836</v>
      </c>
      <c r="G88" s="218">
        <f t="shared" si="17"/>
        <v>22754.804698972104</v>
      </c>
    </row>
    <row r="89" spans="1:7" x14ac:dyDescent="0.25">
      <c r="A89" s="218">
        <v>70</v>
      </c>
      <c r="B89" s="265">
        <f t="shared" si="12"/>
        <v>799.98531571218814</v>
      </c>
      <c r="C89" s="265">
        <f t="shared" si="13"/>
        <v>55998.97209985317</v>
      </c>
      <c r="D89" s="218">
        <f t="shared" si="14"/>
        <v>13016.578560939795</v>
      </c>
      <c r="E89" s="218">
        <f t="shared" si="15"/>
        <v>298.59030837004406</v>
      </c>
      <c r="F89" s="218">
        <f t="shared" si="16"/>
        <v>33917.900146842876</v>
      </c>
      <c r="G89" s="218">
        <f t="shared" si="17"/>
        <v>22081.071953010294</v>
      </c>
    </row>
    <row r="90" spans="1:7" x14ac:dyDescent="0.25">
      <c r="A90" s="218">
        <v>71</v>
      </c>
      <c r="B90" s="265">
        <f t="shared" si="12"/>
        <v>782.95447870778276</v>
      </c>
      <c r="C90" s="265">
        <f t="shared" si="13"/>
        <v>55589.767988252577</v>
      </c>
      <c r="D90" s="218">
        <f t="shared" si="14"/>
        <v>13016.578560939795</v>
      </c>
      <c r="E90" s="218">
        <f t="shared" si="15"/>
        <v>298.59030837004406</v>
      </c>
      <c r="F90" s="218">
        <f t="shared" si="16"/>
        <v>34216.490455212923</v>
      </c>
      <c r="G90" s="218">
        <f t="shared" si="17"/>
        <v>21373.277533039654</v>
      </c>
    </row>
    <row r="91" spans="1:7" x14ac:dyDescent="0.25">
      <c r="A91" s="218">
        <v>72</v>
      </c>
      <c r="B91" s="265">
        <f t="shared" si="12"/>
        <v>765.9236417033776</v>
      </c>
      <c r="C91" s="265">
        <f t="shared" si="13"/>
        <v>55146.502202643183</v>
      </c>
      <c r="D91" s="218">
        <f t="shared" si="14"/>
        <v>13016.578560939795</v>
      </c>
      <c r="E91" s="218">
        <f t="shared" si="15"/>
        <v>298.59030837004406</v>
      </c>
      <c r="F91" s="218">
        <f t="shared" si="16"/>
        <v>34515.08076358297</v>
      </c>
      <c r="G91" s="218">
        <f t="shared" si="17"/>
        <v>20631.421439060214</v>
      </c>
    </row>
    <row r="92" spans="1:7" x14ac:dyDescent="0.25">
      <c r="A92" s="218">
        <v>73</v>
      </c>
      <c r="B92" s="265">
        <f t="shared" si="12"/>
        <v>748.89280469897221</v>
      </c>
      <c r="C92" s="265">
        <f t="shared" si="13"/>
        <v>54669.174743024974</v>
      </c>
      <c r="D92" s="218">
        <f t="shared" si="14"/>
        <v>13016.578560939795</v>
      </c>
      <c r="E92" s="218">
        <f t="shared" si="15"/>
        <v>298.59030837004406</v>
      </c>
      <c r="F92" s="218">
        <f t="shared" si="16"/>
        <v>34813.671071953009</v>
      </c>
      <c r="G92" s="218">
        <f t="shared" si="17"/>
        <v>19855.503671071965</v>
      </c>
    </row>
    <row r="93" spans="1:7" x14ac:dyDescent="0.25">
      <c r="A93" s="218">
        <v>74</v>
      </c>
      <c r="B93" s="265">
        <f t="shared" si="12"/>
        <v>731.86196769456683</v>
      </c>
      <c r="C93" s="265">
        <f t="shared" si="13"/>
        <v>54157.785609397943</v>
      </c>
      <c r="D93" s="218">
        <f t="shared" si="14"/>
        <v>13016.578560939795</v>
      </c>
      <c r="E93" s="218">
        <f t="shared" si="15"/>
        <v>298.59030837004406</v>
      </c>
      <c r="F93" s="218">
        <f t="shared" si="16"/>
        <v>35112.261380323056</v>
      </c>
      <c r="G93" s="218">
        <f t="shared" si="17"/>
        <v>19045.524229074887</v>
      </c>
    </row>
    <row r="94" spans="1:7" x14ac:dyDescent="0.25">
      <c r="A94" s="218">
        <v>75</v>
      </c>
      <c r="B94" s="265">
        <f t="shared" si="12"/>
        <v>714.83113069016167</v>
      </c>
      <c r="C94" s="265">
        <f t="shared" si="13"/>
        <v>53612.334801762125</v>
      </c>
      <c r="D94" s="218">
        <f t="shared" si="14"/>
        <v>13016.578560939795</v>
      </c>
      <c r="E94" s="218">
        <f t="shared" si="15"/>
        <v>298.59030837004406</v>
      </c>
      <c r="F94" s="218">
        <f t="shared" si="16"/>
        <v>35410.851688693103</v>
      </c>
      <c r="G94" s="218">
        <f t="shared" si="17"/>
        <v>18201.483113069022</v>
      </c>
    </row>
    <row r="95" spans="1:7" x14ac:dyDescent="0.25">
      <c r="A95" s="218">
        <v>76</v>
      </c>
      <c r="B95" s="265">
        <f t="shared" si="12"/>
        <v>697.80029368575629</v>
      </c>
      <c r="C95" s="265">
        <f t="shared" si="13"/>
        <v>53032.822320117477</v>
      </c>
      <c r="D95" s="218">
        <f t="shared" si="14"/>
        <v>13016.578560939795</v>
      </c>
      <c r="E95" s="218">
        <f t="shared" si="15"/>
        <v>298.59030837004406</v>
      </c>
      <c r="F95" s="218">
        <f t="shared" si="16"/>
        <v>35709.441997063142</v>
      </c>
      <c r="G95" s="218">
        <f t="shared" si="17"/>
        <v>17323.380323054334</v>
      </c>
    </row>
    <row r="96" spans="1:7" x14ac:dyDescent="0.25">
      <c r="A96" s="218">
        <v>77</v>
      </c>
      <c r="B96" s="265">
        <f t="shared" si="12"/>
        <v>680.76945668135113</v>
      </c>
      <c r="C96" s="265">
        <f t="shared" si="13"/>
        <v>52419.248164464036</v>
      </c>
      <c r="D96" s="218">
        <f t="shared" si="14"/>
        <v>13016.578560939795</v>
      </c>
      <c r="E96" s="218">
        <f t="shared" si="15"/>
        <v>298.59030837004406</v>
      </c>
      <c r="F96" s="218">
        <f t="shared" si="16"/>
        <v>36008.032305433189</v>
      </c>
      <c r="G96" s="218">
        <f t="shared" si="17"/>
        <v>16411.215859030846</v>
      </c>
    </row>
    <row r="97" spans="1:7" x14ac:dyDescent="0.25">
      <c r="A97" s="218">
        <v>78</v>
      </c>
      <c r="B97" s="265">
        <f t="shared" si="12"/>
        <v>663.73861967694575</v>
      </c>
      <c r="C97" s="265">
        <f t="shared" si="13"/>
        <v>51771.612334801772</v>
      </c>
      <c r="D97" s="218">
        <f t="shared" si="14"/>
        <v>13016.578560939795</v>
      </c>
      <c r="E97" s="218">
        <f t="shared" si="15"/>
        <v>298.59030837004406</v>
      </c>
      <c r="F97" s="218">
        <f t="shared" si="16"/>
        <v>36306.622613803229</v>
      </c>
      <c r="G97" s="218">
        <f t="shared" si="17"/>
        <v>15464.989720998543</v>
      </c>
    </row>
    <row r="98" spans="1:7" x14ac:dyDescent="0.25">
      <c r="A98" s="218">
        <v>79</v>
      </c>
      <c r="B98" s="265">
        <f t="shared" si="12"/>
        <v>646.70778267254059</v>
      </c>
      <c r="C98" s="265">
        <f t="shared" si="13"/>
        <v>51089.914831130707</v>
      </c>
      <c r="D98" s="218">
        <f t="shared" si="14"/>
        <v>13016.578560939795</v>
      </c>
      <c r="E98" s="218">
        <f t="shared" si="15"/>
        <v>298.59030837004406</v>
      </c>
      <c r="F98" s="218">
        <f t="shared" si="16"/>
        <v>36605.212922173276</v>
      </c>
      <c r="G98" s="218">
        <f t="shared" si="17"/>
        <v>14484.701908957431</v>
      </c>
    </row>
    <row r="99" spans="1:7" x14ac:dyDescent="0.25">
      <c r="A99" s="218">
        <v>80</v>
      </c>
      <c r="B99" s="265">
        <f t="shared" si="12"/>
        <v>629.6769456681352</v>
      </c>
      <c r="C99" s="265">
        <f t="shared" si="13"/>
        <v>50374.155653450813</v>
      </c>
      <c r="D99" s="218">
        <f t="shared" si="14"/>
        <v>13016.578560939795</v>
      </c>
      <c r="E99" s="218">
        <f t="shared" si="15"/>
        <v>298.59030837004406</v>
      </c>
      <c r="F99" s="218">
        <f t="shared" si="16"/>
        <v>36903.803230543323</v>
      </c>
      <c r="G99" s="218">
        <f t="shared" si="17"/>
        <v>13470.35242290749</v>
      </c>
    </row>
    <row r="100" spans="1:7" x14ac:dyDescent="0.25">
      <c r="A100" s="218">
        <v>81</v>
      </c>
      <c r="B100" s="265">
        <f t="shared" si="12"/>
        <v>612.64610866372982</v>
      </c>
      <c r="C100" s="265">
        <f t="shared" si="13"/>
        <v>49624.334801762117</v>
      </c>
      <c r="D100" s="218">
        <f t="shared" si="14"/>
        <v>13016.578560939795</v>
      </c>
      <c r="E100" s="218">
        <f t="shared" si="15"/>
        <v>298.59030837004406</v>
      </c>
      <c r="F100" s="218">
        <f t="shared" si="16"/>
        <v>37202.393538913362</v>
      </c>
      <c r="G100" s="218">
        <f t="shared" si="17"/>
        <v>12421.941262848755</v>
      </c>
    </row>
    <row r="101" spans="1:7" x14ac:dyDescent="0.25">
      <c r="A101" s="218">
        <v>82</v>
      </c>
      <c r="B101" s="265">
        <f t="shared" si="12"/>
        <v>595.61527165932466</v>
      </c>
      <c r="C101" s="265">
        <f t="shared" si="13"/>
        <v>48840.452276064621</v>
      </c>
      <c r="D101" s="218">
        <f t="shared" si="14"/>
        <v>13016.578560939795</v>
      </c>
      <c r="E101" s="218">
        <f t="shared" si="15"/>
        <v>298.59030837004406</v>
      </c>
      <c r="F101" s="218">
        <f t="shared" si="16"/>
        <v>37500.983847283409</v>
      </c>
      <c r="G101" s="218">
        <f t="shared" si="17"/>
        <v>11339.468428781212</v>
      </c>
    </row>
    <row r="102" spans="1:7" x14ac:dyDescent="0.25">
      <c r="A102" s="218">
        <v>83</v>
      </c>
      <c r="B102" s="265">
        <f t="shared" si="12"/>
        <v>578.58443465491928</v>
      </c>
      <c r="C102" s="265">
        <f t="shared" si="13"/>
        <v>48022.508076358303</v>
      </c>
      <c r="D102" s="218">
        <f t="shared" si="14"/>
        <v>13016.578560939795</v>
      </c>
      <c r="E102" s="218">
        <f t="shared" si="15"/>
        <v>298.59030837004406</v>
      </c>
      <c r="F102" s="218">
        <f t="shared" si="16"/>
        <v>37799.574155653449</v>
      </c>
      <c r="G102" s="218">
        <f t="shared" si="17"/>
        <v>10222.933920704854</v>
      </c>
    </row>
    <row r="103" spans="1:7" x14ac:dyDescent="0.25">
      <c r="A103" s="218">
        <v>84</v>
      </c>
      <c r="B103" s="265">
        <f t="shared" si="12"/>
        <v>561.55359765051412</v>
      </c>
      <c r="C103" s="265">
        <f t="shared" si="13"/>
        <v>47170.502202643183</v>
      </c>
      <c r="D103" s="218">
        <f t="shared" si="14"/>
        <v>13016.578560939795</v>
      </c>
      <c r="E103" s="218">
        <f t="shared" si="15"/>
        <v>298.59030837004406</v>
      </c>
      <c r="F103" s="218">
        <f t="shared" si="16"/>
        <v>38098.164464023495</v>
      </c>
      <c r="G103" s="218">
        <f t="shared" si="17"/>
        <v>9072.337738619688</v>
      </c>
    </row>
    <row r="104" spans="1:7" x14ac:dyDescent="0.25">
      <c r="A104" s="218">
        <v>85</v>
      </c>
      <c r="B104" s="265">
        <f t="shared" si="12"/>
        <v>544.52276064610874</v>
      </c>
      <c r="C104" s="265">
        <f t="shared" si="13"/>
        <v>46284.434654919241</v>
      </c>
      <c r="D104" s="218">
        <f t="shared" si="14"/>
        <v>13016.578560939795</v>
      </c>
      <c r="E104" s="218">
        <f t="shared" si="15"/>
        <v>298.59030837004406</v>
      </c>
      <c r="F104" s="218">
        <f t="shared" si="16"/>
        <v>38396.754772393542</v>
      </c>
      <c r="G104" s="218">
        <f t="shared" si="17"/>
        <v>7887.6798825256992</v>
      </c>
    </row>
    <row r="105" spans="1:7" x14ac:dyDescent="0.25">
      <c r="A105" s="218">
        <v>86</v>
      </c>
      <c r="B105" s="265">
        <f t="shared" si="12"/>
        <v>527.49192364170358</v>
      </c>
      <c r="C105" s="265">
        <f t="shared" si="13"/>
        <v>45364.305433186506</v>
      </c>
      <c r="D105" s="218">
        <f t="shared" si="14"/>
        <v>13016.578560939795</v>
      </c>
      <c r="E105" s="218">
        <f t="shared" si="15"/>
        <v>298.59030837004406</v>
      </c>
      <c r="F105" s="218">
        <f t="shared" si="16"/>
        <v>38695.345080763582</v>
      </c>
      <c r="G105" s="218">
        <f t="shared" si="17"/>
        <v>6668.9603524229242</v>
      </c>
    </row>
    <row r="106" spans="1:7" x14ac:dyDescent="0.25">
      <c r="A106" s="218">
        <v>87</v>
      </c>
      <c r="B106" s="265">
        <f t="shared" si="12"/>
        <v>510.46108663729819</v>
      </c>
      <c r="C106" s="265">
        <f t="shared" si="13"/>
        <v>44410.114537444941</v>
      </c>
      <c r="D106" s="218">
        <f t="shared" si="14"/>
        <v>13016.578560939795</v>
      </c>
      <c r="E106" s="218">
        <f t="shared" si="15"/>
        <v>298.59030837004406</v>
      </c>
      <c r="F106" s="218">
        <f t="shared" si="16"/>
        <v>38993.935389133629</v>
      </c>
      <c r="G106" s="218">
        <f t="shared" si="17"/>
        <v>5416.179148311312</v>
      </c>
    </row>
    <row r="107" spans="1:7" x14ac:dyDescent="0.25">
      <c r="A107" s="218">
        <v>88</v>
      </c>
      <c r="B107" s="265">
        <f t="shared" si="12"/>
        <v>493.43024963289281</v>
      </c>
      <c r="C107" s="265">
        <f t="shared" si="13"/>
        <v>43421.861967694567</v>
      </c>
      <c r="D107" s="218">
        <f t="shared" si="14"/>
        <v>13016.578560939795</v>
      </c>
      <c r="E107" s="218">
        <f t="shared" si="15"/>
        <v>298.59030837004406</v>
      </c>
      <c r="F107" s="218">
        <f t="shared" si="16"/>
        <v>39292.525697503675</v>
      </c>
      <c r="G107" s="218">
        <f t="shared" si="17"/>
        <v>4129.3362701908918</v>
      </c>
    </row>
    <row r="108" spans="1:7" x14ac:dyDescent="0.25">
      <c r="A108" s="218">
        <v>89</v>
      </c>
      <c r="B108" s="265">
        <f t="shared" si="12"/>
        <v>476.39941262848765</v>
      </c>
      <c r="C108" s="265">
        <f t="shared" si="13"/>
        <v>42399.5477239354</v>
      </c>
      <c r="D108" s="218">
        <f t="shared" si="14"/>
        <v>13016.578560939795</v>
      </c>
      <c r="E108" s="218">
        <f t="shared" si="15"/>
        <v>298.59030837004406</v>
      </c>
      <c r="F108" s="218">
        <f t="shared" si="16"/>
        <v>39591.116005873715</v>
      </c>
      <c r="G108" s="218">
        <f t="shared" si="17"/>
        <v>2808.4317180616854</v>
      </c>
    </row>
    <row r="109" spans="1:7" x14ac:dyDescent="0.25">
      <c r="A109" s="218">
        <v>90</v>
      </c>
      <c r="B109" s="265">
        <f t="shared" si="12"/>
        <v>459.36857562408227</v>
      </c>
      <c r="C109" s="265">
        <f t="shared" si="13"/>
        <v>41343.171806167404</v>
      </c>
      <c r="D109" s="218">
        <f t="shared" si="14"/>
        <v>13016.578560939795</v>
      </c>
      <c r="E109" s="218">
        <f t="shared" si="15"/>
        <v>298.59030837004406</v>
      </c>
      <c r="F109" s="218">
        <f t="shared" si="16"/>
        <v>39889.706314243762</v>
      </c>
      <c r="G109" s="218">
        <f t="shared" si="17"/>
        <v>1453.4654919236418</v>
      </c>
    </row>
    <row r="110" spans="1:7" x14ac:dyDescent="0.25">
      <c r="A110" s="218">
        <v>91</v>
      </c>
      <c r="B110" s="265">
        <f t="shared" si="12"/>
        <v>442.33773861967711</v>
      </c>
      <c r="C110" s="265">
        <f t="shared" si="13"/>
        <v>40252.734214390613</v>
      </c>
      <c r="D110" s="218">
        <f t="shared" si="14"/>
        <v>13016.578560939795</v>
      </c>
      <c r="E110" s="218">
        <f t="shared" si="15"/>
        <v>298.59030837004406</v>
      </c>
      <c r="F110" s="218">
        <f t="shared" si="16"/>
        <v>40188.296622613801</v>
      </c>
      <c r="G110" s="218">
        <f t="shared" si="17"/>
        <v>64.437591776812042</v>
      </c>
    </row>
    <row r="111" spans="1:7" x14ac:dyDescent="0.25">
      <c r="A111" s="218">
        <v>92</v>
      </c>
      <c r="B111" s="265">
        <f t="shared" si="12"/>
        <v>425.30690161527173</v>
      </c>
      <c r="C111" s="265">
        <f t="shared" si="13"/>
        <v>39128.234948605001</v>
      </c>
      <c r="D111" s="218">
        <f t="shared" si="14"/>
        <v>13016.578560939795</v>
      </c>
      <c r="E111" s="218">
        <f t="shared" si="15"/>
        <v>298.59030837004406</v>
      </c>
      <c r="F111" s="218">
        <f t="shared" si="16"/>
        <v>40486.886930983848</v>
      </c>
      <c r="G111" s="218">
        <f t="shared" si="17"/>
        <v>-1358.6519823788476</v>
      </c>
    </row>
    <row r="112" spans="1:7" x14ac:dyDescent="0.25">
      <c r="A112" s="218">
        <v>93</v>
      </c>
      <c r="B112" s="265">
        <f t="shared" si="12"/>
        <v>408.27606461086657</v>
      </c>
      <c r="C112" s="265">
        <f t="shared" si="13"/>
        <v>37969.674008810594</v>
      </c>
      <c r="D112" s="218">
        <f t="shared" si="14"/>
        <v>13016.578560939795</v>
      </c>
      <c r="E112" s="218">
        <f t="shared" si="15"/>
        <v>298.59030837004406</v>
      </c>
      <c r="F112" s="218">
        <f t="shared" si="16"/>
        <v>40785.477239353895</v>
      </c>
      <c r="G112" s="218">
        <f t="shared" si="17"/>
        <v>-2815.8032305433007</v>
      </c>
    </row>
    <row r="113" spans="1:7" x14ac:dyDescent="0.25">
      <c r="A113" s="218">
        <v>94</v>
      </c>
      <c r="B113" s="265">
        <f t="shared" si="12"/>
        <v>391.24522760646119</v>
      </c>
      <c r="C113" s="265">
        <f t="shared" si="13"/>
        <v>36777.051395007351</v>
      </c>
      <c r="D113" s="218">
        <f t="shared" si="14"/>
        <v>13016.578560939795</v>
      </c>
      <c r="E113" s="218">
        <f t="shared" si="15"/>
        <v>298.59030837004406</v>
      </c>
      <c r="F113" s="218">
        <f t="shared" si="16"/>
        <v>41084.067547723935</v>
      </c>
      <c r="G113" s="218">
        <f t="shared" si="17"/>
        <v>-4307.0161527165837</v>
      </c>
    </row>
    <row r="114" spans="1:7" x14ac:dyDescent="0.25">
      <c r="A114" s="218">
        <v>95</v>
      </c>
      <c r="B114" s="265">
        <f t="shared" si="12"/>
        <v>374.21439060205603</v>
      </c>
      <c r="C114" s="265">
        <f t="shared" si="13"/>
        <v>35550.367107195321</v>
      </c>
      <c r="D114" s="218">
        <f t="shared" si="14"/>
        <v>13016.578560939795</v>
      </c>
      <c r="E114" s="218">
        <f t="shared" si="15"/>
        <v>298.59030837004406</v>
      </c>
      <c r="F114" s="218">
        <f t="shared" si="16"/>
        <v>41382.657856093982</v>
      </c>
      <c r="G114" s="218">
        <f t="shared" si="17"/>
        <v>-5832.2907488986602</v>
      </c>
    </row>
    <row r="115" spans="1:7" x14ac:dyDescent="0.25">
      <c r="A115" s="218">
        <v>96</v>
      </c>
      <c r="B115" s="265">
        <f t="shared" ref="B115:B139" si="18">$E$3+$E$4*A115</f>
        <v>357.18355359765064</v>
      </c>
      <c r="C115" s="265">
        <f t="shared" ref="C115:C139" si="19">A115*B115</f>
        <v>34289.621145374462</v>
      </c>
      <c r="D115" s="218">
        <f t="shared" ref="D115:D139" si="20">$F$3</f>
        <v>13016.578560939795</v>
      </c>
      <c r="E115" s="218">
        <f t="shared" ref="E115:E139" si="21">$F$4</f>
        <v>298.59030837004406</v>
      </c>
      <c r="F115" s="218">
        <f t="shared" ref="F115:F139" si="22">D115+E115*A115</f>
        <v>41681.248164464021</v>
      </c>
      <c r="G115" s="218">
        <f t="shared" ref="G115:G139" si="23">C115-F115</f>
        <v>-7391.6270190895593</v>
      </c>
    </row>
    <row r="116" spans="1:7" x14ac:dyDescent="0.25">
      <c r="A116" s="218">
        <v>97</v>
      </c>
      <c r="B116" s="265">
        <f t="shared" si="18"/>
        <v>340.15271659324526</v>
      </c>
      <c r="C116" s="265">
        <f t="shared" si="19"/>
        <v>32994.813509544787</v>
      </c>
      <c r="D116" s="218">
        <f t="shared" si="20"/>
        <v>13016.578560939795</v>
      </c>
      <c r="E116" s="218">
        <f t="shared" si="21"/>
        <v>298.59030837004406</v>
      </c>
      <c r="F116" s="218">
        <f t="shared" si="22"/>
        <v>41979.838472834068</v>
      </c>
      <c r="G116" s="218">
        <f t="shared" si="23"/>
        <v>-8985.024963289281</v>
      </c>
    </row>
    <row r="117" spans="1:7" x14ac:dyDescent="0.25">
      <c r="A117" s="218">
        <v>98</v>
      </c>
      <c r="B117" s="265">
        <f t="shared" si="18"/>
        <v>323.1218795888401</v>
      </c>
      <c r="C117" s="265">
        <f t="shared" si="19"/>
        <v>31665.94419970633</v>
      </c>
      <c r="D117" s="218">
        <f t="shared" si="20"/>
        <v>13016.578560939795</v>
      </c>
      <c r="E117" s="218">
        <f t="shared" si="21"/>
        <v>298.59030837004406</v>
      </c>
      <c r="F117" s="218">
        <f t="shared" si="22"/>
        <v>42278.428781204115</v>
      </c>
      <c r="G117" s="218">
        <f t="shared" si="23"/>
        <v>-10612.484581497785</v>
      </c>
    </row>
    <row r="118" spans="1:7" x14ac:dyDescent="0.25">
      <c r="A118" s="218">
        <v>99</v>
      </c>
      <c r="B118" s="265">
        <f t="shared" si="18"/>
        <v>306.09104258443472</v>
      </c>
      <c r="C118" s="265">
        <f t="shared" si="19"/>
        <v>30303.013215859039</v>
      </c>
      <c r="D118" s="218">
        <f t="shared" si="20"/>
        <v>13016.578560939795</v>
      </c>
      <c r="E118" s="218">
        <f t="shared" si="21"/>
        <v>298.59030837004406</v>
      </c>
      <c r="F118" s="218">
        <f t="shared" si="22"/>
        <v>42577.019089574154</v>
      </c>
      <c r="G118" s="218">
        <f t="shared" si="23"/>
        <v>-12274.005873715116</v>
      </c>
    </row>
    <row r="119" spans="1:7" x14ac:dyDescent="0.25">
      <c r="A119" s="218">
        <v>100</v>
      </c>
      <c r="B119" s="265">
        <f t="shared" si="18"/>
        <v>289.06020558002956</v>
      </c>
      <c r="C119" s="265">
        <f t="shared" si="19"/>
        <v>28906.020558002958</v>
      </c>
      <c r="D119" s="218">
        <f t="shared" si="20"/>
        <v>13016.578560939795</v>
      </c>
      <c r="E119" s="218">
        <f t="shared" si="21"/>
        <v>298.59030837004406</v>
      </c>
      <c r="F119" s="218">
        <f t="shared" si="22"/>
        <v>42875.609397944201</v>
      </c>
      <c r="G119" s="218">
        <f t="shared" si="23"/>
        <v>-13969.588839941243</v>
      </c>
    </row>
    <row r="120" spans="1:7" x14ac:dyDescent="0.25">
      <c r="A120" s="218">
        <v>101</v>
      </c>
      <c r="B120" s="265">
        <f t="shared" si="18"/>
        <v>272.02936857562418</v>
      </c>
      <c r="C120" s="265">
        <f t="shared" si="19"/>
        <v>27474.966226138044</v>
      </c>
      <c r="D120" s="218">
        <f t="shared" si="20"/>
        <v>13016.578560939795</v>
      </c>
      <c r="E120" s="218">
        <f t="shared" si="21"/>
        <v>298.59030837004406</v>
      </c>
      <c r="F120" s="218">
        <f t="shared" si="22"/>
        <v>43174.199706314248</v>
      </c>
      <c r="G120" s="218">
        <f t="shared" si="23"/>
        <v>-15699.233480176204</v>
      </c>
    </row>
    <row r="121" spans="1:7" x14ac:dyDescent="0.25">
      <c r="A121" s="218">
        <v>102</v>
      </c>
      <c r="B121" s="265">
        <f t="shared" si="18"/>
        <v>254.99853157121902</v>
      </c>
      <c r="C121" s="265">
        <f t="shared" si="19"/>
        <v>26009.850220264339</v>
      </c>
      <c r="D121" s="218">
        <f t="shared" si="20"/>
        <v>13016.578560939795</v>
      </c>
      <c r="E121" s="218">
        <f t="shared" si="21"/>
        <v>298.59030837004406</v>
      </c>
      <c r="F121" s="218">
        <f t="shared" si="22"/>
        <v>43472.790014684288</v>
      </c>
      <c r="G121" s="218">
        <f t="shared" si="23"/>
        <v>-17462.939794419948</v>
      </c>
    </row>
    <row r="122" spans="1:7" x14ac:dyDescent="0.25">
      <c r="A122" s="218">
        <v>103</v>
      </c>
      <c r="B122" s="265">
        <f t="shared" si="18"/>
        <v>237.96769456681363</v>
      </c>
      <c r="C122" s="265">
        <f t="shared" si="19"/>
        <v>24510.672540381805</v>
      </c>
      <c r="D122" s="218">
        <f t="shared" si="20"/>
        <v>13016.578560939795</v>
      </c>
      <c r="E122" s="218">
        <f t="shared" si="21"/>
        <v>298.59030837004406</v>
      </c>
      <c r="F122" s="218">
        <f t="shared" si="22"/>
        <v>43771.380323054334</v>
      </c>
      <c r="G122" s="218">
        <f t="shared" si="23"/>
        <v>-19260.707782672529</v>
      </c>
    </row>
    <row r="123" spans="1:7" x14ac:dyDescent="0.25">
      <c r="A123" s="218">
        <v>104</v>
      </c>
      <c r="B123" s="265">
        <f t="shared" si="18"/>
        <v>220.93685756240848</v>
      </c>
      <c r="C123" s="265">
        <f t="shared" si="19"/>
        <v>22977.433186490482</v>
      </c>
      <c r="D123" s="218">
        <f t="shared" si="20"/>
        <v>13016.578560939795</v>
      </c>
      <c r="E123" s="218">
        <f t="shared" si="21"/>
        <v>298.59030837004406</v>
      </c>
      <c r="F123" s="218">
        <f t="shared" si="22"/>
        <v>44069.970631424374</v>
      </c>
      <c r="G123" s="218">
        <f t="shared" si="23"/>
        <v>-21092.537444933892</v>
      </c>
    </row>
    <row r="124" spans="1:7" x14ac:dyDescent="0.25">
      <c r="A124" s="218">
        <v>105</v>
      </c>
      <c r="B124" s="265">
        <f t="shared" si="18"/>
        <v>203.90602055800309</v>
      </c>
      <c r="C124" s="265">
        <f t="shared" si="19"/>
        <v>21410.132158590324</v>
      </c>
      <c r="D124" s="218">
        <f t="shared" si="20"/>
        <v>13016.578560939795</v>
      </c>
      <c r="E124" s="218">
        <f t="shared" si="21"/>
        <v>298.59030837004406</v>
      </c>
      <c r="F124" s="218">
        <f t="shared" si="22"/>
        <v>44368.560939794421</v>
      </c>
      <c r="G124" s="218">
        <f t="shared" si="23"/>
        <v>-22958.428781204097</v>
      </c>
    </row>
    <row r="125" spans="1:7" x14ac:dyDescent="0.25">
      <c r="A125" s="218">
        <v>106</v>
      </c>
      <c r="B125" s="265">
        <f t="shared" si="18"/>
        <v>186.87518355359771</v>
      </c>
      <c r="C125" s="265">
        <f t="shared" si="19"/>
        <v>19808.769456681359</v>
      </c>
      <c r="D125" s="218">
        <f t="shared" si="20"/>
        <v>13016.578560939795</v>
      </c>
      <c r="E125" s="218">
        <f t="shared" si="21"/>
        <v>298.59030837004406</v>
      </c>
      <c r="F125" s="218">
        <f t="shared" si="22"/>
        <v>44667.151248164468</v>
      </c>
      <c r="G125" s="218">
        <f t="shared" si="23"/>
        <v>-24858.381791483109</v>
      </c>
    </row>
    <row r="126" spans="1:7" x14ac:dyDescent="0.25">
      <c r="A126" s="218">
        <v>107</v>
      </c>
      <c r="B126" s="265">
        <f t="shared" si="18"/>
        <v>169.84434654919255</v>
      </c>
      <c r="C126" s="265">
        <f t="shared" si="19"/>
        <v>18173.345080763604</v>
      </c>
      <c r="D126" s="218">
        <f t="shared" si="20"/>
        <v>13016.578560939795</v>
      </c>
      <c r="E126" s="218">
        <f t="shared" si="21"/>
        <v>298.59030837004406</v>
      </c>
      <c r="F126" s="218">
        <f t="shared" si="22"/>
        <v>44965.741556534507</v>
      </c>
      <c r="G126" s="218">
        <f t="shared" si="23"/>
        <v>-26792.396475770904</v>
      </c>
    </row>
    <row r="127" spans="1:7" x14ac:dyDescent="0.25">
      <c r="A127" s="218">
        <v>108</v>
      </c>
      <c r="B127" s="265">
        <f t="shared" si="18"/>
        <v>152.81350954478717</v>
      </c>
      <c r="C127" s="265">
        <f t="shared" si="19"/>
        <v>16503.859030837015</v>
      </c>
      <c r="D127" s="218">
        <f t="shared" si="20"/>
        <v>13016.578560939795</v>
      </c>
      <c r="E127" s="218">
        <f t="shared" si="21"/>
        <v>298.59030837004406</v>
      </c>
      <c r="F127" s="218">
        <f t="shared" si="22"/>
        <v>45264.331864904554</v>
      </c>
      <c r="G127" s="218">
        <f t="shared" si="23"/>
        <v>-28760.472834067539</v>
      </c>
    </row>
    <row r="128" spans="1:7" x14ac:dyDescent="0.25">
      <c r="A128" s="218">
        <v>109</v>
      </c>
      <c r="B128" s="265">
        <f t="shared" si="18"/>
        <v>135.78267254038201</v>
      </c>
      <c r="C128" s="265">
        <f t="shared" si="19"/>
        <v>14800.31130690164</v>
      </c>
      <c r="D128" s="218">
        <f t="shared" si="20"/>
        <v>13016.578560939795</v>
      </c>
      <c r="E128" s="218">
        <f t="shared" si="21"/>
        <v>298.59030837004406</v>
      </c>
      <c r="F128" s="218">
        <f t="shared" si="22"/>
        <v>45562.922173274601</v>
      </c>
      <c r="G128" s="218">
        <f t="shared" si="23"/>
        <v>-30762.610866372961</v>
      </c>
    </row>
    <row r="129" spans="1:7" x14ac:dyDescent="0.25">
      <c r="A129" s="218">
        <v>110</v>
      </c>
      <c r="B129" s="265">
        <f t="shared" si="18"/>
        <v>118.75183553597662</v>
      </c>
      <c r="C129" s="265">
        <f t="shared" si="19"/>
        <v>13062.701908957428</v>
      </c>
      <c r="D129" s="218">
        <f t="shared" si="20"/>
        <v>13016.578560939795</v>
      </c>
      <c r="E129" s="218">
        <f t="shared" si="21"/>
        <v>298.59030837004406</v>
      </c>
      <c r="F129" s="218">
        <f t="shared" si="22"/>
        <v>45861.512481644641</v>
      </c>
      <c r="G129" s="218">
        <f t="shared" si="23"/>
        <v>-32798.810572687216</v>
      </c>
    </row>
    <row r="130" spans="1:7" x14ac:dyDescent="0.25">
      <c r="A130" s="218">
        <v>111</v>
      </c>
      <c r="B130" s="265">
        <f t="shared" si="18"/>
        <v>101.72099853157147</v>
      </c>
      <c r="C130" s="265">
        <f t="shared" si="19"/>
        <v>11291.030837004433</v>
      </c>
      <c r="D130" s="218">
        <f t="shared" si="20"/>
        <v>13016.578560939795</v>
      </c>
      <c r="E130" s="218">
        <f t="shared" si="21"/>
        <v>298.59030837004406</v>
      </c>
      <c r="F130" s="218">
        <f t="shared" si="22"/>
        <v>46160.102790014687</v>
      </c>
      <c r="G130" s="218">
        <f t="shared" si="23"/>
        <v>-34869.071953010251</v>
      </c>
    </row>
    <row r="131" spans="1:7" x14ac:dyDescent="0.25">
      <c r="A131" s="218">
        <v>112</v>
      </c>
      <c r="B131" s="265">
        <f t="shared" si="18"/>
        <v>84.690161527166083</v>
      </c>
      <c r="C131" s="265">
        <f t="shared" si="19"/>
        <v>9485.2980910426013</v>
      </c>
      <c r="D131" s="218">
        <f t="shared" si="20"/>
        <v>13016.578560939795</v>
      </c>
      <c r="E131" s="218">
        <f t="shared" si="21"/>
        <v>298.59030837004406</v>
      </c>
      <c r="F131" s="218">
        <f t="shared" si="22"/>
        <v>46458.693098384727</v>
      </c>
      <c r="G131" s="218">
        <f t="shared" si="23"/>
        <v>-36973.395007342129</v>
      </c>
    </row>
    <row r="132" spans="1:7" x14ac:dyDescent="0.25">
      <c r="A132" s="218">
        <v>113</v>
      </c>
      <c r="B132" s="265">
        <f t="shared" si="18"/>
        <v>67.659324522760699</v>
      </c>
      <c r="C132" s="265">
        <f t="shared" si="19"/>
        <v>7645.5036710719587</v>
      </c>
      <c r="D132" s="218">
        <f t="shared" si="20"/>
        <v>13016.578560939795</v>
      </c>
      <c r="E132" s="218">
        <f t="shared" si="21"/>
        <v>298.59030837004406</v>
      </c>
      <c r="F132" s="218">
        <f t="shared" si="22"/>
        <v>46757.283406754774</v>
      </c>
      <c r="G132" s="218">
        <f t="shared" si="23"/>
        <v>-39111.779735682816</v>
      </c>
    </row>
    <row r="133" spans="1:7" x14ac:dyDescent="0.25">
      <c r="A133" s="218">
        <v>114</v>
      </c>
      <c r="B133" s="265">
        <f t="shared" si="18"/>
        <v>50.628487518355541</v>
      </c>
      <c r="C133" s="265">
        <f t="shared" si="19"/>
        <v>5771.6475770925317</v>
      </c>
      <c r="D133" s="218">
        <f t="shared" si="20"/>
        <v>13016.578560939795</v>
      </c>
      <c r="E133" s="218">
        <f t="shared" si="21"/>
        <v>298.59030837004406</v>
      </c>
      <c r="F133" s="218">
        <f t="shared" si="22"/>
        <v>47055.873715124813</v>
      </c>
      <c r="G133" s="218">
        <f t="shared" si="23"/>
        <v>-41284.226138032282</v>
      </c>
    </row>
    <row r="134" spans="1:7" x14ac:dyDescent="0.25">
      <c r="A134" s="218">
        <v>115</v>
      </c>
      <c r="B134" s="265">
        <f t="shared" si="18"/>
        <v>33.597650513950157</v>
      </c>
      <c r="C134" s="265">
        <f t="shared" si="19"/>
        <v>3863.729809104268</v>
      </c>
      <c r="D134" s="218">
        <f t="shared" si="20"/>
        <v>13016.578560939795</v>
      </c>
      <c r="E134" s="218">
        <f t="shared" si="21"/>
        <v>298.59030837004406</v>
      </c>
      <c r="F134" s="218">
        <f t="shared" si="22"/>
        <v>47354.46402349486</v>
      </c>
      <c r="G134" s="218">
        <f t="shared" si="23"/>
        <v>-43490.734214390592</v>
      </c>
    </row>
    <row r="135" spans="1:7" x14ac:dyDescent="0.25">
      <c r="A135" s="218">
        <v>116</v>
      </c>
      <c r="B135" s="265">
        <f t="shared" si="18"/>
        <v>16.566813509545</v>
      </c>
      <c r="C135" s="265">
        <f t="shared" si="19"/>
        <v>1921.75036710722</v>
      </c>
      <c r="D135" s="218">
        <f t="shared" si="20"/>
        <v>13016.578560939795</v>
      </c>
      <c r="E135" s="218">
        <f t="shared" si="21"/>
        <v>298.59030837004406</v>
      </c>
      <c r="F135" s="218">
        <f t="shared" si="22"/>
        <v>47653.054331864907</v>
      </c>
      <c r="G135" s="218">
        <f t="shared" si="23"/>
        <v>-45731.303964757688</v>
      </c>
    </row>
    <row r="136" spans="1:7" x14ac:dyDescent="0.25">
      <c r="A136" s="218">
        <v>117</v>
      </c>
      <c r="B136" s="265">
        <f t="shared" si="18"/>
        <v>-0.46402349486038474</v>
      </c>
      <c r="C136" s="265">
        <f t="shared" si="19"/>
        <v>-54.290748898665015</v>
      </c>
      <c r="D136" s="218">
        <f t="shared" si="20"/>
        <v>13016.578560939795</v>
      </c>
      <c r="E136" s="218">
        <f t="shared" si="21"/>
        <v>298.59030837004406</v>
      </c>
      <c r="F136" s="218">
        <f t="shared" si="22"/>
        <v>47951.644640234947</v>
      </c>
      <c r="G136" s="218">
        <f t="shared" si="23"/>
        <v>-48005.935389133614</v>
      </c>
    </row>
    <row r="137" spans="1:7" x14ac:dyDescent="0.25">
      <c r="A137" s="218">
        <v>118</v>
      </c>
      <c r="B137" s="265">
        <f t="shared" si="18"/>
        <v>-17.494860499265542</v>
      </c>
      <c r="C137" s="265">
        <f t="shared" si="19"/>
        <v>-2064.3935389133339</v>
      </c>
      <c r="D137" s="218">
        <f t="shared" si="20"/>
        <v>13016.578560939795</v>
      </c>
      <c r="E137" s="218">
        <f t="shared" si="21"/>
        <v>298.59030837004406</v>
      </c>
      <c r="F137" s="218">
        <f t="shared" si="22"/>
        <v>48250.234948604993</v>
      </c>
      <c r="G137" s="218">
        <f t="shared" si="23"/>
        <v>-50314.628487518326</v>
      </c>
    </row>
    <row r="138" spans="1:7" x14ac:dyDescent="0.25">
      <c r="A138" s="218">
        <v>119</v>
      </c>
      <c r="B138" s="265">
        <f t="shared" si="18"/>
        <v>-34.525697503670926</v>
      </c>
      <c r="C138" s="265">
        <f t="shared" si="19"/>
        <v>-4108.5580029368402</v>
      </c>
      <c r="D138" s="218">
        <f t="shared" si="20"/>
        <v>13016.578560939795</v>
      </c>
      <c r="E138" s="218">
        <f t="shared" si="21"/>
        <v>298.59030837004406</v>
      </c>
      <c r="F138" s="218">
        <f t="shared" si="22"/>
        <v>48548.825256975033</v>
      </c>
      <c r="G138" s="218">
        <f t="shared" si="23"/>
        <v>-52657.383259911876</v>
      </c>
    </row>
    <row r="139" spans="1:7" x14ac:dyDescent="0.25">
      <c r="A139" s="218">
        <v>120</v>
      </c>
      <c r="B139" s="265">
        <f t="shared" si="18"/>
        <v>-51.556534508076311</v>
      </c>
      <c r="C139" s="265">
        <f t="shared" si="19"/>
        <v>-6186.7841409691573</v>
      </c>
      <c r="D139" s="218">
        <f t="shared" si="20"/>
        <v>13016.578560939795</v>
      </c>
      <c r="E139" s="218">
        <f t="shared" si="21"/>
        <v>298.59030837004406</v>
      </c>
      <c r="F139" s="218">
        <f t="shared" si="22"/>
        <v>48847.41556534508</v>
      </c>
      <c r="G139" s="218">
        <f t="shared" si="23"/>
        <v>-55034.199706314233</v>
      </c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"/>
  <sheetViews>
    <sheetView zoomScale="96" zoomScaleNormal="96" workbookViewId="0">
      <selection activeCell="L26" sqref="L26"/>
    </sheetView>
  </sheetViews>
  <sheetFormatPr defaultRowHeight="15" x14ac:dyDescent="0.25"/>
  <cols>
    <col min="1" max="2" width="4.85546875" customWidth="1"/>
    <col min="3" max="3" width="10" bestFit="1" customWidth="1"/>
    <col min="4" max="5" width="7.85546875" bestFit="1" customWidth="1"/>
    <col min="6" max="8" width="7.85546875" style="6" customWidth="1"/>
    <col min="9" max="9" width="27.140625" bestFit="1" customWidth="1"/>
    <col min="10" max="10" width="18.140625" bestFit="1" customWidth="1"/>
    <col min="11" max="11" width="11.7109375" bestFit="1" customWidth="1"/>
    <col min="12" max="12" width="14.5703125" bestFit="1" customWidth="1"/>
    <col min="13" max="13" width="12" bestFit="1" customWidth="1"/>
    <col min="14" max="14" width="8.85546875" bestFit="1" customWidth="1"/>
    <col min="15" max="15" width="13.42578125" bestFit="1" customWidth="1"/>
    <col min="16" max="16" width="11" bestFit="1" customWidth="1"/>
  </cols>
  <sheetData>
    <row r="1" spans="1:16" ht="15.75" thickBot="1" x14ac:dyDescent="0.3">
      <c r="F1" s="27" t="s">
        <v>56</v>
      </c>
      <c r="G1" s="27" t="s">
        <v>57</v>
      </c>
      <c r="H1" s="27" t="s">
        <v>58</v>
      </c>
      <c r="I1" s="27" t="s">
        <v>59</v>
      </c>
    </row>
    <row r="2" spans="1:16" ht="15.75" thickBot="1" x14ac:dyDescent="0.3">
      <c r="A2" s="19" t="s">
        <v>25</v>
      </c>
      <c r="B2" s="21" t="s">
        <v>0</v>
      </c>
      <c r="C2" s="21" t="s">
        <v>26</v>
      </c>
      <c r="D2" s="20" t="s">
        <v>27</v>
      </c>
      <c r="E2" s="21" t="s">
        <v>55</v>
      </c>
      <c r="F2" s="1">
        <f>AVERAGE(B3:B52)</f>
        <v>51.392857142857146</v>
      </c>
      <c r="G2" s="25">
        <f>SUM(D3:D52)</f>
        <v>337.475369458128</v>
      </c>
      <c r="H2" s="25">
        <f>SUM(E3:E52)</f>
        <v>7260.6785714285706</v>
      </c>
      <c r="I2">
        <f>1-G2/H2</f>
        <v>0.95352013367095956</v>
      </c>
      <c r="J2" t="s">
        <v>28</v>
      </c>
      <c r="P2" t="s">
        <v>43</v>
      </c>
    </row>
    <row r="3" spans="1:16" ht="17.25" thickBot="1" x14ac:dyDescent="0.35">
      <c r="A3" s="22">
        <v>1</v>
      </c>
      <c r="B3" s="73">
        <f>'0.ArdiData28Fixed'!C3</f>
        <v>25</v>
      </c>
      <c r="C3" s="42">
        <f>$K$20+$K$21*A3</f>
        <v>25.113300492610847</v>
      </c>
      <c r="D3" s="23">
        <f>(B3-C3)^2</f>
        <v>1.2837001625860586E-2</v>
      </c>
      <c r="E3" s="43">
        <f>(B3-$F$2)^2</f>
        <v>696.58290816326542</v>
      </c>
      <c r="F3"/>
      <c r="G3"/>
      <c r="H3"/>
    </row>
    <row r="4" spans="1:16" ht="16.5" x14ac:dyDescent="0.3">
      <c r="A4" s="22">
        <v>2</v>
      </c>
      <c r="B4" s="73">
        <f>'0.ArdiData28Fixed'!C4</f>
        <v>28</v>
      </c>
      <c r="C4" s="42">
        <f t="shared" ref="C4:C30" si="0">$K$20+$K$21*A4</f>
        <v>27.059934318555015</v>
      </c>
      <c r="D4" s="23">
        <f t="shared" ref="D4:D30" si="1">(B4-C4)^2</f>
        <v>0.88372348543062329</v>
      </c>
      <c r="E4" s="43">
        <f t="shared" ref="E4:E30" si="2">(B4-$F$2)^2</f>
        <v>547.22576530612264</v>
      </c>
      <c r="F4" s="26"/>
      <c r="G4" s="26"/>
      <c r="H4" s="26"/>
      <c r="J4" s="8" t="s">
        <v>29</v>
      </c>
      <c r="K4" s="8"/>
    </row>
    <row r="5" spans="1:16" ht="16.5" x14ac:dyDescent="0.3">
      <c r="A5" s="22">
        <v>3</v>
      </c>
      <c r="B5" s="73">
        <f>'0.ArdiData28Fixed'!C5</f>
        <v>31</v>
      </c>
      <c r="C5" s="42">
        <f t="shared" si="0"/>
        <v>29.006568144499187</v>
      </c>
      <c r="D5" s="23">
        <f t="shared" si="1"/>
        <v>3.9737705625254125</v>
      </c>
      <c r="E5" s="43">
        <f t="shared" si="2"/>
        <v>415.86862244897969</v>
      </c>
      <c r="F5" s="26"/>
      <c r="G5" s="26"/>
      <c r="H5" s="26"/>
      <c r="I5" s="9" t="s">
        <v>30</v>
      </c>
      <c r="J5" s="10" t="s">
        <v>31</v>
      </c>
      <c r="K5" s="11">
        <v>0.32299932660652342</v>
      </c>
      <c r="L5" s="12">
        <f>CORREL(A3:A30,B3:B30)</f>
        <v>0.97648355524860708</v>
      </c>
    </row>
    <row r="6" spans="1:16" ht="16.5" x14ac:dyDescent="0.3">
      <c r="A6" s="22">
        <v>4</v>
      </c>
      <c r="B6" s="73">
        <f>'0.ArdiData28Fixed'!C6</f>
        <v>33</v>
      </c>
      <c r="C6" s="42">
        <f t="shared" si="0"/>
        <v>30.953201970443356</v>
      </c>
      <c r="D6" s="23">
        <f t="shared" si="1"/>
        <v>4.189382173796961</v>
      </c>
      <c r="E6" s="43">
        <f t="shared" si="2"/>
        <v>338.29719387755114</v>
      </c>
      <c r="F6" s="26"/>
      <c r="G6" s="26"/>
      <c r="H6" s="26"/>
      <c r="I6" s="9" t="s">
        <v>32</v>
      </c>
      <c r="J6" s="10" t="s">
        <v>33</v>
      </c>
      <c r="K6" s="11">
        <v>0.10432856498826758</v>
      </c>
      <c r="L6" s="12">
        <f>L5^2</f>
        <v>0.95352013367095945</v>
      </c>
      <c r="M6" s="47">
        <f>1-G2/H2</f>
        <v>0.95352013367095956</v>
      </c>
    </row>
    <row r="7" spans="1:16" ht="16.5" x14ac:dyDescent="0.3">
      <c r="A7" s="22">
        <v>5</v>
      </c>
      <c r="B7" s="73">
        <f>'0.ArdiData28Fixed'!C7</f>
        <v>35</v>
      </c>
      <c r="C7" s="42">
        <f t="shared" si="0"/>
        <v>32.899835796387528</v>
      </c>
      <c r="D7" s="23">
        <f t="shared" si="1"/>
        <v>4.4106896821352093</v>
      </c>
      <c r="E7" s="43">
        <f t="shared" si="2"/>
        <v>268.72576530612253</v>
      </c>
      <c r="F7" s="26"/>
      <c r="G7" s="26"/>
      <c r="H7" s="26"/>
      <c r="J7" s="13" t="s">
        <v>34</v>
      </c>
      <c r="K7" s="14">
        <v>8.566874342552315E-2</v>
      </c>
    </row>
    <row r="8" spans="1:16" ht="16.5" x14ac:dyDescent="0.3">
      <c r="A8" s="22">
        <v>6</v>
      </c>
      <c r="B8" s="73">
        <f>'0.ArdiData28Fixed'!C8</f>
        <v>39</v>
      </c>
      <c r="C8" s="42">
        <f t="shared" si="0"/>
        <v>34.846469622331696</v>
      </c>
      <c r="D8" s="23">
        <f t="shared" si="1"/>
        <v>17.2518145982134</v>
      </c>
      <c r="E8" s="43">
        <f t="shared" si="2"/>
        <v>153.58290816326539</v>
      </c>
      <c r="F8" s="26"/>
      <c r="G8" s="26"/>
      <c r="H8" s="26"/>
      <c r="J8" s="10" t="s">
        <v>35</v>
      </c>
      <c r="K8" s="11">
        <v>17.721983000572738</v>
      </c>
      <c r="L8" s="12">
        <f>SQRT(SUM(D3:D30)/(COUNT(D3:D30)-2))</f>
        <v>3.6027519901091849</v>
      </c>
    </row>
    <row r="9" spans="1:16" ht="17.25" thickBot="1" x14ac:dyDescent="0.35">
      <c r="A9" s="22">
        <v>7</v>
      </c>
      <c r="B9" s="73">
        <f>'0.ArdiData28Fixed'!C9</f>
        <v>39</v>
      </c>
      <c r="C9" s="42">
        <f t="shared" si="0"/>
        <v>36.793103448275872</v>
      </c>
      <c r="D9" s="23">
        <f t="shared" si="1"/>
        <v>4.8703923900118475</v>
      </c>
      <c r="E9" s="43">
        <f t="shared" si="2"/>
        <v>153.58290816326539</v>
      </c>
      <c r="F9" s="26"/>
      <c r="G9" s="26"/>
      <c r="H9" s="26"/>
      <c r="J9" s="15" t="s">
        <v>36</v>
      </c>
      <c r="K9" s="15">
        <v>50</v>
      </c>
      <c r="L9" s="12">
        <f>COUNT(B3:B30)</f>
        <v>28</v>
      </c>
    </row>
    <row r="10" spans="1:16" ht="16.5" x14ac:dyDescent="0.3">
      <c r="A10" s="22">
        <v>8</v>
      </c>
      <c r="B10" s="73">
        <f>'0.ArdiData28Fixed'!C10</f>
        <v>40</v>
      </c>
      <c r="C10" s="42">
        <f t="shared" si="0"/>
        <v>38.73973727422004</v>
      </c>
      <c r="D10" s="23">
        <f t="shared" si="1"/>
        <v>1.5882621379903339</v>
      </c>
      <c r="E10" s="43">
        <f t="shared" si="2"/>
        <v>129.79719387755108</v>
      </c>
      <c r="F10" s="26"/>
      <c r="G10" s="26"/>
      <c r="H10" s="26"/>
    </row>
    <row r="11" spans="1:16" ht="17.25" thickBot="1" x14ac:dyDescent="0.35">
      <c r="A11" s="22">
        <v>9</v>
      </c>
      <c r="B11" s="73">
        <f>'0.ArdiData28Fixed'!C11</f>
        <v>41</v>
      </c>
      <c r="C11" s="42">
        <f t="shared" si="0"/>
        <v>40.686371100164209</v>
      </c>
      <c r="D11" s="23">
        <f t="shared" si="1"/>
        <v>9.8363086812208775E-2</v>
      </c>
      <c r="E11" s="43">
        <f t="shared" si="2"/>
        <v>108.0114795918368</v>
      </c>
      <c r="F11" s="26"/>
      <c r="G11" s="26"/>
      <c r="H11" s="26"/>
      <c r="J11" t="s">
        <v>37</v>
      </c>
    </row>
    <row r="12" spans="1:16" ht="16.5" x14ac:dyDescent="0.3">
      <c r="A12" s="22">
        <v>10</v>
      </c>
      <c r="B12" s="73">
        <f>'0.ArdiData28Fixed'!C12</f>
        <v>42</v>
      </c>
      <c r="C12" s="42">
        <f t="shared" si="0"/>
        <v>42.633004926108384</v>
      </c>
      <c r="D12" s="23">
        <f t="shared" si="1"/>
        <v>0.40069523647748112</v>
      </c>
      <c r="E12" s="43">
        <f t="shared" si="2"/>
        <v>88.225765306122511</v>
      </c>
      <c r="F12" s="26"/>
      <c r="G12" s="26"/>
      <c r="H12" s="26"/>
      <c r="J12" s="16"/>
      <c r="K12" s="16" t="s">
        <v>38</v>
      </c>
      <c r="L12" s="16" t="s">
        <v>39</v>
      </c>
      <c r="M12" s="16" t="s">
        <v>40</v>
      </c>
      <c r="N12" s="16" t="s">
        <v>41</v>
      </c>
      <c r="O12" s="16" t="s">
        <v>42</v>
      </c>
    </row>
    <row r="13" spans="1:16" ht="16.5" x14ac:dyDescent="0.3">
      <c r="A13" s="22">
        <v>11</v>
      </c>
      <c r="B13" s="73">
        <f>'0.ArdiData28Fixed'!C13</f>
        <v>44</v>
      </c>
      <c r="C13" s="42">
        <f t="shared" si="0"/>
        <v>44.579638752052546</v>
      </c>
      <c r="D13" s="23">
        <f t="shared" si="1"/>
        <v>0.33598108288103251</v>
      </c>
      <c r="E13" s="43">
        <f t="shared" si="2"/>
        <v>54.654336734693921</v>
      </c>
      <c r="F13" s="26"/>
      <c r="G13" s="26"/>
      <c r="H13" s="26"/>
      <c r="J13" s="13" t="s">
        <v>43</v>
      </c>
      <c r="K13" s="40">
        <v>1</v>
      </c>
      <c r="L13" s="44">
        <v>1755.9832893157291</v>
      </c>
      <c r="M13" s="44">
        <v>1755.9832893157291</v>
      </c>
      <c r="N13" s="44">
        <v>5.5910805276169686</v>
      </c>
      <c r="O13" s="44">
        <v>2.2144150363479678E-2</v>
      </c>
    </row>
    <row r="14" spans="1:16" ht="16.5" x14ac:dyDescent="0.3">
      <c r="A14" s="22">
        <v>12</v>
      </c>
      <c r="B14" s="73">
        <f>'0.ArdiData28Fixed'!C14</f>
        <v>46</v>
      </c>
      <c r="C14" s="42">
        <f t="shared" si="0"/>
        <v>46.526272577996721</v>
      </c>
      <c r="D14" s="23">
        <f t="shared" si="1"/>
        <v>0.27696282635131503</v>
      </c>
      <c r="E14" s="43">
        <f t="shared" si="2"/>
        <v>29.082908163265341</v>
      </c>
      <c r="F14" s="26"/>
      <c r="G14" s="26"/>
      <c r="H14" s="26"/>
      <c r="J14" s="13" t="s">
        <v>44</v>
      </c>
      <c r="K14" s="40">
        <v>48</v>
      </c>
      <c r="L14" s="44">
        <v>15075.296710684277</v>
      </c>
      <c r="M14" s="44">
        <v>314.06868147258911</v>
      </c>
      <c r="N14" s="44"/>
      <c r="O14" s="44"/>
    </row>
    <row r="15" spans="1:16" ht="17.25" thickBot="1" x14ac:dyDescent="0.35">
      <c r="A15" s="22">
        <v>13</v>
      </c>
      <c r="B15" s="73">
        <f>'0.ArdiData28Fixed'!C15</f>
        <v>47</v>
      </c>
      <c r="C15" s="42">
        <f t="shared" si="0"/>
        <v>48.47290640394089</v>
      </c>
      <c r="D15" s="23">
        <f t="shared" si="1"/>
        <v>2.1694532747700834</v>
      </c>
      <c r="E15" s="43">
        <f t="shared" si="2"/>
        <v>19.297193877551049</v>
      </c>
      <c r="F15" s="26"/>
      <c r="G15" s="26"/>
      <c r="H15" s="26"/>
      <c r="J15" s="17" t="s">
        <v>45</v>
      </c>
      <c r="K15" s="45">
        <v>49</v>
      </c>
      <c r="L15" s="46">
        <v>16831.280000000006</v>
      </c>
      <c r="M15" s="46"/>
      <c r="N15" s="46"/>
      <c r="O15" s="46"/>
    </row>
    <row r="16" spans="1:16" ht="17.25" thickBot="1" x14ac:dyDescent="0.35">
      <c r="A16" s="22">
        <v>14</v>
      </c>
      <c r="B16" s="73">
        <f>'0.ArdiData28Fixed'!C16</f>
        <v>48</v>
      </c>
      <c r="C16" s="42">
        <f t="shared" si="0"/>
        <v>50.419540229885058</v>
      </c>
      <c r="D16" s="23">
        <f t="shared" si="1"/>
        <v>5.8541749240322396</v>
      </c>
      <c r="E16" s="43">
        <f t="shared" si="2"/>
        <v>11.511479591836755</v>
      </c>
      <c r="F16" s="26"/>
      <c r="G16" s="26"/>
      <c r="H16" s="26"/>
    </row>
    <row r="17" spans="1:16" ht="16.5" x14ac:dyDescent="0.3">
      <c r="A17" s="22">
        <v>15</v>
      </c>
      <c r="B17" s="73">
        <f>'0.ArdiData28Fixed'!C17</f>
        <v>50</v>
      </c>
      <c r="C17" s="42">
        <f t="shared" si="0"/>
        <v>52.366174055829234</v>
      </c>
      <c r="D17" s="23">
        <f t="shared" si="1"/>
        <v>5.5987796624793651</v>
      </c>
      <c r="E17" s="43">
        <f t="shared" si="2"/>
        <v>1.9400510204081718</v>
      </c>
      <c r="F17" s="26"/>
      <c r="G17" s="26"/>
      <c r="H17" s="26"/>
      <c r="J17" s="16"/>
      <c r="K17" s="16" t="s">
        <v>46</v>
      </c>
      <c r="L17" s="16" t="s">
        <v>35</v>
      </c>
      <c r="M17" s="16" t="s">
        <v>47</v>
      </c>
      <c r="N17" s="16" t="s">
        <v>48</v>
      </c>
      <c r="O17" s="16" t="s">
        <v>49</v>
      </c>
      <c r="P17" s="16" t="s">
        <v>50</v>
      </c>
    </row>
    <row r="18" spans="1:16" ht="16.5" x14ac:dyDescent="0.3">
      <c r="A18" s="22">
        <v>16</v>
      </c>
      <c r="B18" s="73">
        <f>'0.ArdiData28Fixed'!C18</f>
        <v>51</v>
      </c>
      <c r="C18" s="42">
        <f t="shared" si="0"/>
        <v>54.312807881773402</v>
      </c>
      <c r="D18" s="23">
        <f t="shared" si="1"/>
        <v>10.974696061539975</v>
      </c>
      <c r="E18" s="43">
        <f t="shared" si="2"/>
        <v>0.15433673469387996</v>
      </c>
      <c r="F18" s="26"/>
      <c r="G18" s="26"/>
      <c r="H18" s="26"/>
      <c r="I18" s="9" t="s">
        <v>51</v>
      </c>
      <c r="J18" s="10" t="s">
        <v>52</v>
      </c>
      <c r="K18" s="14">
        <v>19.408163265306122</v>
      </c>
      <c r="L18" s="44">
        <v>5.0886778547249945</v>
      </c>
      <c r="M18" s="44">
        <v>3.8139893739363053</v>
      </c>
      <c r="N18" s="44">
        <v>3.9045739200275012E-4</v>
      </c>
      <c r="O18" s="44">
        <v>9.1766907002433395</v>
      </c>
      <c r="P18" s="44">
        <v>29.639635830368903</v>
      </c>
    </row>
    <row r="19" spans="1:16" ht="17.25" thickBot="1" x14ac:dyDescent="0.35">
      <c r="A19" s="22">
        <v>17</v>
      </c>
      <c r="B19" s="73">
        <f>'0.ArdiData28Fixed'!C19</f>
        <v>51</v>
      </c>
      <c r="C19" s="42">
        <f t="shared" si="0"/>
        <v>56.259441707717571</v>
      </c>
      <c r="D19" s="23">
        <f t="shared" si="1"/>
        <v>27.661727076879114</v>
      </c>
      <c r="E19" s="43">
        <f t="shared" si="2"/>
        <v>0.15433673469387996</v>
      </c>
      <c r="F19" s="26"/>
      <c r="G19" s="26"/>
      <c r="H19" s="26"/>
      <c r="I19" s="9" t="s">
        <v>53</v>
      </c>
      <c r="J19" s="15" t="s">
        <v>54</v>
      </c>
      <c r="K19" s="18">
        <v>0.41066026410564221</v>
      </c>
      <c r="L19" s="46">
        <v>0.17367400060101817</v>
      </c>
      <c r="M19" s="46">
        <v>2.3645465797097249</v>
      </c>
      <c r="N19" s="48">
        <v>2.2144150363479765E-2</v>
      </c>
      <c r="O19" s="48">
        <v>6.146528200158341E-2</v>
      </c>
      <c r="P19" s="48">
        <v>0.75985524620970102</v>
      </c>
    </row>
    <row r="20" spans="1:16" ht="16.5" x14ac:dyDescent="0.3">
      <c r="A20" s="22">
        <v>18</v>
      </c>
      <c r="B20" s="73">
        <f>'0.ArdiData28Fixed'!C20</f>
        <v>53</v>
      </c>
      <c r="C20" s="42">
        <f t="shared" si="0"/>
        <v>58.206075533661746</v>
      </c>
      <c r="D20" s="23">
        <f t="shared" si="1"/>
        <v>27.103222462191436</v>
      </c>
      <c r="E20" s="43">
        <f t="shared" si="2"/>
        <v>2.5829081632652962</v>
      </c>
      <c r="F20" s="26"/>
      <c r="G20" s="26"/>
      <c r="H20" s="26"/>
      <c r="J20" s="12" t="s">
        <v>52</v>
      </c>
      <c r="K20" s="12">
        <f>INTERCEPT(B3:B30,A3:A30)</f>
        <v>23.166666666666675</v>
      </c>
    </row>
    <row r="21" spans="1:16" ht="16.5" x14ac:dyDescent="0.3">
      <c r="A21" s="22">
        <v>19</v>
      </c>
      <c r="B21" s="73">
        <f>'0.ArdiData28Fixed'!C21</f>
        <v>56</v>
      </c>
      <c r="C21" s="42">
        <f t="shared" si="0"/>
        <v>60.152709359605907</v>
      </c>
      <c r="D21" s="23">
        <f t="shared" si="1"/>
        <v>17.244995025358506</v>
      </c>
      <c r="E21" s="43">
        <f t="shared" si="2"/>
        <v>21.225765306122423</v>
      </c>
      <c r="F21" s="26"/>
      <c r="G21" s="26"/>
      <c r="H21" s="26"/>
      <c r="J21" s="12" t="s">
        <v>54</v>
      </c>
      <c r="K21" s="12">
        <f>SLOPE(B3:B30,A3:A30)</f>
        <v>1.9466338259441704</v>
      </c>
    </row>
    <row r="22" spans="1:16" ht="16.5" x14ac:dyDescent="0.3">
      <c r="A22" s="22">
        <v>20</v>
      </c>
      <c r="B22" s="73">
        <f>'0.ArdiData28Fixed'!C22</f>
        <v>61</v>
      </c>
      <c r="C22" s="42">
        <f t="shared" si="0"/>
        <v>62.099343185550083</v>
      </c>
      <c r="D22" s="23">
        <f t="shared" si="1"/>
        <v>1.2085554396154043</v>
      </c>
      <c r="E22" s="43">
        <f t="shared" si="2"/>
        <v>92.297193877550967</v>
      </c>
      <c r="F22" s="26"/>
      <c r="G22" s="26"/>
      <c r="H22" s="26"/>
      <c r="L22" s="24"/>
    </row>
    <row r="23" spans="1:16" ht="16.5" x14ac:dyDescent="0.3">
      <c r="A23" s="22">
        <v>21</v>
      </c>
      <c r="B23" s="73">
        <f>'0.ArdiData28Fixed'!C23</f>
        <v>62</v>
      </c>
      <c r="C23" s="42">
        <f t="shared" si="0"/>
        <v>64.045977011494259</v>
      </c>
      <c r="D23" s="23">
        <f t="shared" si="1"/>
        <v>4.1860219315629772</v>
      </c>
      <c r="E23" s="43">
        <f t="shared" si="2"/>
        <v>112.51147959183668</v>
      </c>
      <c r="F23" s="26"/>
      <c r="G23" s="26"/>
      <c r="H23" s="26"/>
    </row>
    <row r="24" spans="1:16" ht="16.5" x14ac:dyDescent="0.3">
      <c r="A24" s="22">
        <v>22</v>
      </c>
      <c r="B24" s="73">
        <f>'0.ArdiData28Fixed'!C24</f>
        <v>65</v>
      </c>
      <c r="C24" s="42">
        <f t="shared" si="0"/>
        <v>65.99261083743842</v>
      </c>
      <c r="D24" s="23">
        <f t="shared" si="1"/>
        <v>0.98527627460020129</v>
      </c>
      <c r="E24" s="43">
        <f t="shared" si="2"/>
        <v>185.1543367346938</v>
      </c>
      <c r="F24" s="26"/>
      <c r="G24" s="26"/>
      <c r="H24" s="26"/>
    </row>
    <row r="25" spans="1:16" ht="16.5" x14ac:dyDescent="0.3">
      <c r="A25" s="22">
        <v>23</v>
      </c>
      <c r="B25" s="73">
        <f>'0.ArdiData28Fixed'!C25</f>
        <v>67</v>
      </c>
      <c r="C25" s="42">
        <f t="shared" si="0"/>
        <v>67.939244663382595</v>
      </c>
      <c r="D25" s="23">
        <f t="shared" si="1"/>
        <v>0.88218053769268512</v>
      </c>
      <c r="E25" s="43">
        <f t="shared" si="2"/>
        <v>243.58290816326522</v>
      </c>
      <c r="F25" s="26"/>
      <c r="G25" s="26"/>
      <c r="H25" s="26"/>
    </row>
    <row r="26" spans="1:16" ht="16.5" x14ac:dyDescent="0.3">
      <c r="A26" s="22">
        <v>24</v>
      </c>
      <c r="B26" s="73">
        <f>'0.ArdiData28Fixed'!C26</f>
        <v>69</v>
      </c>
      <c r="C26" s="42">
        <f t="shared" si="0"/>
        <v>69.885878489326771</v>
      </c>
      <c r="D26" s="23">
        <f t="shared" si="1"/>
        <v>0.78478069785188198</v>
      </c>
      <c r="E26" s="43">
        <f t="shared" si="2"/>
        <v>310.01147959183663</v>
      </c>
      <c r="F26" s="26"/>
      <c r="G26" s="26"/>
      <c r="H26" s="26"/>
    </row>
    <row r="27" spans="1:16" ht="16.5" x14ac:dyDescent="0.3">
      <c r="A27" s="22">
        <v>25</v>
      </c>
      <c r="B27" s="73">
        <f>'0.ArdiData28Fixed'!C27</f>
        <v>72</v>
      </c>
      <c r="C27" s="42">
        <f t="shared" si="0"/>
        <v>71.832512315270932</v>
      </c>
      <c r="D27" s="23">
        <f t="shared" si="1"/>
        <v>2.8052124535903548E-2</v>
      </c>
      <c r="E27" s="43">
        <f t="shared" si="2"/>
        <v>424.65433673469374</v>
      </c>
      <c r="F27" s="26"/>
      <c r="G27" s="26"/>
      <c r="H27" s="26"/>
    </row>
    <row r="28" spans="1:16" ht="16.5" x14ac:dyDescent="0.3">
      <c r="A28" s="22">
        <v>26</v>
      </c>
      <c r="B28" s="73">
        <f>'0.ArdiData28Fixed'!C28</f>
        <v>72</v>
      </c>
      <c r="C28" s="42">
        <f t="shared" si="0"/>
        <v>73.779146141215108</v>
      </c>
      <c r="D28" s="23">
        <f t="shared" si="1"/>
        <v>3.1653609918006089</v>
      </c>
      <c r="E28" s="43">
        <f t="shared" si="2"/>
        <v>424.65433673469374</v>
      </c>
      <c r="F28" s="26"/>
      <c r="G28" s="26"/>
      <c r="H28" s="26"/>
    </row>
    <row r="29" spans="1:16" ht="16.5" x14ac:dyDescent="0.3">
      <c r="A29" s="22">
        <v>27</v>
      </c>
      <c r="B29" s="73">
        <f>'0.ArdiData28Fixed'!C29</f>
        <v>82</v>
      </c>
      <c r="C29" s="42">
        <f t="shared" si="0"/>
        <v>75.725779967159284</v>
      </c>
      <c r="D29" s="23">
        <f t="shared" si="1"/>
        <v>39.365837020499761</v>
      </c>
      <c r="E29" s="43">
        <f t="shared" si="2"/>
        <v>936.79719387755085</v>
      </c>
      <c r="F29" s="26"/>
      <c r="G29" s="26"/>
      <c r="H29" s="26"/>
    </row>
    <row r="30" spans="1:16" ht="16.5" x14ac:dyDescent="0.3">
      <c r="A30" s="22">
        <v>28</v>
      </c>
      <c r="B30" s="73">
        <f>'0.ArdiData28Fixed'!C30</f>
        <v>90</v>
      </c>
      <c r="C30" s="42">
        <f t="shared" si="0"/>
        <v>77.672413793103445</v>
      </c>
      <c r="D30" s="23">
        <f t="shared" si="1"/>
        <v>151.9693816884662</v>
      </c>
      <c r="E30" s="43">
        <f t="shared" si="2"/>
        <v>1490.5114795918364</v>
      </c>
      <c r="F30" s="26"/>
      <c r="G30" s="26"/>
      <c r="H30" s="26"/>
    </row>
    <row r="31" spans="1:16" x14ac:dyDescent="0.25">
      <c r="F31"/>
      <c r="G31"/>
      <c r="H31"/>
    </row>
    <row r="32" spans="1:16" x14ac:dyDescent="0.25">
      <c r="F32"/>
      <c r="G32"/>
      <c r="H32"/>
    </row>
    <row r="33" spans="6:8" x14ac:dyDescent="0.25">
      <c r="F33"/>
      <c r="G33"/>
      <c r="H33"/>
    </row>
    <row r="34" spans="6:8" x14ac:dyDescent="0.25">
      <c r="F34"/>
      <c r="G34"/>
      <c r="H34"/>
    </row>
    <row r="35" spans="6:8" x14ac:dyDescent="0.25">
      <c r="F35"/>
      <c r="G35"/>
      <c r="H35"/>
    </row>
    <row r="36" spans="6:8" x14ac:dyDescent="0.25">
      <c r="F36"/>
      <c r="G36"/>
      <c r="H36"/>
    </row>
    <row r="37" spans="6:8" x14ac:dyDescent="0.25">
      <c r="F37"/>
      <c r="G37"/>
      <c r="H37"/>
    </row>
    <row r="38" spans="6:8" x14ac:dyDescent="0.25">
      <c r="F38"/>
      <c r="G38"/>
      <c r="H38"/>
    </row>
    <row r="39" spans="6:8" x14ac:dyDescent="0.25">
      <c r="F39"/>
      <c r="G39"/>
      <c r="H39"/>
    </row>
    <row r="40" spans="6:8" x14ac:dyDescent="0.25">
      <c r="F40"/>
      <c r="G40"/>
      <c r="H40"/>
    </row>
    <row r="41" spans="6:8" x14ac:dyDescent="0.25">
      <c r="F41"/>
      <c r="G41"/>
      <c r="H41"/>
    </row>
    <row r="42" spans="6:8" x14ac:dyDescent="0.25">
      <c r="F42"/>
      <c r="G42"/>
      <c r="H42"/>
    </row>
    <row r="43" spans="6:8" x14ac:dyDescent="0.25">
      <c r="F43"/>
      <c r="G43"/>
      <c r="H43"/>
    </row>
    <row r="44" spans="6:8" x14ac:dyDescent="0.25">
      <c r="F44"/>
      <c r="G44"/>
      <c r="H44"/>
    </row>
    <row r="45" spans="6:8" x14ac:dyDescent="0.25">
      <c r="F45"/>
      <c r="G45"/>
      <c r="H45"/>
    </row>
    <row r="46" spans="6:8" x14ac:dyDescent="0.25">
      <c r="F46"/>
      <c r="G46"/>
      <c r="H46"/>
    </row>
    <row r="47" spans="6:8" x14ac:dyDescent="0.25">
      <c r="F47"/>
      <c r="G47"/>
      <c r="H47"/>
    </row>
    <row r="48" spans="6:8" x14ac:dyDescent="0.25">
      <c r="F48"/>
      <c r="G48"/>
      <c r="H48"/>
    </row>
    <row r="49" spans="6:9" x14ac:dyDescent="0.25">
      <c r="F49"/>
      <c r="G49"/>
      <c r="H49"/>
    </row>
    <row r="50" spans="6:9" x14ac:dyDescent="0.25">
      <c r="F50"/>
      <c r="G50"/>
      <c r="H50"/>
    </row>
    <row r="51" spans="6:9" x14ac:dyDescent="0.25">
      <c r="F51"/>
      <c r="G51"/>
      <c r="H51"/>
    </row>
    <row r="52" spans="6:9" x14ac:dyDescent="0.25">
      <c r="F52"/>
      <c r="G52"/>
      <c r="H52"/>
    </row>
    <row r="53" spans="6:9" ht="15.75" customHeight="1" x14ac:dyDescent="0.25">
      <c r="F53"/>
      <c r="G53"/>
      <c r="H53"/>
      <c r="I53" s="25">
        <f>1-G2/H2</f>
        <v>0.95352013367095956</v>
      </c>
    </row>
    <row r="54" spans="6:9" x14ac:dyDescent="0.25">
      <c r="F54"/>
      <c r="G54"/>
      <c r="H54"/>
    </row>
    <row r="55" spans="6:9" x14ac:dyDescent="0.25">
      <c r="F55"/>
      <c r="G55"/>
      <c r="H55"/>
    </row>
    <row r="56" spans="6:9" x14ac:dyDescent="0.25">
      <c r="F56"/>
      <c r="G56"/>
      <c r="H56"/>
    </row>
    <row r="57" spans="6:9" x14ac:dyDescent="0.25">
      <c r="F57"/>
      <c r="G57"/>
      <c r="H57"/>
    </row>
    <row r="58" spans="6:9" x14ac:dyDescent="0.25">
      <c r="F58"/>
      <c r="G58"/>
      <c r="H58"/>
    </row>
    <row r="59" spans="6:9" x14ac:dyDescent="0.25">
      <c r="F59"/>
      <c r="G59"/>
      <c r="H59"/>
    </row>
    <row r="60" spans="6:9" x14ac:dyDescent="0.25">
      <c r="F60"/>
      <c r="G60"/>
      <c r="H60"/>
    </row>
    <row r="61" spans="6:9" x14ac:dyDescent="0.25">
      <c r="F61"/>
      <c r="G61"/>
      <c r="H61"/>
    </row>
    <row r="62" spans="6:9" x14ac:dyDescent="0.25">
      <c r="F62"/>
      <c r="G62"/>
      <c r="H62"/>
    </row>
    <row r="63" spans="6:9" x14ac:dyDescent="0.25">
      <c r="F63"/>
      <c r="G63"/>
      <c r="H63"/>
    </row>
    <row r="64" spans="6:9" x14ac:dyDescent="0.25">
      <c r="F64"/>
      <c r="G64"/>
      <c r="H64"/>
    </row>
    <row r="65" spans="6:8" x14ac:dyDescent="0.25">
      <c r="F65"/>
      <c r="G65"/>
      <c r="H65"/>
    </row>
    <row r="66" spans="6:8" x14ac:dyDescent="0.25">
      <c r="F66"/>
      <c r="G66"/>
      <c r="H66"/>
    </row>
    <row r="67" spans="6:8" x14ac:dyDescent="0.25">
      <c r="F67"/>
      <c r="G67"/>
      <c r="H67"/>
    </row>
    <row r="68" spans="6:8" x14ac:dyDescent="0.25">
      <c r="F68"/>
      <c r="G68"/>
      <c r="H68"/>
    </row>
    <row r="69" spans="6:8" x14ac:dyDescent="0.25">
      <c r="F69"/>
      <c r="G69"/>
      <c r="H69"/>
    </row>
    <row r="70" spans="6:8" x14ac:dyDescent="0.25">
      <c r="F70"/>
      <c r="G70"/>
      <c r="H70"/>
    </row>
    <row r="71" spans="6:8" x14ac:dyDescent="0.25">
      <c r="F71"/>
      <c r="G71"/>
      <c r="H71"/>
    </row>
    <row r="72" spans="6:8" x14ac:dyDescent="0.25">
      <c r="F72"/>
      <c r="G72"/>
      <c r="H72"/>
    </row>
    <row r="73" spans="6:8" x14ac:dyDescent="0.25">
      <c r="F73"/>
      <c r="G73"/>
      <c r="H73"/>
    </row>
    <row r="74" spans="6:8" x14ac:dyDescent="0.25">
      <c r="F74"/>
      <c r="G74"/>
      <c r="H7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9BB22-7057-4168-8308-62A03356289B}">
  <dimension ref="A1:T58"/>
  <sheetViews>
    <sheetView tabSelected="1" zoomScale="95" zoomScaleNormal="95" workbookViewId="0">
      <selection activeCell="B2" sqref="B2:B29"/>
    </sheetView>
  </sheetViews>
  <sheetFormatPr defaultColWidth="9.140625" defaultRowHeight="15.75" x14ac:dyDescent="0.25"/>
  <cols>
    <col min="1" max="1" width="9.140625" style="218"/>
    <col min="2" max="2" width="6.7109375" style="218" bestFit="1" customWidth="1"/>
    <col min="3" max="3" width="20" style="218" bestFit="1" customWidth="1"/>
    <col min="4" max="6" width="19.5703125" style="218" customWidth="1"/>
    <col min="7" max="7" width="22.28515625" style="219" bestFit="1" customWidth="1"/>
    <col min="8" max="8" width="19.85546875" style="219" customWidth="1"/>
    <col min="9" max="9" width="14.5703125" style="219" customWidth="1"/>
    <col min="10" max="10" width="9" style="219" bestFit="1" customWidth="1"/>
    <col min="11" max="11" width="12.42578125" style="219" bestFit="1" customWidth="1"/>
    <col min="12" max="12" width="8" style="219" bestFit="1" customWidth="1"/>
    <col min="13" max="14" width="11.42578125" style="219" customWidth="1"/>
    <col min="15" max="15" width="15.42578125" style="218" bestFit="1" customWidth="1"/>
    <col min="16" max="16384" width="9.140625" style="218"/>
  </cols>
  <sheetData>
    <row r="1" spans="1:20" ht="16.5" x14ac:dyDescent="0.3">
      <c r="A1" s="219" t="s">
        <v>170</v>
      </c>
      <c r="B1" s="244" t="s">
        <v>0</v>
      </c>
      <c r="C1" s="41" t="s">
        <v>108</v>
      </c>
      <c r="D1" s="41" t="s">
        <v>251</v>
      </c>
      <c r="E1" s="41" t="s">
        <v>113</v>
      </c>
      <c r="F1" s="41" t="s">
        <v>250</v>
      </c>
      <c r="G1" s="41" t="s">
        <v>249</v>
      </c>
      <c r="H1" s="218"/>
      <c r="I1" s="218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16.5" x14ac:dyDescent="0.3">
      <c r="A2" s="224">
        <v>1</v>
      </c>
      <c r="B2" s="225">
        <f>'1.RegLineDataAnalyFormula'!B2</f>
        <v>21</v>
      </c>
      <c r="C2" s="41">
        <f t="shared" ref="C2:C31" si="0">$J$2+$J$3*A2</f>
        <v>24.450738915028023</v>
      </c>
      <c r="D2" s="41">
        <f t="shared" ref="D2:D29" si="1">(B2-C2)^2</f>
        <v>11.907599059688774</v>
      </c>
      <c r="E2" s="41">
        <f>AVERAGE(D$2:D2)</f>
        <v>11.907599059688774</v>
      </c>
      <c r="F2" s="41">
        <f t="shared" ref="F2:F29" si="2">AVERAGE($B$2:$B$29)</f>
        <v>48.642857142857146</v>
      </c>
      <c r="G2" s="41">
        <f t="shared" ref="G2:G29" si="3">(B2-$J$7)^2</f>
        <v>764.1275510204083</v>
      </c>
      <c r="H2" s="218"/>
      <c r="I2" s="41" t="s">
        <v>51</v>
      </c>
      <c r="J2" s="41">
        <v>22.658730158934503</v>
      </c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16.5" x14ac:dyDescent="0.3">
      <c r="A3" s="224">
        <v>2</v>
      </c>
      <c r="B3" s="225">
        <f>'1.RegLineDataAnalyFormula'!B3</f>
        <v>28</v>
      </c>
      <c r="C3" s="41">
        <f t="shared" si="0"/>
        <v>26.242747671121542</v>
      </c>
      <c r="D3" s="41">
        <f t="shared" si="1"/>
        <v>3.0879357473487645</v>
      </c>
      <c r="E3" s="41">
        <f>AVERAGE(D$2:D3)</f>
        <v>7.4977674035187691</v>
      </c>
      <c r="F3" s="41">
        <f t="shared" si="2"/>
        <v>48.642857142857146</v>
      </c>
      <c r="G3" s="41">
        <f t="shared" si="3"/>
        <v>426.1275510204083</v>
      </c>
      <c r="H3" s="218"/>
      <c r="I3" s="41" t="s">
        <v>53</v>
      </c>
      <c r="J3" s="41">
        <v>1.7920087560935187</v>
      </c>
      <c r="K3" s="218"/>
      <c r="L3" s="218"/>
      <c r="M3" s="41"/>
      <c r="N3" s="41"/>
      <c r="O3" s="41"/>
      <c r="P3" s="41"/>
      <c r="Q3" s="41"/>
      <c r="R3" s="41"/>
      <c r="S3" s="41"/>
      <c r="T3" s="41"/>
    </row>
    <row r="4" spans="1:20" ht="16.5" x14ac:dyDescent="0.3">
      <c r="A4" s="224">
        <v>3</v>
      </c>
      <c r="B4" s="225">
        <f>'1.RegLineDataAnalyFormula'!B4</f>
        <v>32</v>
      </c>
      <c r="C4" s="41">
        <f t="shared" si="0"/>
        <v>28.034756427215058</v>
      </c>
      <c r="D4" s="41">
        <f t="shared" si="1"/>
        <v>15.723156591512293</v>
      </c>
      <c r="E4" s="41">
        <f>AVERAGE(D$2:D4)</f>
        <v>10.23956379951661</v>
      </c>
      <c r="F4" s="41">
        <f t="shared" si="2"/>
        <v>48.642857142857146</v>
      </c>
      <c r="G4" s="41">
        <f t="shared" si="3"/>
        <v>276.98469387755114</v>
      </c>
      <c r="H4" s="218"/>
      <c r="I4" s="41" t="s">
        <v>248</v>
      </c>
      <c r="J4" s="264">
        <f>SUM(D2:D29)</f>
        <v>677.39189928845087</v>
      </c>
      <c r="K4" s="218"/>
      <c r="L4" s="218"/>
      <c r="M4" s="41"/>
      <c r="N4" s="41"/>
      <c r="O4" s="41"/>
      <c r="P4" s="41"/>
      <c r="Q4" s="41"/>
      <c r="R4" s="41"/>
      <c r="S4" s="41"/>
    </row>
    <row r="5" spans="1:20" ht="16.5" x14ac:dyDescent="0.3">
      <c r="A5" s="224">
        <v>4</v>
      </c>
      <c r="B5" s="225">
        <f>'1.RegLineDataAnalyFormula'!B5</f>
        <v>34</v>
      </c>
      <c r="C5" s="41">
        <f t="shared" si="0"/>
        <v>29.826765183308577</v>
      </c>
      <c r="D5" s="41">
        <f t="shared" si="1"/>
        <v>17.415888835245493</v>
      </c>
      <c r="E5" s="41">
        <f>AVERAGE(D$2:D5)</f>
        <v>12.03364505844883</v>
      </c>
      <c r="F5" s="41">
        <f t="shared" si="2"/>
        <v>48.642857142857146</v>
      </c>
      <c r="G5" s="41">
        <f t="shared" si="3"/>
        <v>214.41326530612253</v>
      </c>
      <c r="H5" s="218"/>
      <c r="I5" s="41" t="s">
        <v>247</v>
      </c>
      <c r="J5" s="264">
        <f>J4/(A29-2)</f>
        <v>26.053534588017342</v>
      </c>
      <c r="K5" s="218"/>
      <c r="L5" s="218"/>
      <c r="M5" s="41"/>
      <c r="N5" s="41"/>
      <c r="O5" s="41"/>
      <c r="P5" s="41"/>
      <c r="Q5" s="41"/>
      <c r="R5" s="41"/>
      <c r="S5" s="41"/>
    </row>
    <row r="6" spans="1:20" ht="16.5" x14ac:dyDescent="0.3">
      <c r="A6" s="224">
        <v>5</v>
      </c>
      <c r="B6" s="225">
        <f>'1.RegLineDataAnalyFormula'!B6</f>
        <v>36</v>
      </c>
      <c r="C6" s="41">
        <f t="shared" si="0"/>
        <v>31.618773939402097</v>
      </c>
      <c r="D6" s="41">
        <f t="shared" si="1"/>
        <v>19.195141794062224</v>
      </c>
      <c r="E6" s="41">
        <f>AVERAGE(D$2:D6)</f>
        <v>13.465944405571509</v>
      </c>
      <c r="F6" s="41">
        <f t="shared" si="2"/>
        <v>48.642857142857146</v>
      </c>
      <c r="G6" s="41">
        <f t="shared" si="3"/>
        <v>159.84183673469394</v>
      </c>
      <c r="H6" s="218"/>
      <c r="I6" s="41" t="s">
        <v>35</v>
      </c>
      <c r="J6" s="264">
        <f>SQRT(J5)</f>
        <v>5.1042663124113483</v>
      </c>
      <c r="K6" s="218"/>
      <c r="L6" s="218"/>
      <c r="M6" s="218"/>
      <c r="N6" s="41"/>
      <c r="O6" s="41"/>
      <c r="P6" s="41"/>
      <c r="Q6" s="41"/>
      <c r="R6" s="41"/>
      <c r="S6" s="41"/>
    </row>
    <row r="7" spans="1:20" ht="16.5" x14ac:dyDescent="0.3">
      <c r="A7" s="224">
        <v>6</v>
      </c>
      <c r="B7" s="225">
        <f>'1.RegLineDataAnalyFormula'!B7</f>
        <v>37</v>
      </c>
      <c r="C7" s="41">
        <f t="shared" si="0"/>
        <v>33.410782695495612</v>
      </c>
      <c r="D7" s="41">
        <f t="shared" si="1"/>
        <v>12.882480858953741</v>
      </c>
      <c r="E7" s="41">
        <f>AVERAGE(D$2:D7)</f>
        <v>13.368700481135214</v>
      </c>
      <c r="F7" s="41">
        <f t="shared" si="2"/>
        <v>48.642857142857146</v>
      </c>
      <c r="G7" s="41">
        <f t="shared" si="3"/>
        <v>135.55612244897966</v>
      </c>
      <c r="H7" s="218"/>
      <c r="I7" s="41" t="s">
        <v>56</v>
      </c>
      <c r="J7" s="41">
        <f>AVERAGE($B$2:$B$29)</f>
        <v>48.642857142857146</v>
      </c>
      <c r="K7" s="218"/>
      <c r="L7" s="41"/>
      <c r="M7" s="41"/>
      <c r="N7" s="41"/>
      <c r="O7" s="41"/>
      <c r="P7" s="41"/>
      <c r="Q7" s="41"/>
      <c r="R7" s="41"/>
      <c r="S7" s="41"/>
    </row>
    <row r="8" spans="1:20" ht="16.5" x14ac:dyDescent="0.3">
      <c r="A8" s="224">
        <v>7</v>
      </c>
      <c r="B8" s="225">
        <f>'1.RegLineDataAnalyFormula'!B8</f>
        <v>39</v>
      </c>
      <c r="C8" s="41">
        <f t="shared" si="0"/>
        <v>35.202791451589135</v>
      </c>
      <c r="D8" s="41">
        <f t="shared" si="1"/>
        <v>14.418792760124546</v>
      </c>
      <c r="E8" s="41">
        <f>AVERAGE(D$2:D8)</f>
        <v>13.518713663847976</v>
      </c>
      <c r="F8" s="41">
        <f t="shared" si="2"/>
        <v>48.642857142857146</v>
      </c>
      <c r="G8" s="41">
        <f t="shared" si="3"/>
        <v>92.984693877551081</v>
      </c>
      <c r="H8" s="218"/>
      <c r="I8" s="41" t="s">
        <v>246</v>
      </c>
      <c r="J8" s="263">
        <f>1-D30/G30</f>
        <v>0.89649334668487579</v>
      </c>
      <c r="K8" s="41"/>
      <c r="L8" s="41"/>
      <c r="M8" s="41"/>
      <c r="N8" s="41"/>
      <c r="O8" s="41"/>
      <c r="P8" s="41"/>
      <c r="Q8" s="41"/>
      <c r="R8" s="41"/>
      <c r="S8" s="41"/>
    </row>
    <row r="9" spans="1:20" ht="16.5" x14ac:dyDescent="0.3">
      <c r="A9" s="224">
        <v>8</v>
      </c>
      <c r="B9" s="225">
        <f>'1.RegLineDataAnalyFormula'!B9</f>
        <v>40</v>
      </c>
      <c r="C9" s="41">
        <f t="shared" si="0"/>
        <v>36.994800207682651</v>
      </c>
      <c r="D9" s="41">
        <f t="shared" si="1"/>
        <v>9.0312257917442356</v>
      </c>
      <c r="E9" s="41">
        <f>AVERAGE(D$2:D9)</f>
        <v>12.957777679835008</v>
      </c>
      <c r="F9" s="41">
        <f t="shared" si="2"/>
        <v>48.642857142857146</v>
      </c>
      <c r="G9" s="41">
        <f t="shared" si="3"/>
        <v>74.698979591836789</v>
      </c>
      <c r="H9" s="218"/>
      <c r="K9" s="41"/>
      <c r="L9" s="41"/>
      <c r="M9" s="41"/>
      <c r="N9" s="41"/>
      <c r="O9" s="41"/>
      <c r="P9" s="41"/>
      <c r="Q9" s="41"/>
      <c r="R9" s="41"/>
      <c r="S9" s="41"/>
    </row>
    <row r="10" spans="1:20" ht="16.5" x14ac:dyDescent="0.3">
      <c r="A10" s="224">
        <v>9</v>
      </c>
      <c r="B10" s="225">
        <f>'1.RegLineDataAnalyFormula'!B10</f>
        <v>40</v>
      </c>
      <c r="C10" s="41">
        <f t="shared" si="0"/>
        <v>38.786808963776167</v>
      </c>
      <c r="D10" s="41">
        <f t="shared" si="1"/>
        <v>1.4718324903738575</v>
      </c>
      <c r="E10" s="41">
        <f>AVERAGE(D$2:D10)</f>
        <v>11.681561547672658</v>
      </c>
      <c r="F10" s="41">
        <f t="shared" si="2"/>
        <v>48.642857142857146</v>
      </c>
      <c r="G10" s="41">
        <f t="shared" si="3"/>
        <v>74.698979591836789</v>
      </c>
      <c r="H10" s="218"/>
      <c r="K10" s="41"/>
      <c r="L10" s="41"/>
      <c r="M10" s="41"/>
      <c r="N10" s="41"/>
      <c r="O10" s="41"/>
      <c r="P10" s="41"/>
      <c r="Q10" s="41"/>
      <c r="R10" s="41"/>
      <c r="S10" s="41"/>
    </row>
    <row r="11" spans="1:20" ht="16.5" x14ac:dyDescent="0.3">
      <c r="A11" s="224">
        <v>10</v>
      </c>
      <c r="B11" s="225">
        <f>'1.RegLineDataAnalyFormula'!B11</f>
        <v>40</v>
      </c>
      <c r="C11" s="41">
        <f t="shared" si="0"/>
        <v>40.57881771986969</v>
      </c>
      <c r="D11" s="41">
        <f t="shared" si="1"/>
        <v>0.33502995283514692</v>
      </c>
      <c r="E11" s="41">
        <f>AVERAGE(D$2:D11)</f>
        <v>10.546908388188907</v>
      </c>
      <c r="F11" s="41">
        <f t="shared" si="2"/>
        <v>48.642857142857146</v>
      </c>
      <c r="G11" s="41">
        <f t="shared" si="3"/>
        <v>74.698979591836789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</row>
    <row r="12" spans="1:20" ht="16.5" x14ac:dyDescent="0.3">
      <c r="A12" s="224">
        <v>11</v>
      </c>
      <c r="B12" s="225">
        <f>'1.RegLineDataAnalyFormula'!B12</f>
        <v>41</v>
      </c>
      <c r="C12" s="41">
        <f t="shared" si="0"/>
        <v>42.370826475963213</v>
      </c>
      <c r="D12" s="41">
        <f t="shared" si="1"/>
        <v>1.8791652272017212</v>
      </c>
      <c r="E12" s="41">
        <f>AVERAGE(D$2:D12)</f>
        <v>9.7589317371900712</v>
      </c>
      <c r="F12" s="41">
        <f t="shared" si="2"/>
        <v>48.642857142857146</v>
      </c>
      <c r="G12" s="41">
        <f t="shared" si="3"/>
        <v>58.413265306122497</v>
      </c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</row>
    <row r="13" spans="1:20" ht="16.5" x14ac:dyDescent="0.3">
      <c r="A13" s="224">
        <v>12</v>
      </c>
      <c r="B13" s="225">
        <f>'1.RegLineDataAnalyFormula'!B13</f>
        <v>43</v>
      </c>
      <c r="C13" s="41">
        <f t="shared" si="0"/>
        <v>44.162835232056729</v>
      </c>
      <c r="D13" s="41">
        <f t="shared" si="1"/>
        <v>1.3521857769124264</v>
      </c>
      <c r="E13" s="41">
        <f>AVERAGE(D$2:D13)</f>
        <v>9.0583695738336001</v>
      </c>
      <c r="F13" s="41">
        <f t="shared" si="2"/>
        <v>48.642857142857146</v>
      </c>
      <c r="G13" s="41">
        <f t="shared" si="3"/>
        <v>31.841836734693914</v>
      </c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20" ht="16.5" x14ac:dyDescent="0.3">
      <c r="A14" s="224">
        <v>13</v>
      </c>
      <c r="B14" s="225">
        <f>'1.RegLineDataAnalyFormula'!B14</f>
        <v>44</v>
      </c>
      <c r="C14" s="41">
        <f t="shared" si="0"/>
        <v>45.954843988150245</v>
      </c>
      <c r="D14" s="41">
        <f t="shared" si="1"/>
        <v>3.8214150180071536</v>
      </c>
      <c r="E14" s="41">
        <f>AVERAGE(D$2:D14)</f>
        <v>8.6555269156931054</v>
      </c>
      <c r="F14" s="41">
        <f t="shared" si="2"/>
        <v>48.642857142857146</v>
      </c>
      <c r="G14" s="41">
        <f t="shared" si="3"/>
        <v>21.556122448979622</v>
      </c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</row>
    <row r="15" spans="1:20" ht="16.5" x14ac:dyDescent="0.3">
      <c r="A15" s="224">
        <v>14</v>
      </c>
      <c r="B15" s="225">
        <f>'1.RegLineDataAnalyFormula'!B15</f>
        <v>44</v>
      </c>
      <c r="C15" s="41">
        <f t="shared" si="0"/>
        <v>47.746852744243768</v>
      </c>
      <c r="D15" s="41">
        <f t="shared" si="1"/>
        <v>14.038905487047051</v>
      </c>
      <c r="E15" s="41">
        <f>AVERAGE(D$2:D15)</f>
        <v>9.0400539565041012</v>
      </c>
      <c r="F15" s="41">
        <f t="shared" si="2"/>
        <v>48.642857142857146</v>
      </c>
      <c r="G15" s="41">
        <f t="shared" si="3"/>
        <v>21.556122448979622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spans="1:20" ht="16.5" x14ac:dyDescent="0.3">
      <c r="A16" s="224">
        <v>15</v>
      </c>
      <c r="B16" s="225">
        <f>'1.RegLineDataAnalyFormula'!B16</f>
        <v>45</v>
      </c>
      <c r="C16" s="41">
        <f t="shared" si="0"/>
        <v>49.538861500337283</v>
      </c>
      <c r="D16" s="41">
        <f t="shared" si="1"/>
        <v>20.601263719244017</v>
      </c>
      <c r="E16" s="41">
        <f>AVERAGE(D$2:D16)</f>
        <v>9.8108012740200952</v>
      </c>
      <c r="F16" s="41">
        <f t="shared" si="2"/>
        <v>48.642857142857146</v>
      </c>
      <c r="G16" s="41">
        <f t="shared" si="3"/>
        <v>13.270408163265328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1:19" ht="16.5" x14ac:dyDescent="0.3">
      <c r="A17" s="224">
        <v>16</v>
      </c>
      <c r="B17" s="225">
        <f>'1.RegLineDataAnalyFormula'!B17</f>
        <v>46</v>
      </c>
      <c r="C17" s="41">
        <f t="shared" si="0"/>
        <v>51.330870256430799</v>
      </c>
      <c r="D17" s="41">
        <f t="shared" si="1"/>
        <v>28.418177690898574</v>
      </c>
      <c r="E17" s="41">
        <f>AVERAGE(D$2:D17)</f>
        <v>10.973762300075</v>
      </c>
      <c r="F17" s="41">
        <f t="shared" si="2"/>
        <v>48.642857142857146</v>
      </c>
      <c r="G17" s="41">
        <f t="shared" si="3"/>
        <v>6.9846938775510363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</row>
    <row r="18" spans="1:19" ht="16.5" x14ac:dyDescent="0.3">
      <c r="A18" s="224">
        <v>17</v>
      </c>
      <c r="B18" s="225">
        <f>'1.RegLineDataAnalyFormula'!B18</f>
        <v>48</v>
      </c>
      <c r="C18" s="41">
        <f t="shared" si="0"/>
        <v>53.122879012524322</v>
      </c>
      <c r="D18" s="41">
        <f t="shared" si="1"/>
        <v>26.243889376962173</v>
      </c>
      <c r="E18" s="41">
        <f>AVERAGE(D$2:D18)</f>
        <v>11.872005069303658</v>
      </c>
      <c r="F18" s="41">
        <f t="shared" si="2"/>
        <v>48.642857142857146</v>
      </c>
      <c r="G18" s="41">
        <f t="shared" si="3"/>
        <v>0.41326530612245288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</row>
    <row r="19" spans="1:19" ht="16.5" x14ac:dyDescent="0.3">
      <c r="A19" s="224">
        <v>18</v>
      </c>
      <c r="B19" s="225">
        <f>'1.RegLineDataAnalyFormula'!B19</f>
        <v>50</v>
      </c>
      <c r="C19" s="41">
        <f t="shared" si="0"/>
        <v>54.914887768617838</v>
      </c>
      <c r="D19" s="41">
        <f t="shared" si="1"/>
        <v>24.156121778109231</v>
      </c>
      <c r="E19" s="41">
        <f>AVERAGE(D$2:D19)</f>
        <v>12.554455997570635</v>
      </c>
      <c r="F19" s="41">
        <f t="shared" si="2"/>
        <v>48.642857142857146</v>
      </c>
      <c r="G19" s="41">
        <f t="shared" si="3"/>
        <v>1.8418367346938693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</row>
    <row r="20" spans="1:19" ht="16.5" x14ac:dyDescent="0.3">
      <c r="A20" s="224">
        <v>19</v>
      </c>
      <c r="B20" s="225">
        <f>'1.RegLineDataAnalyFormula'!B20</f>
        <v>54</v>
      </c>
      <c r="C20" s="41">
        <f t="shared" si="0"/>
        <v>56.706896524711361</v>
      </c>
      <c r="D20" s="41">
        <f t="shared" si="1"/>
        <v>7.3272887954944439</v>
      </c>
      <c r="E20" s="41">
        <f>AVERAGE(D$2:D20)</f>
        <v>12.279341934303465</v>
      </c>
      <c r="F20" s="41">
        <f t="shared" si="2"/>
        <v>48.642857142857146</v>
      </c>
      <c r="G20" s="41">
        <f t="shared" si="3"/>
        <v>28.698979591836704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</row>
    <row r="21" spans="1:19" ht="16.5" x14ac:dyDescent="0.3">
      <c r="A21" s="224">
        <v>20</v>
      </c>
      <c r="B21" s="225">
        <f>'1.RegLineDataAnalyFormula'!B21</f>
        <v>54</v>
      </c>
      <c r="C21" s="41">
        <f t="shared" si="0"/>
        <v>58.498905280804877</v>
      </c>
      <c r="D21" s="41">
        <f t="shared" si="1"/>
        <v>20.240148725654009</v>
      </c>
      <c r="E21" s="41">
        <f>AVERAGE(D$2:D21)</f>
        <v>12.677382273870993</v>
      </c>
      <c r="F21" s="41">
        <f t="shared" si="2"/>
        <v>48.642857142857146</v>
      </c>
      <c r="G21" s="41">
        <f t="shared" si="3"/>
        <v>28.698979591836704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</row>
    <row r="22" spans="1:19" ht="16.5" x14ac:dyDescent="0.3">
      <c r="A22" s="224">
        <v>21</v>
      </c>
      <c r="B22" s="225">
        <f>'1.RegLineDataAnalyFormula'!B22</f>
        <v>55</v>
      </c>
      <c r="C22" s="41">
        <f t="shared" si="0"/>
        <v>60.2909140368984</v>
      </c>
      <c r="D22" s="41">
        <f t="shared" si="1"/>
        <v>27.993771345848522</v>
      </c>
      <c r="E22" s="41">
        <f>AVERAGE(D$2:D22)</f>
        <v>13.406734134441351</v>
      </c>
      <c r="F22" s="41">
        <f t="shared" si="2"/>
        <v>48.642857142857146</v>
      </c>
      <c r="G22" s="41">
        <f t="shared" si="3"/>
        <v>40.413265306122412</v>
      </c>
      <c r="H22" s="41"/>
      <c r="I22" s="41"/>
      <c r="J22" s="41"/>
      <c r="K22" s="41"/>
      <c r="L22" s="41"/>
      <c r="M22" s="41"/>
      <c r="N22" s="41"/>
      <c r="O22" s="242"/>
    </row>
    <row r="23" spans="1:19" ht="16.5" x14ac:dyDescent="0.3">
      <c r="A23" s="224">
        <v>22</v>
      </c>
      <c r="B23" s="225">
        <f>'1.RegLineDataAnalyFormula'!B23</f>
        <v>58</v>
      </c>
      <c r="C23" s="41">
        <f t="shared" si="0"/>
        <v>62.082922792991916</v>
      </c>
      <c r="D23" s="41">
        <f t="shared" si="1"/>
        <v>16.670258533532905</v>
      </c>
      <c r="E23" s="41">
        <f>AVERAGE(D$2:D23)</f>
        <v>13.555076152581876</v>
      </c>
      <c r="F23" s="41">
        <f t="shared" si="2"/>
        <v>48.642857142857146</v>
      </c>
      <c r="G23" s="41">
        <f t="shared" si="3"/>
        <v>87.556122448979536</v>
      </c>
      <c r="H23" s="41"/>
      <c r="I23" s="41"/>
      <c r="J23" s="41"/>
      <c r="K23" s="41"/>
      <c r="L23" s="41"/>
      <c r="M23" s="41"/>
      <c r="N23" s="41"/>
      <c r="O23" s="242"/>
    </row>
    <row r="24" spans="1:19" ht="16.5" x14ac:dyDescent="0.3">
      <c r="A24" s="224">
        <v>23</v>
      </c>
      <c r="B24" s="225">
        <f>'1.RegLineDataAnalyFormula'!B24</f>
        <v>60</v>
      </c>
      <c r="C24" s="41">
        <f t="shared" si="0"/>
        <v>63.874931549085431</v>
      </c>
      <c r="D24" s="41">
        <f t="shared" si="1"/>
        <v>15.015094510097622</v>
      </c>
      <c r="E24" s="41">
        <f>AVERAGE(D$2:D24)</f>
        <v>13.618555211604301</v>
      </c>
      <c r="F24" s="41">
        <f t="shared" si="2"/>
        <v>48.642857142857146</v>
      </c>
      <c r="G24" s="41">
        <f t="shared" si="3"/>
        <v>128.98469387755094</v>
      </c>
      <c r="H24" s="41"/>
      <c r="I24" s="41"/>
      <c r="J24" s="41"/>
      <c r="K24" s="41"/>
      <c r="L24" s="41"/>
      <c r="M24" s="41"/>
      <c r="N24" s="41"/>
      <c r="O24" s="242"/>
    </row>
    <row r="25" spans="1:19" ht="16.5" x14ac:dyDescent="0.3">
      <c r="A25" s="224">
        <v>24</v>
      </c>
      <c r="B25" s="225">
        <f>'1.RegLineDataAnalyFormula'!B25</f>
        <v>63</v>
      </c>
      <c r="C25" s="41">
        <f t="shared" si="0"/>
        <v>65.666940305178954</v>
      </c>
      <c r="D25" s="41">
        <f t="shared" si="1"/>
        <v>7.1125705913880148</v>
      </c>
      <c r="E25" s="41">
        <f>AVERAGE(D$2:D25)</f>
        <v>13.347472519095289</v>
      </c>
      <c r="F25" s="41">
        <f t="shared" si="2"/>
        <v>48.642857142857146</v>
      </c>
      <c r="G25" s="41">
        <f t="shared" si="3"/>
        <v>206.12755102040808</v>
      </c>
      <c r="H25" s="41"/>
      <c r="I25" s="41"/>
      <c r="J25" s="41"/>
      <c r="K25" s="41"/>
      <c r="L25" s="41"/>
      <c r="M25" s="41"/>
      <c r="N25" s="41"/>
      <c r="O25" s="242"/>
    </row>
    <row r="26" spans="1:19" ht="16.5" x14ac:dyDescent="0.3">
      <c r="A26" s="224">
        <v>25</v>
      </c>
      <c r="B26" s="225">
        <f>'1.RegLineDataAnalyFormula'!B26</f>
        <v>70</v>
      </c>
      <c r="C26" s="41">
        <f t="shared" si="0"/>
        <v>67.458949061272477</v>
      </c>
      <c r="D26" s="41">
        <f t="shared" si="1"/>
        <v>6.4569398732080243</v>
      </c>
      <c r="E26" s="41">
        <f>AVERAGE(D$2:D26)</f>
        <v>13.071851213259798</v>
      </c>
      <c r="F26" s="41">
        <f t="shared" si="2"/>
        <v>48.642857142857146</v>
      </c>
      <c r="G26" s="41">
        <f t="shared" si="3"/>
        <v>456.12755102040802</v>
      </c>
      <c r="H26" s="41"/>
      <c r="I26" s="41"/>
      <c r="J26" s="41"/>
      <c r="K26" s="41"/>
      <c r="L26" s="41"/>
      <c r="M26" s="41"/>
      <c r="N26" s="41"/>
      <c r="O26" s="242"/>
    </row>
    <row r="27" spans="1:19" ht="16.5" x14ac:dyDescent="0.3">
      <c r="A27" s="224">
        <v>26</v>
      </c>
      <c r="B27" s="225">
        <f>'1.RegLineDataAnalyFormula'!B27</f>
        <v>70</v>
      </c>
      <c r="C27" s="41">
        <f t="shared" si="0"/>
        <v>69.250957817365986</v>
      </c>
      <c r="D27" s="41">
        <f t="shared" si="1"/>
        <v>0.56106419136512742</v>
      </c>
      <c r="E27" s="41">
        <f>AVERAGE(D$2:D27)</f>
        <v>12.590667097033078</v>
      </c>
      <c r="F27" s="41">
        <f t="shared" si="2"/>
        <v>48.642857142857146</v>
      </c>
      <c r="G27" s="41">
        <f t="shared" si="3"/>
        <v>456.12755102040802</v>
      </c>
      <c r="H27" s="41"/>
      <c r="I27" s="41"/>
      <c r="J27" s="41"/>
      <c r="K27" s="41"/>
      <c r="L27" s="41"/>
      <c r="M27" s="41"/>
      <c r="N27" s="41"/>
      <c r="O27" s="41"/>
    </row>
    <row r="28" spans="1:19" s="41" customFormat="1" ht="17.25" thickBot="1" x14ac:dyDescent="0.35">
      <c r="A28" s="224">
        <v>27</v>
      </c>
      <c r="B28" s="225">
        <f>'1.RegLineDataAnalyFormula'!B28</f>
        <v>82</v>
      </c>
      <c r="C28" s="41">
        <f t="shared" si="0"/>
        <v>71.042966573459509</v>
      </c>
      <c r="D28" s="41">
        <f t="shared" si="1"/>
        <v>120.05658151032566</v>
      </c>
      <c r="E28" s="41">
        <f>AVERAGE(D$2:D28)</f>
        <v>16.570886149377248</v>
      </c>
      <c r="F28" s="41">
        <f t="shared" si="2"/>
        <v>48.642857142857146</v>
      </c>
      <c r="G28" s="41">
        <f t="shared" si="3"/>
        <v>1112.6989795918366</v>
      </c>
    </row>
    <row r="29" spans="1:19" s="41" customFormat="1" ht="17.25" thickBot="1" x14ac:dyDescent="0.35">
      <c r="A29" s="224">
        <v>28</v>
      </c>
      <c r="B29" s="225">
        <f>'1.RegLineDataAnalyFormula'!B29</f>
        <v>88</v>
      </c>
      <c r="C29" s="41">
        <f t="shared" si="0"/>
        <v>72.834975329553032</v>
      </c>
      <c r="D29" s="41">
        <f t="shared" si="1"/>
        <v>229.97797325526517</v>
      </c>
      <c r="E29" s="262">
        <f>AVERAGE(D$2:D29)</f>
        <v>24.19256783173039</v>
      </c>
      <c r="F29" s="41">
        <f t="shared" si="2"/>
        <v>48.642857142857146</v>
      </c>
      <c r="G29" s="41">
        <f t="shared" si="3"/>
        <v>1548.9846938775509</v>
      </c>
    </row>
    <row r="30" spans="1:19" s="41" customFormat="1" ht="16.5" x14ac:dyDescent="0.3">
      <c r="A30" s="224">
        <v>29</v>
      </c>
      <c r="C30" s="41">
        <f t="shared" si="0"/>
        <v>74.626984085646541</v>
      </c>
      <c r="D30" s="41">
        <f>SUM(D2:D29)</f>
        <v>677.39189928845087</v>
      </c>
      <c r="G30" s="41">
        <f>SUM(G2:G29)</f>
        <v>6544.4285714285716</v>
      </c>
    </row>
    <row r="31" spans="1:19" s="41" customFormat="1" ht="16.5" x14ac:dyDescent="0.3">
      <c r="A31" s="224">
        <v>30</v>
      </c>
      <c r="C31" s="41">
        <f t="shared" si="0"/>
        <v>76.418992841740064</v>
      </c>
      <c r="D31" s="41" t="s">
        <v>57</v>
      </c>
      <c r="G31" s="41" t="s">
        <v>58</v>
      </c>
    </row>
    <row r="32" spans="1:19" s="41" customFormat="1" ht="16.5" x14ac:dyDescent="0.3"/>
    <row r="33" s="41" customFormat="1" ht="16.5" x14ac:dyDescent="0.3"/>
    <row r="34" s="41" customFormat="1" ht="16.5" x14ac:dyDescent="0.3"/>
    <row r="35" s="41" customFormat="1" ht="16.5" x14ac:dyDescent="0.3"/>
    <row r="36" s="41" customFormat="1" ht="16.5" x14ac:dyDescent="0.3"/>
    <row r="37" s="41" customFormat="1" ht="16.5" x14ac:dyDescent="0.3"/>
    <row r="38" s="41" customFormat="1" ht="16.5" x14ac:dyDescent="0.3"/>
    <row r="39" s="41" customFormat="1" ht="16.5" x14ac:dyDescent="0.3"/>
    <row r="40" s="41" customFormat="1" ht="16.5" x14ac:dyDescent="0.3"/>
    <row r="41" s="41" customFormat="1" ht="16.5" x14ac:dyDescent="0.3"/>
    <row r="42" s="41" customFormat="1" ht="16.5" x14ac:dyDescent="0.3"/>
    <row r="43" s="41" customFormat="1" ht="16.5" x14ac:dyDescent="0.3"/>
    <row r="44" s="41" customFormat="1" ht="16.5" x14ac:dyDescent="0.3"/>
    <row r="45" s="41" customFormat="1" ht="16.5" x14ac:dyDescent="0.3"/>
    <row r="46" s="41" customFormat="1" ht="16.5" x14ac:dyDescent="0.3"/>
    <row r="47" s="41" customFormat="1" ht="15.75" customHeight="1" x14ac:dyDescent="0.3"/>
    <row r="48" s="41" customFormat="1" ht="16.5" x14ac:dyDescent="0.3"/>
    <row r="49" s="41" customFormat="1" ht="16.5" x14ac:dyDescent="0.3"/>
    <row r="50" s="41" customFormat="1" ht="16.5" x14ac:dyDescent="0.3"/>
    <row r="51" s="41" customFormat="1" ht="16.5" x14ac:dyDescent="0.3"/>
    <row r="52" s="41" customFormat="1" ht="16.5" x14ac:dyDescent="0.3"/>
    <row r="53" s="41" customFormat="1" ht="16.5" x14ac:dyDescent="0.3"/>
    <row r="54" s="41" customFormat="1" ht="16.5" x14ac:dyDescent="0.3"/>
    <row r="55" s="41" customFormat="1" ht="16.5" x14ac:dyDescent="0.3"/>
    <row r="56" s="41" customFormat="1" ht="16.5" x14ac:dyDescent="0.3"/>
    <row r="57" s="41" customFormat="1" ht="16.5" x14ac:dyDescent="0.3"/>
    <row r="58" s="41" customFormat="1" ht="16.5" x14ac:dyDescent="0.3"/>
  </sheetData>
  <pageMargins left="0.7" right="0.7" top="0.75" bottom="0.75" header="0.3" footer="0.3"/>
  <pageSetup orientation="portrait" horizontalDpi="200" verticalDpi="2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F66D0-702E-4D5E-B6E8-9E433487E108}">
  <dimension ref="A1:BP298"/>
  <sheetViews>
    <sheetView zoomScale="75" zoomScaleNormal="75" workbookViewId="0">
      <selection activeCell="S40" sqref="S40"/>
    </sheetView>
  </sheetViews>
  <sheetFormatPr defaultColWidth="9.140625" defaultRowHeight="15" x14ac:dyDescent="0.25"/>
  <cols>
    <col min="1" max="1" width="4.5703125" style="57" bestFit="1" customWidth="1"/>
    <col min="2" max="2" width="17" style="57" customWidth="1"/>
    <col min="3" max="3" width="14.140625" style="57" bestFit="1" customWidth="1"/>
    <col min="4" max="4" width="11.7109375" style="57" bestFit="1" customWidth="1"/>
    <col min="5" max="5" width="9" style="57" bestFit="1" customWidth="1"/>
    <col min="6" max="6" width="5.140625" style="57" bestFit="1" customWidth="1"/>
    <col min="7" max="8" width="11.85546875" style="57" bestFit="1" customWidth="1"/>
    <col min="9" max="9" width="12.85546875" style="57" bestFit="1" customWidth="1"/>
    <col min="10" max="11" width="9.7109375" style="57" customWidth="1"/>
    <col min="12" max="12" width="11" style="57" bestFit="1" customWidth="1"/>
    <col min="13" max="13" width="20.5703125" style="57" bestFit="1" customWidth="1"/>
    <col min="14" max="16" width="9.7109375" style="57" customWidth="1"/>
    <col min="17" max="17" width="9.140625" style="57"/>
    <col min="18" max="18" width="12.140625" style="57" bestFit="1" customWidth="1"/>
    <col min="19" max="19" width="13.85546875" style="57" bestFit="1" customWidth="1"/>
    <col min="20" max="20" width="12.42578125" style="57" bestFit="1" customWidth="1"/>
    <col min="21" max="21" width="12.42578125" style="57" customWidth="1"/>
    <col min="22" max="22" width="12.140625" style="57" bestFit="1" customWidth="1"/>
    <col min="23" max="26" width="9.28515625" style="57" bestFit="1" customWidth="1"/>
    <col min="27" max="28" width="9.140625" style="57"/>
    <col min="29" max="29" width="9.28515625" style="57" bestFit="1" customWidth="1"/>
    <col min="30" max="40" width="9.140625" style="57"/>
    <col min="41" max="41" width="9.140625" style="57" customWidth="1"/>
    <col min="42" max="44" width="9.140625" style="57"/>
    <col min="45" max="45" width="9.28515625" bestFit="1" customWidth="1"/>
    <col min="46" max="46" width="14" customWidth="1"/>
    <col min="47" max="47" width="12.28515625" customWidth="1"/>
    <col min="48" max="48" width="10.140625" bestFit="1" customWidth="1"/>
    <col min="49" max="49" width="10.140625" customWidth="1"/>
    <col min="50" max="52" width="9.28515625" customWidth="1"/>
    <col min="53" max="53" width="9.28515625" bestFit="1" customWidth="1"/>
    <col min="54" max="54" width="12.28515625" bestFit="1" customWidth="1"/>
    <col min="64" max="16384" width="9.140625" style="57"/>
  </cols>
  <sheetData>
    <row r="1" spans="1:68" customFormat="1" ht="17.25" thickBot="1" x14ac:dyDescent="0.35">
      <c r="A1" s="132" t="s">
        <v>4</v>
      </c>
      <c r="B1" s="133" t="s">
        <v>116</v>
      </c>
      <c r="C1" s="134" t="s">
        <v>143</v>
      </c>
      <c r="D1" s="134" t="s">
        <v>144</v>
      </c>
      <c r="E1" s="134" t="s">
        <v>145</v>
      </c>
      <c r="F1" s="134" t="s">
        <v>20</v>
      </c>
      <c r="G1" s="134" t="s">
        <v>146</v>
      </c>
      <c r="H1" s="134" t="s">
        <v>147</v>
      </c>
      <c r="I1" s="134" t="s">
        <v>152</v>
      </c>
      <c r="J1" s="109" t="s">
        <v>67</v>
      </c>
      <c r="K1" s="109" t="s">
        <v>19</v>
      </c>
      <c r="L1" s="109" t="s">
        <v>118</v>
      </c>
      <c r="M1" s="1" t="s">
        <v>153</v>
      </c>
      <c r="N1" s="1" t="s">
        <v>3</v>
      </c>
      <c r="O1" s="1" t="s">
        <v>2</v>
      </c>
      <c r="P1" s="1" t="s">
        <v>151</v>
      </c>
      <c r="Q1" s="1" t="s">
        <v>111</v>
      </c>
      <c r="R1" s="57" t="s">
        <v>117</v>
      </c>
      <c r="S1" s="57" t="s">
        <v>1</v>
      </c>
      <c r="T1" s="57" t="s">
        <v>114</v>
      </c>
      <c r="U1" s="57" t="s">
        <v>113</v>
      </c>
      <c r="V1" s="65" t="s">
        <v>24</v>
      </c>
    </row>
    <row r="2" spans="1:68" customFormat="1" ht="16.5" x14ac:dyDescent="0.3">
      <c r="A2" s="65">
        <v>0</v>
      </c>
      <c r="B2" s="65"/>
      <c r="C2" s="148">
        <f>INTERCEPT($C$5:$C$28,$A$5:$A$28)</f>
        <v>30.653007246376816</v>
      </c>
      <c r="D2" s="148">
        <f>SLOPE($C$5:$C$28,$A$5:$A$28)</f>
        <v>1.2613586956521738</v>
      </c>
      <c r="E2" s="65"/>
      <c r="F2" s="65"/>
      <c r="G2" s="65"/>
      <c r="H2" s="65"/>
      <c r="I2" s="65"/>
      <c r="J2" s="157">
        <f>C2</f>
        <v>30.653007246376816</v>
      </c>
      <c r="K2" s="157">
        <f>D2</f>
        <v>1.2613586956521738</v>
      </c>
      <c r="L2" s="134"/>
      <c r="M2" s="89"/>
      <c r="N2" s="89"/>
      <c r="O2" s="89"/>
      <c r="P2" s="89"/>
      <c r="Q2" s="89"/>
      <c r="R2" s="57"/>
      <c r="AP2" s="57"/>
      <c r="AQ2" s="57"/>
      <c r="AR2" s="57"/>
      <c r="BL2" s="57"/>
      <c r="BM2" s="57"/>
      <c r="BN2" s="57"/>
      <c r="BO2" s="57"/>
      <c r="BP2" s="57"/>
    </row>
    <row r="3" spans="1:68" customFormat="1" ht="16.5" x14ac:dyDescent="0.3">
      <c r="A3" s="74">
        <v>1</v>
      </c>
      <c r="B3" s="143">
        <v>21</v>
      </c>
      <c r="C3" s="165"/>
      <c r="D3" s="149">
        <f t="shared" ref="D3:D34" si="0">$C$2+$D$2*A3</f>
        <v>31.91436594202899</v>
      </c>
      <c r="E3" s="150">
        <f>B3/D3</f>
        <v>0.65801087943108616</v>
      </c>
      <c r="F3" s="151">
        <f t="shared" ref="F3:F34" si="1">IF(MOD(A3,$C$37)&gt;0,MOD(A3,$C$37),$C$37)</f>
        <v>1</v>
      </c>
      <c r="G3" s="152">
        <f>AVERAGEIF($F$3:$F$30,F3,$E$3:$E$30)</f>
        <v>0.84597858424179706</v>
      </c>
      <c r="H3" s="152">
        <f>G3/AVERAGE($G$3:$G$6)</f>
        <v>0.86089331338097475</v>
      </c>
      <c r="I3" s="144">
        <f>D3*VLOOKUP(F3,$F$3:$H$6,3,0)</f>
        <v>27.474864240286269</v>
      </c>
      <c r="J3" s="136">
        <f>(1-$C$38)*SUM(J2:K2)+$C$38*B3/L3</f>
        <v>24.393266475176794</v>
      </c>
      <c r="K3" s="136">
        <f>(1-$C$39)*K2+$C$39*(J3-J2)</f>
        <v>1.1668803779882901</v>
      </c>
      <c r="L3" s="137">
        <f>H3</f>
        <v>0.86089331338097475</v>
      </c>
      <c r="M3" s="158">
        <f>(J2+K2)*L3</f>
        <v>27.474864240286269</v>
      </c>
      <c r="N3" s="119">
        <f>B3-M3</f>
        <v>-6.4748642402862693</v>
      </c>
      <c r="O3" s="119">
        <f>ABS(N3)</f>
        <v>6.4748642402862693</v>
      </c>
      <c r="P3" s="119">
        <f>O3/B3</f>
        <v>0.30832686858506042</v>
      </c>
      <c r="Q3" s="119">
        <f>N3^2</f>
        <v>41.923866930137891</v>
      </c>
      <c r="R3" s="154">
        <f>SUM($N3:N3)</f>
        <v>-6.4748642402862693</v>
      </c>
      <c r="S3" s="118">
        <f>AVERAGE(O$3:O3)</f>
        <v>6.4748642402862693</v>
      </c>
      <c r="T3" s="118">
        <f>AVERAGE(P$3:P3)</f>
        <v>0.30832686858506042</v>
      </c>
      <c r="U3" s="118">
        <f>AVERAGE(Q$3:Q3)</f>
        <v>41.923866930137891</v>
      </c>
      <c r="V3" s="118">
        <f>R3/S3</f>
        <v>-1</v>
      </c>
      <c r="AP3" s="57"/>
      <c r="AQ3" s="57"/>
      <c r="AR3" s="57"/>
      <c r="BL3" s="57"/>
      <c r="BM3" s="57"/>
      <c r="BN3" s="57"/>
      <c r="BO3" s="57"/>
      <c r="BP3" s="57"/>
    </row>
    <row r="4" spans="1:68" customFormat="1" ht="16.5" x14ac:dyDescent="0.3">
      <c r="A4" s="74">
        <v>2</v>
      </c>
      <c r="B4" s="143">
        <v>27</v>
      </c>
      <c r="C4" s="165"/>
      <c r="D4" s="149">
        <f t="shared" si="0"/>
        <v>33.175724637681164</v>
      </c>
      <c r="E4" s="150">
        <f t="shared" ref="E4:E29" si="2">B4/D4</f>
        <v>0.81384808605908365</v>
      </c>
      <c r="F4" s="151">
        <f t="shared" si="1"/>
        <v>2</v>
      </c>
      <c r="G4" s="152">
        <f t="shared" ref="G4:G6" si="3">AVERAGEIF($F$3:$F$30,F4,$E$3:$E$30)</f>
        <v>1.1025441413126487</v>
      </c>
      <c r="H4" s="152">
        <f>G4/AVERAGE($G$3:$G$6)</f>
        <v>1.121982159647833</v>
      </c>
      <c r="I4" s="144">
        <f>D4*VLOOKUP(F4,$F$3:$H$6,3,0)</f>
        <v>37.222571176867334</v>
      </c>
      <c r="J4" s="136">
        <f>(1-$C$38)*(J3+K3)+$C$38*(B4/L4)</f>
        <v>24.064553761242284</v>
      </c>
      <c r="K4" s="136">
        <f>(1-$C$39)*K3+$C$39*(J4-J3)</f>
        <v>1.1480930823465625</v>
      </c>
      <c r="L4" s="137">
        <f t="shared" ref="L4:L6" si="4">H4</f>
        <v>1.121982159647833</v>
      </c>
      <c r="M4" s="158">
        <f t="shared" ref="M4:M30" si="5">(J4+K4)*L4</f>
        <v>28.288139956007932</v>
      </c>
      <c r="N4" s="119">
        <f t="shared" ref="N4:N30" si="6">B4-M4</f>
        <v>-1.2881399560079316</v>
      </c>
      <c r="O4" s="119">
        <f t="shared" ref="O4:O30" si="7">ABS(N4)</f>
        <v>1.2881399560079316</v>
      </c>
      <c r="P4" s="119">
        <f t="shared" ref="P4:P30" si="8">O4/B4</f>
        <v>4.7708887259553023E-2</v>
      </c>
      <c r="Q4" s="119">
        <f t="shared" ref="Q4:Q30" si="9">N4^2</f>
        <v>1.6593045462641161</v>
      </c>
      <c r="R4" s="154">
        <f>SUM($N4:N4)</f>
        <v>-1.2881399560079316</v>
      </c>
      <c r="S4" s="118">
        <f>AVERAGE(O$3:O4)</f>
        <v>3.8815020981471005</v>
      </c>
      <c r="T4" s="118">
        <f>AVERAGE(P$3:P4)</f>
        <v>0.17801787792230672</v>
      </c>
      <c r="U4" s="118">
        <f>AVERAGE(Q$3:Q4)</f>
        <v>21.791585738201004</v>
      </c>
      <c r="V4" s="118">
        <f t="shared" ref="V4:V30" si="10">R4/S4</f>
        <v>-0.33186635571389916</v>
      </c>
      <c r="AP4" s="57"/>
      <c r="AQ4" s="57"/>
      <c r="AR4" s="57"/>
      <c r="BL4" s="57"/>
      <c r="BM4" s="57"/>
      <c r="BN4" s="57"/>
      <c r="BO4" s="57"/>
      <c r="BP4" s="57"/>
    </row>
    <row r="5" spans="1:68" customFormat="1" ht="16.5" x14ac:dyDescent="0.3">
      <c r="A5" s="74">
        <v>3</v>
      </c>
      <c r="B5" s="143">
        <v>38</v>
      </c>
      <c r="C5" s="147">
        <f>AVERAGE(AVERAGE(B3:B6),AVERAGE(B4:B7))</f>
        <v>30.625</v>
      </c>
      <c r="D5" s="149">
        <f t="shared" si="0"/>
        <v>34.437083333333341</v>
      </c>
      <c r="E5" s="150">
        <f t="shared" si="2"/>
        <v>1.1034616268799378</v>
      </c>
      <c r="F5" s="151">
        <f t="shared" si="1"/>
        <v>3</v>
      </c>
      <c r="G5" s="152">
        <f t="shared" si="3"/>
        <v>1.1707796605485288</v>
      </c>
      <c r="H5" s="152">
        <f>G5/AVERAGE($G$3:$G$6)</f>
        <v>1.1914206813072159</v>
      </c>
      <c r="I5" s="144">
        <f>D5*VLOOKUP(F5,$F$3:$H$6,3,0)</f>
        <v>41.029053287233381</v>
      </c>
      <c r="J5" s="136">
        <f>(1-$C$38)*(J4+K4)+$C$38*(B5/L5)</f>
        <v>31.894695632030448</v>
      </c>
      <c r="K5" s="136">
        <f>(1-$C$39)*K4+$C$39*(J5-J4)</f>
        <v>1.2320314388145666</v>
      </c>
      <c r="L5" s="137">
        <f t="shared" si="4"/>
        <v>1.1914206813072159</v>
      </c>
      <c r="M5" s="158">
        <f t="shared" si="5"/>
        <v>39.467867736224356</v>
      </c>
      <c r="N5" s="119">
        <f t="shared" si="6"/>
        <v>-1.4678677362243562</v>
      </c>
      <c r="O5" s="119">
        <f t="shared" si="7"/>
        <v>1.4678677362243562</v>
      </c>
      <c r="P5" s="119">
        <f t="shared" si="8"/>
        <v>3.8628098321693581E-2</v>
      </c>
      <c r="Q5" s="119">
        <f t="shared" si="9"/>
        <v>2.1546356910484161</v>
      </c>
      <c r="R5" s="154">
        <f>SUM($N5:N5)</f>
        <v>-1.4678677362243562</v>
      </c>
      <c r="S5" s="118">
        <f>AVERAGE(O$3:O5)</f>
        <v>3.0769573108395192</v>
      </c>
      <c r="T5" s="118">
        <f>AVERAGE(P$3:P5)</f>
        <v>0.13155461805543567</v>
      </c>
      <c r="U5" s="118">
        <f>AVERAGE(Q$3:Q5)</f>
        <v>15.245935722483475</v>
      </c>
      <c r="V5" s="118">
        <f t="shared" si="10"/>
        <v>-0.47705170658473067</v>
      </c>
      <c r="Z5">
        <f>INTERCEPT($B$3:$B$30,$A$3:$A$30)</f>
        <v>29.30952380952381</v>
      </c>
      <c r="AA5">
        <f>SLOPE($B$3:$B$30,$A$3:$A$30)</f>
        <v>1.30623973727422</v>
      </c>
      <c r="AP5" s="57"/>
      <c r="AQ5" s="57"/>
      <c r="AR5" s="57"/>
      <c r="BL5" s="57"/>
      <c r="BM5" s="57"/>
      <c r="BN5" s="57"/>
      <c r="BO5" s="57"/>
      <c r="BP5" s="57"/>
    </row>
    <row r="6" spans="1:68" customFormat="1" ht="16.5" x14ac:dyDescent="0.3">
      <c r="A6" s="74">
        <v>4</v>
      </c>
      <c r="B6" s="143">
        <v>28</v>
      </c>
      <c r="C6" s="147">
        <f t="shared" ref="C6:C27" si="11">AVERAGE(AVERAGE(B4:B7),AVERAGE(B5:B8))</f>
        <v>35.5</v>
      </c>
      <c r="D6" s="149">
        <f t="shared" si="0"/>
        <v>35.698442028985511</v>
      </c>
      <c r="E6" s="150">
        <f t="shared" si="2"/>
        <v>0.78434795494059029</v>
      </c>
      <c r="F6" s="151">
        <f t="shared" si="1"/>
        <v>4</v>
      </c>
      <c r="G6" s="152">
        <f t="shared" si="3"/>
        <v>0.81139876393568344</v>
      </c>
      <c r="H6" s="152">
        <f>G6/AVERAGE($G$3:$G$6)</f>
        <v>0.82570384566397614</v>
      </c>
      <c r="I6" s="144">
        <f t="shared" ref="I6:I34" si="12">D6*VLOOKUP(F6,$F$3:$H$6,3,0)</f>
        <v>29.476340867545851</v>
      </c>
      <c r="J6" s="136">
        <f>(1-$C$38)*(J5+K5)+$C$38*(B6/L6)</f>
        <v>33.910463354429773</v>
      </c>
      <c r="K6" s="136">
        <f>(1-$C$39)*K5+$C$39*(J6-J5)</f>
        <v>1.2418765533342691</v>
      </c>
      <c r="L6" s="137">
        <f t="shared" si="4"/>
        <v>0.82570384566397614</v>
      </c>
      <c r="M6" s="158">
        <f t="shared" si="5"/>
        <v>29.025422245928031</v>
      </c>
      <c r="N6" s="119">
        <f t="shared" si="6"/>
        <v>-1.0254222459280307</v>
      </c>
      <c r="O6" s="119">
        <f t="shared" si="7"/>
        <v>1.0254222459280307</v>
      </c>
      <c r="P6" s="119">
        <f t="shared" si="8"/>
        <v>3.6622223068858241E-2</v>
      </c>
      <c r="Q6" s="119">
        <f t="shared" si="9"/>
        <v>1.0514907824440867</v>
      </c>
      <c r="R6" s="154">
        <f>SUM($N6:N6)</f>
        <v>-1.0254222459280307</v>
      </c>
      <c r="S6" s="118">
        <f>AVERAGE(O$3:O6)</f>
        <v>2.5640735446116469</v>
      </c>
      <c r="T6" s="118">
        <f>AVERAGE(P$3:P6)</f>
        <v>0.10782151930879132</v>
      </c>
      <c r="U6" s="118">
        <f>AVERAGE(Q$3:Q6)</f>
        <v>11.697324487473628</v>
      </c>
      <c r="V6" s="118">
        <f t="shared" si="10"/>
        <v>-0.3999192020380759</v>
      </c>
      <c r="Z6">
        <f>Z5+4*AA5</f>
        <v>34.53448275862069</v>
      </c>
      <c r="AP6" s="57"/>
      <c r="AQ6" s="57"/>
      <c r="AR6" s="57"/>
      <c r="BL6" s="57"/>
      <c r="BM6" s="57"/>
      <c r="BN6" s="57"/>
      <c r="BO6" s="57"/>
      <c r="BP6" s="57"/>
    </row>
    <row r="7" spans="1:68" customFormat="1" ht="16.5" x14ac:dyDescent="0.3">
      <c r="A7" s="74">
        <v>5</v>
      </c>
      <c r="B7" s="143">
        <v>38</v>
      </c>
      <c r="C7" s="147">
        <f t="shared" si="11"/>
        <v>39.375</v>
      </c>
      <c r="D7" s="149">
        <f t="shared" si="0"/>
        <v>36.959800724637688</v>
      </c>
      <c r="E7" s="150">
        <f t="shared" si="2"/>
        <v>1.028144071530908</v>
      </c>
      <c r="F7" s="151">
        <f t="shared" si="1"/>
        <v>1</v>
      </c>
      <c r="G7" s="153">
        <f>AVERAGE(G3:G6)</f>
        <v>0.98267528750966449</v>
      </c>
      <c r="H7" s="153">
        <f>AVERAGE(H3:H6)</f>
        <v>0.99999999999999989</v>
      </c>
      <c r="I7" s="144">
        <f t="shared" si="12"/>
        <v>31.818445307733892</v>
      </c>
      <c r="J7" s="135">
        <f>(1-$C$38)*(J6+K6)+$C$38*(B7/L7)</f>
        <v>44.14019647889134</v>
      </c>
      <c r="K7" s="135">
        <f>(1-$C$39)*K6+$C$39*(J7-J6)</f>
        <v>1.3547799356106089</v>
      </c>
      <c r="L7" s="135">
        <f>(1-$C$40)*L3+$C$40*(B3/SUM(J2:K2))</f>
        <v>0.86089331338097475</v>
      </c>
      <c r="M7" s="158">
        <f t="shared" si="5"/>
        <v>39.166320987669884</v>
      </c>
      <c r="N7" s="119">
        <f t="shared" si="6"/>
        <v>-1.1663209876698843</v>
      </c>
      <c r="O7" s="119">
        <f t="shared" si="7"/>
        <v>1.1663209876698843</v>
      </c>
      <c r="P7" s="119">
        <f t="shared" si="8"/>
        <v>3.0692657570260115E-2</v>
      </c>
      <c r="Q7" s="119">
        <f t="shared" si="9"/>
        <v>1.3603046462792545</v>
      </c>
      <c r="R7" s="154">
        <f>SUM($N7:N7)</f>
        <v>-1.1663209876698843</v>
      </c>
      <c r="S7" s="118">
        <f>AVERAGE(O$3:O7)</f>
        <v>2.2845230332232944</v>
      </c>
      <c r="T7" s="118">
        <f>AVERAGE(P$3:P7)</f>
        <v>9.2395746961085073E-2</v>
      </c>
      <c r="U7" s="118">
        <f>AVERAGE(Q$3:Q7)</f>
        <v>9.6299205192347532</v>
      </c>
      <c r="V7" s="118">
        <f t="shared" si="10"/>
        <v>-0.51053150732487518</v>
      </c>
      <c r="AP7" s="57"/>
      <c r="AQ7" s="57"/>
      <c r="AR7" s="57"/>
      <c r="BL7" s="57"/>
      <c r="BM7" s="57"/>
      <c r="BN7" s="57"/>
      <c r="BO7" s="57"/>
      <c r="BP7" s="57"/>
    </row>
    <row r="8" spans="1:68" customFormat="1" ht="16.5" x14ac:dyDescent="0.3">
      <c r="A8" s="74">
        <v>6</v>
      </c>
      <c r="B8" s="143">
        <v>49</v>
      </c>
      <c r="C8" s="147">
        <f t="shared" si="11"/>
        <v>41.375</v>
      </c>
      <c r="D8" s="149">
        <f t="shared" si="0"/>
        <v>38.221159420289858</v>
      </c>
      <c r="E8" s="150">
        <f t="shared" si="2"/>
        <v>1.2820123916489083</v>
      </c>
      <c r="F8" s="151">
        <f t="shared" si="1"/>
        <v>2</v>
      </c>
      <c r="G8" s="151"/>
      <c r="H8" s="151"/>
      <c r="I8" s="144">
        <f t="shared" si="12"/>
        <v>42.88345899062093</v>
      </c>
      <c r="J8" s="135">
        <f t="shared" ref="J8:J30" si="13">(1-$C$38)*(J7+K7)+$C$38*(B8/L8)</f>
        <v>43.672708677810071</v>
      </c>
      <c r="K8" s="135">
        <f t="shared" ref="K8:K30" si="14">(1-$C$39)*K7+$C$39*(J8-J7)</f>
        <v>1.331889028389583</v>
      </c>
      <c r="L8" s="135">
        <f t="shared" ref="L8:L30" si="15">(1-$C$40)*L4+$C$40*(B4/SUM(J3:K3))</f>
        <v>1.121982159647833</v>
      </c>
      <c r="M8" s="158">
        <f t="shared" si="5"/>
        <v>50.494355728483796</v>
      </c>
      <c r="N8" s="119">
        <f t="shared" si="6"/>
        <v>-1.4943557284837965</v>
      </c>
      <c r="O8" s="119">
        <f t="shared" si="7"/>
        <v>1.4943557284837965</v>
      </c>
      <c r="P8" s="119">
        <f t="shared" si="8"/>
        <v>3.0497055683342787E-2</v>
      </c>
      <c r="Q8" s="119">
        <f t="shared" si="9"/>
        <v>2.2330990432523383</v>
      </c>
      <c r="R8" s="154">
        <f>SUM($N8:N8)</f>
        <v>-1.4943557284837965</v>
      </c>
      <c r="S8" s="118">
        <f>AVERAGE(O$3:O8)</f>
        <v>2.1528284824333781</v>
      </c>
      <c r="T8" s="118">
        <f>AVERAGE(P$3:P8)</f>
        <v>8.2079298414794694E-2</v>
      </c>
      <c r="U8" s="118">
        <f>AVERAGE(Q$3:Q8)</f>
        <v>8.3971169399043504</v>
      </c>
      <c r="V8" s="118">
        <f t="shared" si="10"/>
        <v>-0.69413598931704079</v>
      </c>
      <c r="AP8" s="57"/>
      <c r="AQ8" s="57"/>
      <c r="AR8" s="57"/>
      <c r="BL8" s="57"/>
      <c r="BM8" s="57"/>
      <c r="BN8" s="57"/>
      <c r="BO8" s="57"/>
      <c r="BP8" s="57"/>
    </row>
    <row r="9" spans="1:68" customFormat="1" ht="16.5" x14ac:dyDescent="0.3">
      <c r="A9" s="74">
        <v>7</v>
      </c>
      <c r="B9" s="143">
        <v>47</v>
      </c>
      <c r="C9" s="147">
        <f t="shared" si="11"/>
        <v>42.75</v>
      </c>
      <c r="D9" s="149">
        <f t="shared" si="0"/>
        <v>39.482518115942035</v>
      </c>
      <c r="E9" s="150">
        <f t="shared" si="2"/>
        <v>1.1904002642886802</v>
      </c>
      <c r="F9" s="151">
        <f t="shared" si="1"/>
        <v>3</v>
      </c>
      <c r="G9" s="151"/>
      <c r="H9" s="151"/>
      <c r="I9" s="144">
        <f t="shared" si="12"/>
        <v>47.040288633420154</v>
      </c>
      <c r="J9" s="135">
        <f t="shared" si="13"/>
        <v>39.448702492248188</v>
      </c>
      <c r="K9" s="135">
        <f t="shared" si="14"/>
        <v>1.2620971535121923</v>
      </c>
      <c r="L9" s="135">
        <f t="shared" si="15"/>
        <v>1.1914206813072159</v>
      </c>
      <c r="M9" s="158">
        <f t="shared" si="5"/>
        <v>48.503688650513396</v>
      </c>
      <c r="N9" s="119">
        <f t="shared" si="6"/>
        <v>-1.5036886505133964</v>
      </c>
      <c r="O9" s="119">
        <f t="shared" si="7"/>
        <v>1.5036886505133964</v>
      </c>
      <c r="P9" s="119">
        <f t="shared" si="8"/>
        <v>3.1993375542838223E-2</v>
      </c>
      <c r="Q9" s="119">
        <f t="shared" si="9"/>
        <v>2.2610795576827991</v>
      </c>
      <c r="R9" s="154">
        <f>SUM($N9:N9)</f>
        <v>-1.5036886505133964</v>
      </c>
      <c r="S9" s="118">
        <f>AVERAGE(O$3:O9)</f>
        <v>2.0600942207305235</v>
      </c>
      <c r="T9" s="118">
        <f>AVERAGE(P$3:P9)</f>
        <v>7.4924166575943779E-2</v>
      </c>
      <c r="U9" s="118">
        <f>AVERAGE(Q$3:Q9)</f>
        <v>7.5205401710155568</v>
      </c>
      <c r="V9" s="118">
        <f t="shared" si="10"/>
        <v>-0.72991256195077237</v>
      </c>
      <c r="AP9" s="57"/>
      <c r="AQ9" s="57"/>
      <c r="AR9" s="57"/>
      <c r="BL9" s="57"/>
      <c r="BM9" s="57"/>
      <c r="BN9" s="57"/>
      <c r="BO9" s="57"/>
      <c r="BP9" s="57"/>
    </row>
    <row r="10" spans="1:68" customFormat="1" ht="16.5" x14ac:dyDescent="0.3">
      <c r="A10" s="74">
        <v>8</v>
      </c>
      <c r="B10" s="143">
        <v>35</v>
      </c>
      <c r="C10" s="147">
        <f t="shared" si="11"/>
        <v>44</v>
      </c>
      <c r="D10" s="149">
        <f t="shared" si="0"/>
        <v>40.743876811594205</v>
      </c>
      <c r="E10" s="150">
        <f t="shared" si="2"/>
        <v>0.85902478455462761</v>
      </c>
      <c r="F10" s="151">
        <f t="shared" si="1"/>
        <v>4</v>
      </c>
      <c r="G10" s="151"/>
      <c r="H10" s="151"/>
      <c r="I10" s="144">
        <f t="shared" si="12"/>
        <v>33.642375770592636</v>
      </c>
      <c r="J10" s="135">
        <f t="shared" si="13"/>
        <v>42.388079193037214</v>
      </c>
      <c r="K10" s="135">
        <f t="shared" si="14"/>
        <v>1.2831667525219073</v>
      </c>
      <c r="L10" s="135">
        <f t="shared" si="15"/>
        <v>0.82570384566397614</v>
      </c>
      <c r="M10" s="158">
        <f t="shared" si="5"/>
        <v>36.059515722185495</v>
      </c>
      <c r="N10" s="119">
        <f t="shared" si="6"/>
        <v>-1.0595157221854947</v>
      </c>
      <c r="O10" s="119">
        <f t="shared" si="7"/>
        <v>1.0595157221854947</v>
      </c>
      <c r="P10" s="119">
        <f t="shared" si="8"/>
        <v>3.027187777672842E-2</v>
      </c>
      <c r="Q10" s="119">
        <f t="shared" si="9"/>
        <v>1.1225735655582505</v>
      </c>
      <c r="R10" s="154">
        <f>SUM($N10:N10)</f>
        <v>-1.0595157221854947</v>
      </c>
      <c r="S10" s="118">
        <f>AVERAGE(O$3:O10)</f>
        <v>1.935021908412395</v>
      </c>
      <c r="T10" s="118">
        <f>AVERAGE(P$3:P10)</f>
        <v>6.9342630476041861E-2</v>
      </c>
      <c r="U10" s="118">
        <f>AVERAGE(Q$3:Q10)</f>
        <v>6.7207943453333936</v>
      </c>
      <c r="V10" s="118">
        <f t="shared" si="10"/>
        <v>-0.54754714537303784</v>
      </c>
      <c r="AP10" s="57"/>
      <c r="AQ10" s="57"/>
      <c r="AR10" s="57"/>
      <c r="BL10" s="57"/>
      <c r="BM10" s="57"/>
      <c r="BN10" s="57"/>
      <c r="BO10" s="57"/>
      <c r="BP10" s="57"/>
    </row>
    <row r="11" spans="1:68" customFormat="1" ht="16.5" x14ac:dyDescent="0.3">
      <c r="A11" s="74">
        <v>9</v>
      </c>
      <c r="B11" s="143">
        <v>42</v>
      </c>
      <c r="C11" s="147">
        <f t="shared" si="11"/>
        <v>45.875</v>
      </c>
      <c r="D11" s="149">
        <f t="shared" si="0"/>
        <v>42.005235507246383</v>
      </c>
      <c r="E11" s="150">
        <f t="shared" si="2"/>
        <v>0.99987536060247828</v>
      </c>
      <c r="F11" s="151">
        <f t="shared" si="1"/>
        <v>1</v>
      </c>
      <c r="G11" s="151"/>
      <c r="H11" s="151"/>
      <c r="I11" s="144">
        <f t="shared" si="12"/>
        <v>36.162026375181505</v>
      </c>
      <c r="J11" s="135">
        <f t="shared" si="13"/>
        <v>48.786532950353589</v>
      </c>
      <c r="K11" s="135">
        <f t="shared" si="14"/>
        <v>1.3474238086492578</v>
      </c>
      <c r="L11" s="135">
        <f t="shared" si="15"/>
        <v>0.86089331338097475</v>
      </c>
      <c r="M11" s="158">
        <f t="shared" si="5"/>
        <v>43.159988147156476</v>
      </c>
      <c r="N11" s="119">
        <f t="shared" si="6"/>
        <v>-1.1599881471564757</v>
      </c>
      <c r="O11" s="119">
        <f t="shared" si="7"/>
        <v>1.1599881471564757</v>
      </c>
      <c r="P11" s="119">
        <f t="shared" si="8"/>
        <v>2.7618765408487518E-2</v>
      </c>
      <c r="Q11" s="119">
        <f t="shared" si="9"/>
        <v>1.3455725015435136</v>
      </c>
      <c r="R11" s="154">
        <f>SUM($N11:N11)</f>
        <v>-1.1599881471564757</v>
      </c>
      <c r="S11" s="118">
        <f>AVERAGE(O$3:O11)</f>
        <v>1.8489070460506261</v>
      </c>
      <c r="T11" s="118">
        <f>AVERAGE(P$3:P11)</f>
        <v>6.4706645468535828E-2</v>
      </c>
      <c r="U11" s="118">
        <f>AVERAGE(Q$3:Q11)</f>
        <v>6.1235474738011852</v>
      </c>
      <c r="V11" s="118">
        <f t="shared" si="10"/>
        <v>-0.62739127401470962</v>
      </c>
      <c r="AP11" s="57"/>
      <c r="AQ11" s="57"/>
      <c r="AR11" s="57"/>
      <c r="BL11" s="57"/>
      <c r="BM11" s="57"/>
      <c r="BN11" s="57"/>
      <c r="BO11" s="57"/>
      <c r="BP11" s="57"/>
    </row>
    <row r="12" spans="1:68" customFormat="1" ht="16.5" x14ac:dyDescent="0.3">
      <c r="A12" s="74">
        <v>10</v>
      </c>
      <c r="B12" s="143">
        <v>55</v>
      </c>
      <c r="C12" s="147">
        <f t="shared" si="11"/>
        <v>46.625</v>
      </c>
      <c r="D12" s="149">
        <f t="shared" si="0"/>
        <v>43.266594202898553</v>
      </c>
      <c r="E12" s="150">
        <f t="shared" si="2"/>
        <v>1.2711885696867584</v>
      </c>
      <c r="F12" s="151">
        <f t="shared" si="1"/>
        <v>2</v>
      </c>
      <c r="G12" s="151"/>
      <c r="H12" s="151"/>
      <c r="I12" s="144">
        <f t="shared" si="12"/>
        <v>48.544346804374527</v>
      </c>
      <c r="J12" s="135">
        <f t="shared" si="13"/>
        <v>49.020387291419468</v>
      </c>
      <c r="K12" s="135">
        <f t="shared" si="14"/>
        <v>1.3334354057085935</v>
      </c>
      <c r="L12" s="135">
        <f t="shared" si="15"/>
        <v>1.121982159647833</v>
      </c>
      <c r="M12" s="158">
        <f t="shared" si="5"/>
        <v>56.496090736247808</v>
      </c>
      <c r="N12" s="119">
        <f t="shared" si="6"/>
        <v>-1.4960907362478082</v>
      </c>
      <c r="O12" s="119">
        <f t="shared" si="7"/>
        <v>1.4960907362478082</v>
      </c>
      <c r="P12" s="119">
        <f t="shared" si="8"/>
        <v>2.7201649749960147E-2</v>
      </c>
      <c r="Q12" s="119">
        <f t="shared" si="9"/>
        <v>2.2382874910865089</v>
      </c>
      <c r="R12" s="154">
        <f>SUM($N12:N12)</f>
        <v>-1.4960907362478082</v>
      </c>
      <c r="S12" s="118">
        <f>AVERAGE(O$3:O12)</f>
        <v>1.8136254150703444</v>
      </c>
      <c r="T12" s="118">
        <f>AVERAGE(P$3:P12)</f>
        <v>6.0956145896678263E-2</v>
      </c>
      <c r="U12" s="118">
        <f>AVERAGE(Q$3:Q12)</f>
        <v>5.7350214755297175</v>
      </c>
      <c r="V12" s="118">
        <f t="shared" si="10"/>
        <v>-0.82491716526247505</v>
      </c>
      <c r="AP12" s="57"/>
      <c r="AQ12" s="57"/>
      <c r="AR12" s="57"/>
      <c r="BL12" s="57"/>
      <c r="BM12" s="57"/>
      <c r="BN12" s="57"/>
      <c r="BO12" s="57"/>
      <c r="BP12" s="57"/>
    </row>
    <row r="13" spans="1:68" customFormat="1" ht="16.5" x14ac:dyDescent="0.3">
      <c r="A13" s="74">
        <v>11</v>
      </c>
      <c r="B13" s="143">
        <v>56</v>
      </c>
      <c r="C13" s="147">
        <f t="shared" si="11"/>
        <v>45.375</v>
      </c>
      <c r="D13" s="149">
        <f t="shared" si="0"/>
        <v>44.52795289855073</v>
      </c>
      <c r="E13" s="150">
        <f t="shared" si="2"/>
        <v>1.2576369753082148</v>
      </c>
      <c r="F13" s="151">
        <f t="shared" si="1"/>
        <v>3</v>
      </c>
      <c r="G13" s="151"/>
      <c r="H13" s="151"/>
      <c r="I13" s="144">
        <f t="shared" si="12"/>
        <v>53.051523979606927</v>
      </c>
      <c r="J13" s="135">
        <f t="shared" si="13"/>
        <v>47.002709352465921</v>
      </c>
      <c r="K13" s="135">
        <f t="shared" si="14"/>
        <v>1.2913394924049526</v>
      </c>
      <c r="L13" s="135">
        <f t="shared" si="15"/>
        <v>1.1914206813072159</v>
      </c>
      <c r="M13" s="158">
        <f t="shared" si="5"/>
        <v>57.538528577840019</v>
      </c>
      <c r="N13" s="119">
        <f t="shared" si="6"/>
        <v>-1.5385285778400188</v>
      </c>
      <c r="O13" s="119">
        <f t="shared" si="7"/>
        <v>1.5385285778400188</v>
      </c>
      <c r="P13" s="119">
        <f t="shared" si="8"/>
        <v>2.747372460428605E-2</v>
      </c>
      <c r="Q13" s="119">
        <f t="shared" si="9"/>
        <v>2.367070184830431</v>
      </c>
      <c r="R13" s="154">
        <f>SUM($N13:N13)</f>
        <v>-1.5385285778400188</v>
      </c>
      <c r="S13" s="118">
        <f>AVERAGE(O$3:O13)</f>
        <v>1.7886166116857694</v>
      </c>
      <c r="T13" s="118">
        <f>AVERAGE(P$3:P13)</f>
        <v>5.7912289415551703E-2</v>
      </c>
      <c r="U13" s="118">
        <f>AVERAGE(Q$3:Q13)</f>
        <v>5.4288440854661459</v>
      </c>
      <c r="V13" s="118">
        <f t="shared" si="10"/>
        <v>-0.86017795417317366</v>
      </c>
      <c r="AP13" s="57"/>
      <c r="AQ13" s="57"/>
      <c r="AR13" s="57"/>
      <c r="BL13" s="57"/>
      <c r="BM13" s="57"/>
      <c r="BN13" s="57"/>
      <c r="BO13" s="57"/>
      <c r="BP13" s="57"/>
    </row>
    <row r="14" spans="1:68" customFormat="1" ht="16.5" x14ac:dyDescent="0.3">
      <c r="A14" s="74">
        <v>12</v>
      </c>
      <c r="B14" s="143">
        <v>32</v>
      </c>
      <c r="C14" s="147">
        <f t="shared" si="11"/>
        <v>44.5</v>
      </c>
      <c r="D14" s="149">
        <f t="shared" si="0"/>
        <v>45.7893115942029</v>
      </c>
      <c r="E14" s="150">
        <f t="shared" si="2"/>
        <v>0.69885304858025687</v>
      </c>
      <c r="F14" s="151">
        <f t="shared" si="1"/>
        <v>4</v>
      </c>
      <c r="G14" s="151"/>
      <c r="H14" s="151"/>
      <c r="I14" s="144">
        <f t="shared" si="12"/>
        <v>37.808410673639422</v>
      </c>
      <c r="J14" s="135">
        <f t="shared" si="13"/>
        <v>38.754815262205454</v>
      </c>
      <c r="K14" s="135">
        <f t="shared" si="14"/>
        <v>1.1715098392185879</v>
      </c>
      <c r="L14" s="135">
        <f t="shared" si="15"/>
        <v>0.82570384566397614</v>
      </c>
      <c r="M14" s="158">
        <f t="shared" si="5"/>
        <v>32.967320179475976</v>
      </c>
      <c r="N14" s="119">
        <f t="shared" si="6"/>
        <v>-0.96732017947597626</v>
      </c>
      <c r="O14" s="119">
        <f t="shared" si="7"/>
        <v>0.96732017947597626</v>
      </c>
      <c r="P14" s="119">
        <f t="shared" si="8"/>
        <v>3.0228755608624258E-2</v>
      </c>
      <c r="Q14" s="119">
        <f t="shared" si="9"/>
        <v>0.93570832962143491</v>
      </c>
      <c r="R14" s="154">
        <f>SUM($N14:N14)</f>
        <v>-0.96732017947597626</v>
      </c>
      <c r="S14" s="118">
        <f>AVERAGE(O$3:O14)</f>
        <v>1.7201752423349532</v>
      </c>
      <c r="T14" s="118">
        <f>AVERAGE(P$3:P14)</f>
        <v>5.5605328264974413E-2</v>
      </c>
      <c r="U14" s="118">
        <f>AVERAGE(Q$3:Q14)</f>
        <v>5.05441610581242</v>
      </c>
      <c r="V14" s="118">
        <f t="shared" si="10"/>
        <v>-0.56233815931622344</v>
      </c>
      <c r="AP14" s="57"/>
      <c r="AQ14" s="57"/>
      <c r="AR14" s="57"/>
      <c r="BL14" s="57"/>
      <c r="BM14" s="57"/>
      <c r="BN14" s="57"/>
      <c r="BO14" s="57"/>
      <c r="BP14" s="57"/>
    </row>
    <row r="15" spans="1:68" customFormat="1" ht="16.5" x14ac:dyDescent="0.3">
      <c r="A15" s="74">
        <v>13</v>
      </c>
      <c r="B15" s="143">
        <v>35</v>
      </c>
      <c r="C15" s="147">
        <f t="shared" si="11"/>
        <v>43.75</v>
      </c>
      <c r="D15" s="149">
        <f t="shared" si="0"/>
        <v>47.050670289855077</v>
      </c>
      <c r="E15" s="150">
        <f t="shared" si="2"/>
        <v>0.74387888173288352</v>
      </c>
      <c r="F15" s="151">
        <f t="shared" si="1"/>
        <v>1</v>
      </c>
      <c r="G15" s="151"/>
      <c r="H15" s="151"/>
      <c r="I15" s="144">
        <f t="shared" si="12"/>
        <v>40.505607442629127</v>
      </c>
      <c r="J15" s="135">
        <f t="shared" si="13"/>
        <v>40.655444125294657</v>
      </c>
      <c r="K15" s="135">
        <f t="shared" si="14"/>
        <v>1.1806688643126755</v>
      </c>
      <c r="L15" s="135">
        <f t="shared" si="15"/>
        <v>0.86089331338097475</v>
      </c>
      <c r="M15" s="158">
        <f t="shared" si="5"/>
        <v>36.016429930603891</v>
      </c>
      <c r="N15" s="119">
        <f t="shared" si="6"/>
        <v>-1.0164299306038913</v>
      </c>
      <c r="O15" s="119">
        <f t="shared" si="7"/>
        <v>1.0164299306038913</v>
      </c>
      <c r="P15" s="119">
        <f t="shared" si="8"/>
        <v>2.9040855160111179E-2</v>
      </c>
      <c r="Q15" s="119">
        <f t="shared" si="9"/>
        <v>1.0331298038274312</v>
      </c>
      <c r="R15" s="154">
        <f>SUM($N15:N15)</f>
        <v>-1.0164299306038913</v>
      </c>
      <c r="S15" s="118">
        <f>AVERAGE(O$3:O15)</f>
        <v>1.6660409875864099</v>
      </c>
      <c r="T15" s="118">
        <f>AVERAGE(P$3:P15)</f>
        <v>5.3561907256908015E-2</v>
      </c>
      <c r="U15" s="118">
        <f>AVERAGE(Q$3:Q15)</f>
        <v>4.7450863902751133</v>
      </c>
      <c r="V15" s="118">
        <f t="shared" si="10"/>
        <v>-0.61008698956223828</v>
      </c>
      <c r="AP15" s="57"/>
      <c r="AQ15" s="57"/>
      <c r="AR15" s="57"/>
      <c r="BL15" s="57"/>
      <c r="BM15" s="57"/>
      <c r="BN15" s="57"/>
      <c r="BO15" s="57"/>
      <c r="BP15" s="57"/>
    </row>
    <row r="16" spans="1:68" customFormat="1" ht="16.5" x14ac:dyDescent="0.3">
      <c r="A16" s="74">
        <v>14</v>
      </c>
      <c r="B16" s="143">
        <v>55</v>
      </c>
      <c r="C16" s="147">
        <f t="shared" si="11"/>
        <v>44.75</v>
      </c>
      <c r="D16" s="149">
        <f t="shared" si="0"/>
        <v>48.312028985507254</v>
      </c>
      <c r="E16" s="150">
        <f t="shared" si="2"/>
        <v>1.1384328324628845</v>
      </c>
      <c r="F16" s="151">
        <f t="shared" si="1"/>
        <v>2</v>
      </c>
      <c r="G16" s="151"/>
      <c r="H16" s="151"/>
      <c r="I16" s="144">
        <f t="shared" si="12"/>
        <v>54.205234618128138</v>
      </c>
      <c r="J16" s="135">
        <f t="shared" si="13"/>
        <v>49.020387291419468</v>
      </c>
      <c r="K16" s="135">
        <f t="shared" si="14"/>
        <v>1.2709160619016158</v>
      </c>
      <c r="L16" s="135">
        <f t="shared" si="15"/>
        <v>1.121982159647833</v>
      </c>
      <c r="M16" s="158">
        <f t="shared" si="5"/>
        <v>56.425945147863494</v>
      </c>
      <c r="N16" s="119">
        <f t="shared" si="6"/>
        <v>-1.4259451478634944</v>
      </c>
      <c r="O16" s="119">
        <f t="shared" si="7"/>
        <v>1.4259451478634944</v>
      </c>
      <c r="P16" s="119">
        <f t="shared" si="8"/>
        <v>2.5926275415699897E-2</v>
      </c>
      <c r="Q16" s="119">
        <f t="shared" si="9"/>
        <v>2.033319564715443</v>
      </c>
      <c r="R16" s="154">
        <f>SUM($N16:N16)</f>
        <v>-1.4259451478634944</v>
      </c>
      <c r="S16" s="118">
        <f>AVERAGE(O$3:O16)</f>
        <v>1.6488912847490589</v>
      </c>
      <c r="T16" s="118">
        <f>AVERAGE(P$3:P16)</f>
        <v>5.1587933553964578E-2</v>
      </c>
      <c r="U16" s="118">
        <f>AVERAGE(Q$3:Q16)</f>
        <v>4.5513887598779936</v>
      </c>
      <c r="V16" s="118">
        <f t="shared" si="10"/>
        <v>-0.86479027516996421</v>
      </c>
      <c r="AP16" s="65"/>
      <c r="AQ16" s="65"/>
      <c r="AR16" s="65"/>
      <c r="AS16" s="6"/>
      <c r="AT16" s="6"/>
      <c r="AU16" s="6"/>
      <c r="AV16" s="6"/>
      <c r="AW16" s="6"/>
      <c r="AX16" s="6"/>
      <c r="AY16" s="6"/>
      <c r="BL16" s="57"/>
      <c r="BM16" s="57"/>
      <c r="BN16" s="57"/>
      <c r="BO16" s="57"/>
      <c r="BP16" s="57"/>
    </row>
    <row r="17" spans="1:68" ht="16.5" x14ac:dyDescent="0.3">
      <c r="A17" s="74">
        <v>15</v>
      </c>
      <c r="B17" s="143">
        <v>50</v>
      </c>
      <c r="C17" s="147">
        <f t="shared" si="11"/>
        <v>47.625</v>
      </c>
      <c r="D17" s="149">
        <f t="shared" si="0"/>
        <v>49.573387681159424</v>
      </c>
      <c r="E17" s="150">
        <f t="shared" si="2"/>
        <v>1.0086056720913328</v>
      </c>
      <c r="F17" s="151">
        <f t="shared" si="1"/>
        <v>3</v>
      </c>
      <c r="G17" s="151"/>
      <c r="H17" s="151"/>
      <c r="I17" s="144">
        <f t="shared" si="12"/>
        <v>59.062759325793706</v>
      </c>
      <c r="J17" s="135">
        <f t="shared" si="13"/>
        <v>41.966704778987435</v>
      </c>
      <c r="K17" s="135">
        <f t="shared" si="14"/>
        <v>1.1663443736801624</v>
      </c>
      <c r="L17" s="135">
        <f t="shared" si="15"/>
        <v>1.1914206813072159</v>
      </c>
      <c r="M17" s="158">
        <f t="shared" si="5"/>
        <v>51.389606808328857</v>
      </c>
      <c r="N17" s="119">
        <f t="shared" si="6"/>
        <v>-1.3896068083288569</v>
      </c>
      <c r="O17" s="119">
        <f t="shared" si="7"/>
        <v>1.3896068083288569</v>
      </c>
      <c r="P17" s="119">
        <f t="shared" si="8"/>
        <v>2.7792136166577136E-2</v>
      </c>
      <c r="Q17" s="119">
        <f t="shared" si="9"/>
        <v>1.9310070817539122</v>
      </c>
      <c r="R17" s="154">
        <f>SUM($N17:N17)</f>
        <v>-1.3896068083288569</v>
      </c>
      <c r="S17" s="118">
        <f>AVERAGE(O$3:O17)</f>
        <v>1.6316056529877121</v>
      </c>
      <c r="T17" s="118">
        <f>AVERAGE(P$3:P17)</f>
        <v>5.0001547061472085E-2</v>
      </c>
      <c r="U17" s="118">
        <f>AVERAGE(Q$3:Q17)</f>
        <v>4.3766966480030556</v>
      </c>
      <c r="V17" s="118">
        <f t="shared" si="10"/>
        <v>-0.85168055515392493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 s="65"/>
      <c r="AQ17" s="65"/>
      <c r="AR17" s="65"/>
      <c r="AS17" s="6"/>
      <c r="AT17" s="6"/>
      <c r="AU17" s="6"/>
      <c r="AV17" s="6"/>
      <c r="AW17" s="6"/>
      <c r="AX17" s="6"/>
      <c r="AY17" s="6"/>
    </row>
    <row r="18" spans="1:68" ht="16.5" x14ac:dyDescent="0.3">
      <c r="A18" s="74">
        <v>16</v>
      </c>
      <c r="B18" s="143">
        <v>46</v>
      </c>
      <c r="C18" s="147">
        <f t="shared" si="11"/>
        <v>47.5</v>
      </c>
      <c r="D18" s="149">
        <f t="shared" si="0"/>
        <v>50.834746376811594</v>
      </c>
      <c r="E18" s="150">
        <f t="shared" si="2"/>
        <v>0.90489287895774817</v>
      </c>
      <c r="F18" s="151">
        <f t="shared" si="1"/>
        <v>4</v>
      </c>
      <c r="G18" s="151"/>
      <c r="H18" s="151"/>
      <c r="I18" s="144">
        <f t="shared" si="12"/>
        <v>41.974445576686215</v>
      </c>
      <c r="J18" s="135">
        <f t="shared" si="13"/>
        <v>55.710046939420344</v>
      </c>
      <c r="K18" s="135">
        <f t="shared" si="14"/>
        <v>1.3243337205026302</v>
      </c>
      <c r="L18" s="135">
        <f t="shared" si="15"/>
        <v>0.82570384566397614</v>
      </c>
      <c r="M18" s="158">
        <f t="shared" si="5"/>
        <v>47.093507445961507</v>
      </c>
      <c r="N18" s="119">
        <f t="shared" si="6"/>
        <v>-1.0935074459615066</v>
      </c>
      <c r="O18" s="119">
        <f t="shared" si="7"/>
        <v>1.0935074459615066</v>
      </c>
      <c r="P18" s="119">
        <f t="shared" si="8"/>
        <v>2.3771900999163188E-2</v>
      </c>
      <c r="Q18" s="119">
        <f t="shared" si="9"/>
        <v>1.1957585343732573</v>
      </c>
      <c r="R18" s="154">
        <f>SUM($N18:N18)</f>
        <v>-1.0935074459615066</v>
      </c>
      <c r="S18" s="118">
        <f>AVERAGE(O$3:O18)</f>
        <v>1.5979745150485742</v>
      </c>
      <c r="T18" s="118">
        <f>AVERAGE(P$3:P18)</f>
        <v>4.8362194182577777E-2</v>
      </c>
      <c r="U18" s="118">
        <f>AVERAGE(Q$3:Q18)</f>
        <v>4.1778880159011926</v>
      </c>
      <c r="V18" s="118">
        <f t="shared" si="10"/>
        <v>-0.68430843900427718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 s="65"/>
      <c r="AQ18" s="65"/>
      <c r="AR18" s="65"/>
      <c r="AS18" s="6"/>
      <c r="AT18" s="6"/>
      <c r="AU18" s="6"/>
      <c r="AV18" s="6"/>
      <c r="AW18" s="6"/>
      <c r="AX18" s="6"/>
      <c r="AY18" s="6"/>
    </row>
    <row r="19" spans="1:68" ht="16.5" x14ac:dyDescent="0.3">
      <c r="A19" s="74">
        <v>17</v>
      </c>
      <c r="B19" s="143">
        <v>44</v>
      </c>
      <c r="C19" s="147">
        <f t="shared" si="11"/>
        <v>47.375</v>
      </c>
      <c r="D19" s="149">
        <f t="shared" si="0"/>
        <v>52.096105072463772</v>
      </c>
      <c r="E19" s="150">
        <f t="shared" si="2"/>
        <v>0.84459289113452174</v>
      </c>
      <c r="F19" s="151">
        <f t="shared" si="1"/>
        <v>1</v>
      </c>
      <c r="G19" s="151"/>
      <c r="H19" s="151"/>
      <c r="I19" s="144">
        <f t="shared" si="12"/>
        <v>44.849188510076743</v>
      </c>
      <c r="J19" s="135">
        <f t="shared" si="13"/>
        <v>51.109701186084706</v>
      </c>
      <c r="K19" s="135">
        <f t="shared" si="14"/>
        <v>1.2499092627683601</v>
      </c>
      <c r="L19" s="135">
        <f t="shared" si="15"/>
        <v>0.86089331338097475</v>
      </c>
      <c r="M19" s="158">
        <f t="shared" si="5"/>
        <v>45.076038526650223</v>
      </c>
      <c r="N19" s="119">
        <f t="shared" si="6"/>
        <v>-1.0760385266502226</v>
      </c>
      <c r="O19" s="119">
        <f t="shared" si="7"/>
        <v>1.0760385266502226</v>
      </c>
      <c r="P19" s="119">
        <f t="shared" si="8"/>
        <v>2.4455421060232331E-2</v>
      </c>
      <c r="Q19" s="119">
        <f t="shared" si="9"/>
        <v>1.1578589108355819</v>
      </c>
      <c r="R19" s="154">
        <f>SUM($N19:N19)</f>
        <v>-1.0760385266502226</v>
      </c>
      <c r="S19" s="118">
        <f>AVERAGE(O$3:O19)</f>
        <v>1.5672723980839653</v>
      </c>
      <c r="T19" s="118">
        <f>AVERAGE(P$3:P19)</f>
        <v>4.6955913410675107E-2</v>
      </c>
      <c r="U19" s="118">
        <f>AVERAGE(Q$3:Q19)</f>
        <v>4.0002392450149804</v>
      </c>
      <c r="V19" s="118">
        <f t="shared" si="10"/>
        <v>-0.68656764960941696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 s="65"/>
      <c r="AQ19" s="65"/>
      <c r="AR19" s="65"/>
      <c r="AS19" s="6"/>
      <c r="AT19" s="6"/>
      <c r="AU19" s="6"/>
      <c r="AV19" s="6"/>
      <c r="AW19" s="6"/>
      <c r="AX19" s="6"/>
      <c r="AY19" s="6"/>
    </row>
    <row r="20" spans="1:68" ht="16.5" x14ac:dyDescent="0.3">
      <c r="A20" s="74">
        <v>18</v>
      </c>
      <c r="B20" s="143">
        <v>45</v>
      </c>
      <c r="C20" s="147">
        <f t="shared" si="11"/>
        <v>48.875</v>
      </c>
      <c r="D20" s="149">
        <f t="shared" si="0"/>
        <v>53.357463768115949</v>
      </c>
      <c r="E20" s="150">
        <f t="shared" si="2"/>
        <v>0.84336842162445513</v>
      </c>
      <c r="F20" s="151">
        <f t="shared" si="1"/>
        <v>2</v>
      </c>
      <c r="G20" s="151"/>
      <c r="H20" s="151"/>
      <c r="I20" s="144">
        <f t="shared" si="12"/>
        <v>59.866122431881735</v>
      </c>
      <c r="J20" s="135">
        <f t="shared" si="13"/>
        <v>40.107589602070476</v>
      </c>
      <c r="K20" s="135">
        <f t="shared" si="14"/>
        <v>1.0960022013488786</v>
      </c>
      <c r="L20" s="135">
        <f t="shared" si="15"/>
        <v>1.121982159647833</v>
      </c>
      <c r="M20" s="158">
        <f t="shared" si="5"/>
        <v>46.229694916848203</v>
      </c>
      <c r="N20" s="119">
        <f t="shared" si="6"/>
        <v>-1.229694916848203</v>
      </c>
      <c r="O20" s="119">
        <f t="shared" si="7"/>
        <v>1.229694916848203</v>
      </c>
      <c r="P20" s="119">
        <f t="shared" si="8"/>
        <v>2.7326553707737844E-2</v>
      </c>
      <c r="Q20" s="119">
        <f t="shared" si="9"/>
        <v>1.5121495885223089</v>
      </c>
      <c r="R20" s="154">
        <f>SUM($N20:N20)</f>
        <v>-1.229694916848203</v>
      </c>
      <c r="S20" s="118">
        <f>AVERAGE(O$3:O20)</f>
        <v>1.5485180935708673</v>
      </c>
      <c r="T20" s="118">
        <f>AVERAGE(P$3:P20)</f>
        <v>4.5865393427178588E-2</v>
      </c>
      <c r="U20" s="118">
        <f>AVERAGE(Q$3:Q20)</f>
        <v>3.8620120418764987</v>
      </c>
      <c r="V20" s="118">
        <f t="shared" si="10"/>
        <v>-0.79411078369290389</v>
      </c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"/>
      <c r="AT20" s="6"/>
      <c r="AU20" s="6"/>
      <c r="AV20" s="6"/>
      <c r="AW20" s="6"/>
      <c r="AX20" s="6"/>
      <c r="AY20" s="6"/>
    </row>
    <row r="21" spans="1:68" ht="16.5" x14ac:dyDescent="0.3">
      <c r="A21" s="74">
        <v>19</v>
      </c>
      <c r="B21" s="143">
        <v>59</v>
      </c>
      <c r="C21" s="147">
        <f t="shared" si="11"/>
        <v>48.625</v>
      </c>
      <c r="D21" s="149">
        <f t="shared" si="0"/>
        <v>54.618822463768119</v>
      </c>
      <c r="E21" s="150">
        <f t="shared" si="2"/>
        <v>1.0802136944482494</v>
      </c>
      <c r="F21" s="151">
        <f t="shared" si="1"/>
        <v>3</v>
      </c>
      <c r="G21" s="151"/>
      <c r="H21" s="151"/>
      <c r="I21" s="144">
        <f t="shared" si="12"/>
        <v>65.073994671980486</v>
      </c>
      <c r="J21" s="135">
        <f t="shared" si="13"/>
        <v>49.520711639205167</v>
      </c>
      <c r="K21" s="135">
        <f t="shared" si="14"/>
        <v>1.2004799433807676</v>
      </c>
      <c r="L21" s="135">
        <f t="shared" si="15"/>
        <v>1.1914206813072159</v>
      </c>
      <c r="M21" s="158">
        <f t="shared" si="5"/>
        <v>60.430276632038364</v>
      </c>
      <c r="N21" s="119">
        <f t="shared" si="6"/>
        <v>-1.430276632038364</v>
      </c>
      <c r="O21" s="119">
        <f t="shared" si="7"/>
        <v>1.430276632038364</v>
      </c>
      <c r="P21" s="119">
        <f t="shared" si="8"/>
        <v>2.4241976814209559E-2</v>
      </c>
      <c r="Q21" s="119">
        <f t="shared" si="9"/>
        <v>2.0456912441550057</v>
      </c>
      <c r="R21" s="154">
        <f>SUM($N21:N21)</f>
        <v>-1.430276632038364</v>
      </c>
      <c r="S21" s="118">
        <f>AVERAGE(O$3:O21)</f>
        <v>1.5422948587533671</v>
      </c>
      <c r="T21" s="118">
        <f>AVERAGE(P$3:P21)</f>
        <v>4.4727318868601276E-2</v>
      </c>
      <c r="U21" s="118">
        <f>AVERAGE(Q$3:Q21)</f>
        <v>3.7664162104174728</v>
      </c>
      <c r="V21" s="118">
        <f t="shared" si="10"/>
        <v>-0.92736912395237625</v>
      </c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"/>
      <c r="AT21" s="6"/>
      <c r="AU21" s="6"/>
      <c r="AV21" s="6"/>
      <c r="AW21" s="6"/>
      <c r="AX21" s="6"/>
      <c r="AY21" s="6"/>
    </row>
    <row r="22" spans="1:68" ht="16.5" x14ac:dyDescent="0.3">
      <c r="A22" s="74">
        <v>20</v>
      </c>
      <c r="B22" s="143">
        <v>49</v>
      </c>
      <c r="C22" s="147">
        <f t="shared" si="11"/>
        <v>51.5</v>
      </c>
      <c r="D22" s="149">
        <f t="shared" si="0"/>
        <v>55.880181159420289</v>
      </c>
      <c r="E22" s="150">
        <f t="shared" si="2"/>
        <v>0.87687618370828369</v>
      </c>
      <c r="F22" s="151">
        <f t="shared" si="1"/>
        <v>4</v>
      </c>
      <c r="G22" s="151"/>
      <c r="H22" s="151"/>
      <c r="I22" s="144">
        <f t="shared" si="12"/>
        <v>46.140480479733</v>
      </c>
      <c r="J22" s="135">
        <f t="shared" si="13"/>
        <v>59.343310870252104</v>
      </c>
      <c r="K22" s="135">
        <f t="shared" si="14"/>
        <v>1.3087890182156681</v>
      </c>
      <c r="L22" s="135">
        <f t="shared" si="15"/>
        <v>0.82570384566397614</v>
      </c>
      <c r="M22" s="158">
        <f t="shared" si="5"/>
        <v>50.080672125503462</v>
      </c>
      <c r="N22" s="119">
        <f t="shared" si="6"/>
        <v>-1.0806721255034617</v>
      </c>
      <c r="O22" s="119">
        <f t="shared" si="7"/>
        <v>1.0806721255034617</v>
      </c>
      <c r="P22" s="119">
        <f t="shared" si="8"/>
        <v>2.2054533173540034E-2</v>
      </c>
      <c r="Q22" s="119">
        <f t="shared" si="9"/>
        <v>1.1678522428401696</v>
      </c>
      <c r="R22" s="154">
        <f>SUM($N22:N22)</f>
        <v>-1.0806721255034617</v>
      </c>
      <c r="S22" s="118">
        <f>AVERAGE(O$3:O22)</f>
        <v>1.5192137220908719</v>
      </c>
      <c r="T22" s="118">
        <f>AVERAGE(P$3:P22)</f>
        <v>4.3593679583848209E-2</v>
      </c>
      <c r="U22" s="118">
        <f>AVERAGE(Q$3:Q22)</f>
        <v>3.6364880120386074</v>
      </c>
      <c r="V22" s="118">
        <f t="shared" si="10"/>
        <v>-0.71133646951012808</v>
      </c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"/>
      <c r="AT22" s="6"/>
      <c r="AU22" s="6"/>
      <c r="AV22" s="6"/>
      <c r="AW22" s="6"/>
      <c r="AX22" s="6"/>
      <c r="AY22" s="6"/>
    </row>
    <row r="23" spans="1:68" ht="16.5" x14ac:dyDescent="0.3">
      <c r="A23" s="74">
        <v>21</v>
      </c>
      <c r="B23" s="143">
        <v>39</v>
      </c>
      <c r="C23" s="147">
        <f t="shared" si="11"/>
        <v>57</v>
      </c>
      <c r="D23" s="149">
        <f t="shared" si="0"/>
        <v>57.141539855072466</v>
      </c>
      <c r="E23" s="150">
        <f t="shared" si="2"/>
        <v>0.68251573371868035</v>
      </c>
      <c r="F23" s="151">
        <f t="shared" si="1"/>
        <v>1</v>
      </c>
      <c r="G23" s="151"/>
      <c r="H23" s="151"/>
      <c r="I23" s="144">
        <f t="shared" si="12"/>
        <v>49.192769577524359</v>
      </c>
      <c r="J23" s="135">
        <f t="shared" si="13"/>
        <v>45.301780596756899</v>
      </c>
      <c r="K23" s="135">
        <f t="shared" si="14"/>
        <v>1.1159618459815952</v>
      </c>
      <c r="L23" s="135">
        <f t="shared" si="15"/>
        <v>0.86089331338097475</v>
      </c>
      <c r="M23" s="158">
        <f t="shared" si="5"/>
        <v>39.960724091193839</v>
      </c>
      <c r="N23" s="119">
        <f t="shared" si="6"/>
        <v>-0.96072409119383906</v>
      </c>
      <c r="O23" s="119">
        <f t="shared" si="7"/>
        <v>0.96072409119383906</v>
      </c>
      <c r="P23" s="119">
        <f t="shared" si="8"/>
        <v>2.4633951056252285E-2</v>
      </c>
      <c r="Q23" s="119">
        <f t="shared" si="9"/>
        <v>0.922990779400228</v>
      </c>
      <c r="R23" s="154">
        <f>SUM($N23:N23)</f>
        <v>-0.96072409119383906</v>
      </c>
      <c r="S23" s="118">
        <f>AVERAGE(O$3:O23)</f>
        <v>1.4926189777624419</v>
      </c>
      <c r="T23" s="118">
        <f>AVERAGE(P$3:P23)</f>
        <v>4.2690835368248407E-2</v>
      </c>
      <c r="U23" s="118">
        <f>AVERAGE(Q$3:Q23)</f>
        <v>3.5072738581034466</v>
      </c>
      <c r="V23" s="118">
        <f t="shared" si="10"/>
        <v>-0.64364992372939223</v>
      </c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"/>
      <c r="AT23" s="6"/>
      <c r="AU23" s="6"/>
      <c r="AV23" s="6"/>
      <c r="AW23" s="6"/>
      <c r="AX23" s="6"/>
      <c r="AY23" s="6"/>
    </row>
    <row r="24" spans="1:68" ht="16.5" x14ac:dyDescent="0.3">
      <c r="A24" s="74">
        <v>22</v>
      </c>
      <c r="B24" s="143">
        <v>73</v>
      </c>
      <c r="C24" s="147">
        <f t="shared" si="11"/>
        <v>59.875</v>
      </c>
      <c r="D24" s="149">
        <f t="shared" si="0"/>
        <v>58.402898550724643</v>
      </c>
      <c r="E24" s="150">
        <f t="shared" si="2"/>
        <v>1.2499379621817459</v>
      </c>
      <c r="F24" s="151">
        <f t="shared" si="1"/>
        <v>2</v>
      </c>
      <c r="G24" s="151"/>
      <c r="H24" s="151"/>
      <c r="I24" s="144">
        <f t="shared" si="12"/>
        <v>65.527010245635324</v>
      </c>
      <c r="J24" s="135">
        <f t="shared" si="13"/>
        <v>65.06342313224765</v>
      </c>
      <c r="K24" s="135">
        <f t="shared" si="14"/>
        <v>1.350184588415299</v>
      </c>
      <c r="L24" s="135">
        <f t="shared" si="15"/>
        <v>1.121982159647833</v>
      </c>
      <c r="M24" s="158">
        <f t="shared" si="5"/>
        <v>74.514883020433416</v>
      </c>
      <c r="N24" s="119">
        <f t="shared" si="6"/>
        <v>-1.514883020433416</v>
      </c>
      <c r="O24" s="119">
        <f t="shared" si="7"/>
        <v>1.514883020433416</v>
      </c>
      <c r="P24" s="119">
        <f t="shared" si="8"/>
        <v>2.0751822197718029E-2</v>
      </c>
      <c r="Q24" s="119">
        <f t="shared" si="9"/>
        <v>2.2948705655974697</v>
      </c>
      <c r="R24" s="154">
        <f>SUM($N24:N24)</f>
        <v>-1.514883020433416</v>
      </c>
      <c r="S24" s="118">
        <f>AVERAGE(O$3:O24)</f>
        <v>1.4936309797020315</v>
      </c>
      <c r="T24" s="118">
        <f>AVERAGE(P$3:P24)</f>
        <v>4.1693607496860657E-2</v>
      </c>
      <c r="U24" s="118">
        <f>AVERAGE(Q$3:Q24)</f>
        <v>3.4521646175349927</v>
      </c>
      <c r="V24" s="118">
        <f t="shared" si="10"/>
        <v>-1.0142284413085916</v>
      </c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"/>
      <c r="AT24" s="6"/>
      <c r="AU24" s="6"/>
      <c r="AV24" s="6"/>
      <c r="AW24" s="6"/>
      <c r="AX24" s="6"/>
      <c r="AY24" s="6"/>
    </row>
    <row r="25" spans="1:68" ht="16.5" x14ac:dyDescent="0.3">
      <c r="A25" s="74">
        <v>23</v>
      </c>
      <c r="B25" s="143">
        <v>75</v>
      </c>
      <c r="C25" s="147">
        <f t="shared" si="11"/>
        <v>63.375</v>
      </c>
      <c r="D25" s="149">
        <f t="shared" si="0"/>
        <v>59.664257246376813</v>
      </c>
      <c r="E25" s="150">
        <f t="shared" si="2"/>
        <v>1.2570340009479373</v>
      </c>
      <c r="F25" s="151">
        <f t="shared" si="1"/>
        <v>3</v>
      </c>
      <c r="G25" s="151"/>
      <c r="H25" s="151"/>
      <c r="I25" s="144">
        <f t="shared" si="12"/>
        <v>71.085230018167252</v>
      </c>
      <c r="J25" s="135">
        <f t="shared" si="13"/>
        <v>62.950057168481152</v>
      </c>
      <c r="K25" s="135">
        <f t="shared" si="14"/>
        <v>1.3066762648309405</v>
      </c>
      <c r="L25" s="135">
        <f t="shared" si="15"/>
        <v>1.1914206813072159</v>
      </c>
      <c r="M25" s="158">
        <f t="shared" si="5"/>
        <v>76.556801125692857</v>
      </c>
      <c r="N25" s="119">
        <f t="shared" si="6"/>
        <v>-1.5568011256928571</v>
      </c>
      <c r="O25" s="119">
        <f t="shared" si="7"/>
        <v>1.5568011256928571</v>
      </c>
      <c r="P25" s="119">
        <f t="shared" si="8"/>
        <v>2.0757348342571428E-2</v>
      </c>
      <c r="Q25" s="119">
        <f t="shared" si="9"/>
        <v>2.4236297449585469</v>
      </c>
      <c r="R25" s="154">
        <f>SUM($N25:N25)</f>
        <v>-1.5568011256928571</v>
      </c>
      <c r="S25" s="118">
        <f>AVERAGE(O$3:O25)</f>
        <v>1.4963775077885892</v>
      </c>
      <c r="T25" s="118">
        <f>AVERAGE(P$3:P25)</f>
        <v>4.0783335359717655E-2</v>
      </c>
      <c r="U25" s="118">
        <f>AVERAGE(Q$3:Q25)</f>
        <v>3.4074457100316691</v>
      </c>
      <c r="V25" s="118">
        <f t="shared" si="10"/>
        <v>-1.0403799292556626</v>
      </c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"/>
      <c r="AT25" s="6"/>
      <c r="AU25" s="6"/>
      <c r="AV25" s="6"/>
      <c r="AW25" s="6"/>
      <c r="AX25" s="6"/>
      <c r="AY25" s="6"/>
    </row>
    <row r="26" spans="1:68" ht="16.5" x14ac:dyDescent="0.3">
      <c r="A26" s="74">
        <v>24</v>
      </c>
      <c r="B26" s="143">
        <v>56</v>
      </c>
      <c r="C26" s="147">
        <f t="shared" si="11"/>
        <v>65.75</v>
      </c>
      <c r="D26" s="149">
        <f t="shared" si="0"/>
        <v>60.92561594202899</v>
      </c>
      <c r="E26" s="150">
        <f t="shared" si="2"/>
        <v>0.91915361271495821</v>
      </c>
      <c r="F26" s="151">
        <f t="shared" si="1"/>
        <v>4</v>
      </c>
      <c r="G26" s="151"/>
      <c r="H26" s="151"/>
      <c r="I26" s="144">
        <f t="shared" si="12"/>
        <v>50.306515382779793</v>
      </c>
      <c r="J26" s="135">
        <f t="shared" si="13"/>
        <v>67.820926708859545</v>
      </c>
      <c r="K26" s="135">
        <f t="shared" si="14"/>
        <v>1.3514488391050561</v>
      </c>
      <c r="L26" s="135">
        <f t="shared" si="15"/>
        <v>0.82570384566397614</v>
      </c>
      <c r="M26" s="158">
        <f t="shared" si="5"/>
        <v>57.115896503667166</v>
      </c>
      <c r="N26" s="119">
        <f t="shared" si="6"/>
        <v>-1.115896503667166</v>
      </c>
      <c r="O26" s="119">
        <f t="shared" si="7"/>
        <v>1.115896503667166</v>
      </c>
      <c r="P26" s="119">
        <f t="shared" si="8"/>
        <v>1.9926723279770821E-2</v>
      </c>
      <c r="Q26" s="119">
        <f t="shared" si="9"/>
        <v>1.2452250068966053</v>
      </c>
      <c r="R26" s="154">
        <f>SUM($N26:N26)</f>
        <v>-1.115896503667166</v>
      </c>
      <c r="S26" s="118">
        <f>AVERAGE(O$3:O26)</f>
        <v>1.4805241326168632</v>
      </c>
      <c r="T26" s="118">
        <f>AVERAGE(P$3:P26)</f>
        <v>3.9914309856386533E-2</v>
      </c>
      <c r="U26" s="118">
        <f>AVERAGE(Q$3:Q26)</f>
        <v>3.3173531807343744</v>
      </c>
      <c r="V26" s="118">
        <f t="shared" si="10"/>
        <v>-0.75371719993161557</v>
      </c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"/>
      <c r="AT26" s="6"/>
      <c r="AU26" s="6"/>
      <c r="AV26" s="6"/>
      <c r="AW26" s="6"/>
      <c r="AX26" s="6"/>
      <c r="AY26" s="6"/>
    </row>
    <row r="27" spans="1:68" ht="16.5" x14ac:dyDescent="0.3">
      <c r="A27" s="74">
        <v>25</v>
      </c>
      <c r="B27" s="143">
        <v>60</v>
      </c>
      <c r="C27" s="147">
        <f t="shared" si="11"/>
        <v>66.625</v>
      </c>
      <c r="D27" s="149">
        <f t="shared" si="0"/>
        <v>62.186974637681161</v>
      </c>
      <c r="E27" s="150">
        <f t="shared" si="2"/>
        <v>0.96483227154202156</v>
      </c>
      <c r="F27" s="151">
        <f t="shared" si="1"/>
        <v>1</v>
      </c>
      <c r="G27" s="151"/>
      <c r="H27" s="151"/>
      <c r="I27" s="144">
        <f t="shared" si="12"/>
        <v>53.536350644971975</v>
      </c>
      <c r="J27" s="135">
        <f t="shared" si="13"/>
        <v>69.695047071933701</v>
      </c>
      <c r="K27" s="135">
        <f t="shared" si="14"/>
        <v>1.3580145182977135</v>
      </c>
      <c r="L27" s="135">
        <f t="shared" si="15"/>
        <v>0.86089331338097475</v>
      </c>
      <c r="M27" s="158">
        <f t="shared" si="5"/>
        <v>61.169105618276788</v>
      </c>
      <c r="N27" s="119">
        <f t="shared" si="6"/>
        <v>-1.1691056182767881</v>
      </c>
      <c r="O27" s="119">
        <f t="shared" si="7"/>
        <v>1.1691056182767881</v>
      </c>
      <c r="P27" s="119">
        <f t="shared" si="8"/>
        <v>1.9485093637946468E-2</v>
      </c>
      <c r="Q27" s="119">
        <f t="shared" si="9"/>
        <v>1.3668079466863507</v>
      </c>
      <c r="R27" s="154">
        <f>SUM($N27:N27)</f>
        <v>-1.1691056182767881</v>
      </c>
      <c r="S27" s="118">
        <f>AVERAGE(O$3:O27)</f>
        <v>1.4680673920432603</v>
      </c>
      <c r="T27" s="118">
        <f>AVERAGE(P$3:P27)</f>
        <v>3.9097141207648935E-2</v>
      </c>
      <c r="U27" s="118">
        <f>AVERAGE(Q$3:Q27)</f>
        <v>3.2393313713724536</v>
      </c>
      <c r="V27" s="118">
        <f t="shared" si="10"/>
        <v>-0.79635691427600175</v>
      </c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"/>
      <c r="AT27" s="6"/>
      <c r="AU27" s="6"/>
      <c r="AV27" s="6"/>
      <c r="AW27" s="6"/>
      <c r="AX27" s="6"/>
      <c r="AY27" s="6"/>
    </row>
    <row r="28" spans="1:68" ht="16.5" x14ac:dyDescent="0.3">
      <c r="A28" s="74">
        <v>26</v>
      </c>
      <c r="B28" s="143">
        <v>71</v>
      </c>
      <c r="C28" s="147">
        <f>AVERAGE(AVERAGE(B26:B29),AVERAGE(B27:B30))</f>
        <v>66</v>
      </c>
      <c r="D28" s="149">
        <f t="shared" si="0"/>
        <v>63.448333333333338</v>
      </c>
      <c r="E28" s="150">
        <f t="shared" si="2"/>
        <v>1.1190207255247051</v>
      </c>
      <c r="F28" s="151">
        <f t="shared" si="1"/>
        <v>2</v>
      </c>
      <c r="G28" s="151"/>
      <c r="H28" s="151"/>
      <c r="I28" s="144">
        <f t="shared" si="12"/>
        <v>71.187898059388928</v>
      </c>
      <c r="J28" s="135">
        <f t="shared" si="13"/>
        <v>63.280863594377855</v>
      </c>
      <c r="K28" s="135">
        <f t="shared" si="14"/>
        <v>1.260381958798247</v>
      </c>
      <c r="L28" s="135">
        <f t="shared" si="15"/>
        <v>1.121982159647833</v>
      </c>
      <c r="M28" s="158">
        <f t="shared" si="5"/>
        <v>72.414126072113618</v>
      </c>
      <c r="N28" s="119">
        <f t="shared" si="6"/>
        <v>-1.4141260721136177</v>
      </c>
      <c r="O28" s="119">
        <f t="shared" si="7"/>
        <v>1.4141260721136177</v>
      </c>
      <c r="P28" s="119">
        <f t="shared" si="8"/>
        <v>1.9917268621318561E-2</v>
      </c>
      <c r="Q28" s="119">
        <f t="shared" si="9"/>
        <v>1.9997525478314888</v>
      </c>
      <c r="R28" s="154">
        <f>SUM($N28:N28)</f>
        <v>-1.4141260721136177</v>
      </c>
      <c r="S28" s="118">
        <f>AVERAGE(O$3:O28)</f>
        <v>1.4659927258921202</v>
      </c>
      <c r="T28" s="118">
        <f>AVERAGE(P$3:P28)</f>
        <v>3.8359453800482383E-2</v>
      </c>
      <c r="U28" s="118">
        <f>AVERAGE(Q$3:Q28)</f>
        <v>3.1916552627747241</v>
      </c>
      <c r="V28" s="118">
        <f t="shared" si="10"/>
        <v>-0.96462011518717505</v>
      </c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"/>
      <c r="AT28" s="6"/>
      <c r="AU28" s="6"/>
      <c r="AV28" s="6"/>
      <c r="AW28" s="6"/>
      <c r="AX28" s="6"/>
      <c r="AY28" s="6"/>
    </row>
    <row r="29" spans="1:68" ht="16.5" x14ac:dyDescent="0.3">
      <c r="A29" s="74">
        <v>27</v>
      </c>
      <c r="B29" s="143">
        <v>84</v>
      </c>
      <c r="C29" s="165"/>
      <c r="D29" s="149">
        <f t="shared" si="0"/>
        <v>64.709692028985501</v>
      </c>
      <c r="E29" s="150">
        <f t="shared" si="2"/>
        <v>1.2981053898753492</v>
      </c>
      <c r="F29" s="151">
        <f t="shared" si="1"/>
        <v>3</v>
      </c>
      <c r="G29" s="151"/>
      <c r="H29" s="151"/>
      <c r="I29" s="144">
        <f t="shared" si="12"/>
        <v>77.096465364354017</v>
      </c>
      <c r="J29" s="135">
        <f t="shared" si="13"/>
        <v>70.504064028698892</v>
      </c>
      <c r="K29" s="135">
        <f t="shared" si="14"/>
        <v>1.3352855098794958</v>
      </c>
      <c r="L29" s="135">
        <f t="shared" si="15"/>
        <v>1.1914206813072159</v>
      </c>
      <c r="M29" s="158">
        <f t="shared" si="5"/>
        <v>85.590886771920296</v>
      </c>
      <c r="N29" s="119">
        <f t="shared" si="6"/>
        <v>-1.5908867719202959</v>
      </c>
      <c r="O29" s="119">
        <f t="shared" si="7"/>
        <v>1.5908867719202959</v>
      </c>
      <c r="P29" s="119">
        <f t="shared" si="8"/>
        <v>1.8939128237146378E-2</v>
      </c>
      <c r="Q29" s="119">
        <f t="shared" si="9"/>
        <v>2.5309207210709799</v>
      </c>
      <c r="R29" s="154">
        <f>SUM($N29:N29)</f>
        <v>-1.5908867719202959</v>
      </c>
      <c r="S29" s="118">
        <f>AVERAGE(O$3:O29)</f>
        <v>1.470618431300571</v>
      </c>
      <c r="T29" s="118">
        <f>AVERAGE(P$3:P29)</f>
        <v>3.7640182483321787E-2</v>
      </c>
      <c r="U29" s="118">
        <f>AVERAGE(Q$3:Q29)</f>
        <v>3.1671836130819933</v>
      </c>
      <c r="V29" s="118">
        <f t="shared" si="10"/>
        <v>-1.0817807923931453</v>
      </c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"/>
      <c r="AT29" s="6"/>
      <c r="AU29" s="6"/>
      <c r="AV29" s="6"/>
      <c r="AW29" s="6"/>
      <c r="AX29" s="6"/>
      <c r="AY29" s="6"/>
    </row>
    <row r="30" spans="1:68" ht="16.5" x14ac:dyDescent="0.3">
      <c r="A30" s="74">
        <v>28</v>
      </c>
      <c r="B30" s="143">
        <v>42</v>
      </c>
      <c r="C30" s="165"/>
      <c r="D30" s="149">
        <f t="shared" si="0"/>
        <v>65.971050724637678</v>
      </c>
      <c r="E30" s="150">
        <f t="shared" ref="E30" si="16">B30/D30</f>
        <v>0.63664288409331937</v>
      </c>
      <c r="F30" s="151">
        <f t="shared" si="1"/>
        <v>4</v>
      </c>
      <c r="G30" s="151"/>
      <c r="H30" s="151"/>
      <c r="I30" s="144">
        <f>D30*VLOOKUP(F30,$F$3:$H$6,3,0)</f>
        <v>54.472550285826571</v>
      </c>
      <c r="J30" s="135">
        <f t="shared" si="13"/>
        <v>50.865695031644663</v>
      </c>
      <c r="K30" s="135">
        <f t="shared" si="14"/>
        <v>1.0718192970190015</v>
      </c>
      <c r="L30" s="135">
        <f t="shared" si="15"/>
        <v>0.82570384566397614</v>
      </c>
      <c r="M30" s="158">
        <f t="shared" si="5"/>
        <v>42.885005315405451</v>
      </c>
      <c r="N30" s="119">
        <f t="shared" si="6"/>
        <v>-0.88500531540545069</v>
      </c>
      <c r="O30" s="119">
        <f t="shared" si="7"/>
        <v>0.88500531540545069</v>
      </c>
      <c r="P30" s="119">
        <f t="shared" si="8"/>
        <v>2.1071555128701208E-2</v>
      </c>
      <c r="Q30" s="119">
        <f t="shared" si="9"/>
        <v>0.7832344082959013</v>
      </c>
      <c r="R30" s="154">
        <f>SUM($N30:N30)</f>
        <v>-0.88500531540545069</v>
      </c>
      <c r="S30" s="118">
        <f>AVERAGE(O$3:O30)</f>
        <v>1.4497036771614595</v>
      </c>
      <c r="T30" s="118">
        <f>AVERAGE(P$3:P30)</f>
        <v>3.7048445792085341E-2</v>
      </c>
      <c r="U30" s="118">
        <f>AVERAGE(Q$3:Q30)</f>
        <v>3.0820425700539182</v>
      </c>
      <c r="V30" s="118">
        <f t="shared" si="10"/>
        <v>-0.61047325004948849</v>
      </c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"/>
      <c r="AT30" s="6"/>
      <c r="AU30" s="6"/>
      <c r="AV30" s="6"/>
      <c r="AW30" s="6"/>
      <c r="AX30" s="6"/>
      <c r="AY30" s="6"/>
    </row>
    <row r="31" spans="1:68" ht="16.5" x14ac:dyDescent="0.3">
      <c r="A31" s="74">
        <v>29</v>
      </c>
      <c r="B31"/>
      <c r="C31"/>
      <c r="D31" s="166">
        <f t="shared" si="0"/>
        <v>67.232409420289855</v>
      </c>
      <c r="E31"/>
      <c r="F31" s="151">
        <f t="shared" si="1"/>
        <v>1</v>
      </c>
      <c r="G31"/>
      <c r="H31"/>
      <c r="I31" s="166">
        <f>D31*VLOOKUP(F31,$F$3:$H$6,3,0)</f>
        <v>57.879931712419591</v>
      </c>
      <c r="J31"/>
      <c r="K31"/>
      <c r="L31" s="135">
        <f>(1-$C$40)*L27+$C$40*B27/J27</f>
        <v>0.86089331338097475</v>
      </c>
      <c r="M31" s="119">
        <f>(J30+K30)*L27</f>
        <v>44.712658799175117</v>
      </c>
      <c r="N31" s="109"/>
      <c r="O31" s="119"/>
      <c r="P31" s="109"/>
      <c r="Q31"/>
      <c r="R31"/>
      <c r="S31"/>
      <c r="T31"/>
      <c r="U31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"/>
      <c r="AT31" s="6"/>
      <c r="AU31" s="6"/>
      <c r="AV31" s="6"/>
      <c r="AW31" s="6"/>
      <c r="AX31" s="6"/>
      <c r="AY31" s="6"/>
      <c r="BL31"/>
      <c r="BM31"/>
      <c r="BN31"/>
      <c r="BO31"/>
      <c r="BP31"/>
    </row>
    <row r="32" spans="1:68" ht="16.5" x14ac:dyDescent="0.3">
      <c r="A32" s="74">
        <v>30</v>
      </c>
      <c r="B32"/>
      <c r="C32"/>
      <c r="D32" s="166">
        <f t="shared" si="0"/>
        <v>68.493768115942032</v>
      </c>
      <c r="E32"/>
      <c r="F32" s="151">
        <f t="shared" si="1"/>
        <v>2</v>
      </c>
      <c r="G32"/>
      <c r="H32"/>
      <c r="I32" s="166">
        <f t="shared" si="12"/>
        <v>76.848785873142532</v>
      </c>
      <c r="J32"/>
      <c r="K32"/>
      <c r="L32" s="135">
        <f>(1-$C$40)*L28+$C$40*B28/J28</f>
        <v>1.121982159647833</v>
      </c>
      <c r="M32" s="119">
        <f>(J30+2*K30)*L28</f>
        <v>59.475526622835929</v>
      </c>
      <c r="N32" s="65"/>
      <c r="O32" s="119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"/>
      <c r="AT32" s="6"/>
      <c r="AU32" s="6"/>
      <c r="AV32" s="6"/>
      <c r="AW32" s="6"/>
      <c r="AX32" s="6"/>
      <c r="AY32" s="6"/>
      <c r="BL32"/>
      <c r="BM32"/>
      <c r="BN32"/>
      <c r="BO32"/>
      <c r="BP32"/>
    </row>
    <row r="33" spans="1:68" ht="16.5" x14ac:dyDescent="0.3">
      <c r="A33" s="74">
        <v>31</v>
      </c>
      <c r="D33" s="166">
        <f t="shared" si="0"/>
        <v>69.755126811594209</v>
      </c>
      <c r="E33"/>
      <c r="F33" s="151">
        <f t="shared" si="1"/>
        <v>3</v>
      </c>
      <c r="G33"/>
      <c r="H33"/>
      <c r="I33" s="166">
        <f t="shared" si="12"/>
        <v>83.107700710540811</v>
      </c>
      <c r="L33" s="135">
        <f>(1-$C$40)*L29+$C$40*B29/J29</f>
        <v>1.1914206813072159</v>
      </c>
      <c r="M33" s="119">
        <f>(J30+3*K30)*L29</f>
        <v>64.433404061044953</v>
      </c>
      <c r="O33" s="119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"/>
      <c r="AT33" s="6"/>
      <c r="AU33" s="6"/>
      <c r="AV33" s="6"/>
      <c r="AW33" s="6"/>
      <c r="AX33" s="6"/>
      <c r="AY33" s="6"/>
      <c r="BL33"/>
      <c r="BM33"/>
      <c r="BN33"/>
      <c r="BO33"/>
      <c r="BP33"/>
    </row>
    <row r="34" spans="1:68" ht="16.5" x14ac:dyDescent="0.3">
      <c r="A34" s="74">
        <v>32</v>
      </c>
      <c r="D34" s="166">
        <f t="shared" si="0"/>
        <v>71.016485507246387</v>
      </c>
      <c r="E34"/>
      <c r="F34" s="151">
        <f t="shared" si="1"/>
        <v>4</v>
      </c>
      <c r="G34"/>
      <c r="H34"/>
      <c r="I34" s="166">
        <f t="shared" si="12"/>
        <v>58.638585188873371</v>
      </c>
      <c r="L34" s="135">
        <f>(1-$C$40)*L30+$C$40*B30/J30</f>
        <v>0.82570384566397614</v>
      </c>
      <c r="M34" s="119">
        <f>(J30+4*K30)*L30</f>
        <v>45.540021261621796</v>
      </c>
      <c r="O34" s="119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"/>
      <c r="AT34" s="6"/>
      <c r="AU34" s="6"/>
      <c r="AV34" s="6"/>
      <c r="AW34" s="6"/>
      <c r="AX34" s="6"/>
      <c r="AY34" s="6"/>
      <c r="BL34"/>
      <c r="BM34"/>
      <c r="BN34"/>
      <c r="BO34"/>
      <c r="BP34"/>
    </row>
    <row r="35" spans="1:68" x14ac:dyDescent="0.25">
      <c r="A35"/>
      <c r="E35"/>
      <c r="F35"/>
      <c r="G35"/>
      <c r="H35"/>
      <c r="I3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"/>
      <c r="AT35" s="6"/>
      <c r="AU35" s="6"/>
      <c r="AV35" s="6"/>
      <c r="AW35" s="6"/>
      <c r="AX35" s="6"/>
      <c r="AY35" s="6"/>
      <c r="BL35"/>
      <c r="BM35"/>
      <c r="BN35"/>
      <c r="BO35"/>
      <c r="BP35"/>
    </row>
    <row r="36" spans="1:68" x14ac:dyDescent="0.25">
      <c r="A36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"/>
      <c r="AT36" s="6"/>
      <c r="AU36" s="6"/>
      <c r="AV36" s="6"/>
      <c r="AW36" s="6"/>
      <c r="AX36" s="6"/>
      <c r="AY36" s="6"/>
      <c r="BL36"/>
      <c r="BM36"/>
      <c r="BN36"/>
      <c r="BO36"/>
      <c r="BP36"/>
    </row>
    <row r="37" spans="1:68" x14ac:dyDescent="0.25">
      <c r="A37"/>
      <c r="B37" s="57" t="s">
        <v>87</v>
      </c>
      <c r="C37" s="156">
        <v>4</v>
      </c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"/>
      <c r="AT37" s="6"/>
      <c r="AU37" s="6"/>
      <c r="AV37" s="6"/>
      <c r="AW37" s="6"/>
      <c r="AX37" s="6"/>
      <c r="AY37" s="6"/>
      <c r="BL37"/>
      <c r="BM37"/>
      <c r="BN37"/>
      <c r="BO37"/>
      <c r="BP37"/>
    </row>
    <row r="38" spans="1:68" x14ac:dyDescent="0.25">
      <c r="A38"/>
      <c r="B38" s="57" t="s">
        <v>150</v>
      </c>
      <c r="C38" s="155">
        <v>1</v>
      </c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"/>
      <c r="AT38" s="6"/>
      <c r="AU38" s="6"/>
      <c r="AV38" s="6"/>
      <c r="AW38" s="6"/>
      <c r="AX38" s="6"/>
      <c r="AY38" s="6"/>
      <c r="BL38"/>
      <c r="BM38"/>
      <c r="BN38"/>
      <c r="BO38"/>
      <c r="BP38"/>
    </row>
    <row r="39" spans="1:68" x14ac:dyDescent="0.25">
      <c r="A39"/>
      <c r="B39" s="57" t="s">
        <v>148</v>
      </c>
      <c r="C39" s="155">
        <v>1.2561769470046077E-2</v>
      </c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"/>
      <c r="AT39" s="6"/>
      <c r="AU39" s="6"/>
      <c r="AV39" s="6"/>
      <c r="AW39" s="6"/>
      <c r="AX39" s="6"/>
      <c r="AY39" s="6"/>
      <c r="BL39"/>
      <c r="BM39"/>
      <c r="BN39"/>
      <c r="BO39"/>
      <c r="BP39"/>
    </row>
    <row r="40" spans="1:68" x14ac:dyDescent="0.25">
      <c r="A40"/>
      <c r="B40" s="57" t="s">
        <v>149</v>
      </c>
      <c r="C40" s="155">
        <v>0</v>
      </c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"/>
      <c r="AT40" s="6"/>
      <c r="AU40" s="6"/>
      <c r="AV40" s="6"/>
      <c r="AW40" s="6"/>
      <c r="AX40" s="6"/>
      <c r="AY40" s="6"/>
      <c r="BL40"/>
      <c r="BM40"/>
      <c r="BN40"/>
      <c r="BO40"/>
      <c r="BP40"/>
    </row>
    <row r="41" spans="1:68" x14ac:dyDescent="0.25">
      <c r="A41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"/>
      <c r="AT41" s="6"/>
      <c r="AU41" s="6"/>
      <c r="AV41" s="6"/>
      <c r="AW41" s="6"/>
      <c r="AX41" s="6"/>
      <c r="AY41" s="6"/>
      <c r="BL41"/>
      <c r="BM41"/>
      <c r="BN41"/>
      <c r="BO41"/>
      <c r="BP41"/>
    </row>
    <row r="42" spans="1:68" x14ac:dyDescent="0.25">
      <c r="A42"/>
      <c r="B42" s="57" t="s">
        <v>136</v>
      </c>
      <c r="J42"/>
      <c r="K42"/>
      <c r="L42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"/>
      <c r="AT42" s="6"/>
      <c r="AU42" s="6"/>
      <c r="AV42" s="6"/>
      <c r="AW42" s="6"/>
      <c r="AX42" s="6"/>
      <c r="AY42" s="6"/>
      <c r="BL42"/>
      <c r="BM42"/>
      <c r="BN42"/>
      <c r="BO42"/>
      <c r="BP42"/>
    </row>
    <row r="43" spans="1:68" x14ac:dyDescent="0.25">
      <c r="A43"/>
      <c r="B43" s="57" t="s">
        <v>137</v>
      </c>
      <c r="J43" s="118"/>
      <c r="K43"/>
      <c r="L43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"/>
      <c r="AT43" s="6"/>
      <c r="AU43" s="6"/>
      <c r="AV43" s="6"/>
      <c r="AW43" s="6"/>
      <c r="AX43" s="6"/>
      <c r="AY43" s="6"/>
      <c r="BL43"/>
      <c r="BM43"/>
      <c r="BN43"/>
      <c r="BO43"/>
      <c r="BP43"/>
    </row>
    <row r="44" spans="1:68" x14ac:dyDescent="0.25">
      <c r="A44"/>
      <c r="B44" s="57" t="s">
        <v>138</v>
      </c>
      <c r="J44"/>
      <c r="K44"/>
      <c r="L44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"/>
      <c r="AT44" s="6"/>
      <c r="AU44" s="6"/>
      <c r="AV44" s="6"/>
      <c r="AW44" s="6"/>
      <c r="AX44" s="6"/>
      <c r="AY44" s="6"/>
      <c r="BL44"/>
      <c r="BM44"/>
      <c r="BN44"/>
      <c r="BO44"/>
      <c r="BP44"/>
    </row>
    <row r="45" spans="1:68" x14ac:dyDescent="0.25">
      <c r="A45"/>
      <c r="B45" s="129" t="s">
        <v>119</v>
      </c>
      <c r="C45" s="129"/>
      <c r="D45" s="129"/>
      <c r="E45" s="129"/>
      <c r="F45" s="129"/>
      <c r="G45" s="129"/>
      <c r="H45" s="129"/>
      <c r="I45" s="129"/>
      <c r="J45"/>
      <c r="K45"/>
      <c r="L4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"/>
      <c r="AT45" s="6"/>
      <c r="AU45" s="6"/>
      <c r="AV45" s="6"/>
      <c r="AW45" s="6"/>
      <c r="AX45" s="6"/>
      <c r="AY45" s="6"/>
      <c r="BL45"/>
      <c r="BM45"/>
      <c r="BN45"/>
      <c r="BO45"/>
      <c r="BP45"/>
    </row>
    <row r="46" spans="1:68" x14ac:dyDescent="0.25">
      <c r="A46"/>
      <c r="B46" t="s">
        <v>139</v>
      </c>
      <c r="C46"/>
      <c r="D46"/>
      <c r="E46"/>
      <c r="F46"/>
      <c r="G46"/>
      <c r="H46"/>
      <c r="I46"/>
      <c r="J46"/>
      <c r="K46"/>
      <c r="L46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"/>
      <c r="AT46" s="6"/>
      <c r="AU46" s="6"/>
      <c r="AV46" s="6"/>
      <c r="AW46" s="6"/>
      <c r="AX46" s="6"/>
      <c r="AY46" s="6"/>
      <c r="BL46"/>
      <c r="BM46"/>
      <c r="BN46"/>
      <c r="BO46"/>
      <c r="BP46"/>
    </row>
    <row r="47" spans="1:68" x14ac:dyDescent="0.25">
      <c r="A47"/>
      <c r="B47" t="s">
        <v>125</v>
      </c>
      <c r="C47"/>
      <c r="D47"/>
      <c r="E47"/>
      <c r="F47"/>
      <c r="G47"/>
      <c r="H47"/>
      <c r="I47"/>
      <c r="J47"/>
      <c r="K47"/>
      <c r="L47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"/>
      <c r="AT47" s="6"/>
      <c r="AU47" s="6"/>
      <c r="AV47" s="6"/>
      <c r="AW47" s="6"/>
      <c r="AX47" s="6"/>
      <c r="AY47" s="6"/>
      <c r="BL47"/>
      <c r="BM47"/>
      <c r="BN47"/>
      <c r="BO47"/>
      <c r="BP47"/>
    </row>
    <row r="48" spans="1:68" x14ac:dyDescent="0.25">
      <c r="A48"/>
      <c r="B48" t="s">
        <v>140</v>
      </c>
      <c r="C48"/>
      <c r="D48"/>
      <c r="E48"/>
      <c r="F48"/>
      <c r="G48"/>
      <c r="H48"/>
      <c r="I48"/>
      <c r="J48"/>
      <c r="K48"/>
      <c r="L48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"/>
      <c r="AT48" s="6"/>
      <c r="AU48" s="6"/>
      <c r="AV48" s="6"/>
      <c r="AW48" s="6"/>
      <c r="AX48" s="6"/>
      <c r="AY48" s="6"/>
      <c r="BL48"/>
      <c r="BM48"/>
      <c r="BN48"/>
      <c r="BO48"/>
      <c r="BP48"/>
    </row>
    <row r="49" spans="1:68" x14ac:dyDescent="0.25">
      <c r="A49"/>
      <c r="B49" t="s">
        <v>141</v>
      </c>
      <c r="C49"/>
      <c r="D49"/>
      <c r="E49"/>
      <c r="F49"/>
      <c r="G49"/>
      <c r="H49"/>
      <c r="I49"/>
      <c r="J49"/>
      <c r="K49"/>
      <c r="L49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"/>
      <c r="AT49" s="6"/>
      <c r="AU49" s="6"/>
      <c r="AV49" s="6"/>
      <c r="AW49" s="6"/>
      <c r="AX49" s="6"/>
      <c r="AY49" s="6"/>
      <c r="BL49"/>
      <c r="BM49"/>
      <c r="BN49"/>
      <c r="BO49"/>
      <c r="BP49"/>
    </row>
    <row r="50" spans="1:68" x14ac:dyDescent="0.25">
      <c r="A50"/>
      <c r="B50" t="s">
        <v>142</v>
      </c>
      <c r="C50"/>
      <c r="D50"/>
      <c r="E50"/>
      <c r="F50"/>
      <c r="G50"/>
      <c r="H50"/>
      <c r="I50"/>
      <c r="J50"/>
      <c r="K50"/>
      <c r="L50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"/>
      <c r="AT50" s="6"/>
      <c r="AU50" s="6"/>
      <c r="AV50" s="6"/>
      <c r="AW50" s="6"/>
      <c r="AX50" s="6"/>
      <c r="AY50" s="6"/>
      <c r="BL50"/>
      <c r="BM50"/>
      <c r="BN50"/>
      <c r="BO50"/>
      <c r="BP50"/>
    </row>
    <row r="51" spans="1:68" x14ac:dyDescent="0.25">
      <c r="A51"/>
      <c r="B51"/>
      <c r="C51"/>
      <c r="D51"/>
      <c r="E51"/>
      <c r="F51"/>
      <c r="G51"/>
      <c r="H51"/>
      <c r="I51"/>
      <c r="J51"/>
      <c r="K51"/>
      <c r="L51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"/>
      <c r="AT51" s="6"/>
      <c r="AU51" s="6"/>
      <c r="AV51" s="6"/>
      <c r="AW51" s="6"/>
      <c r="AX51" s="6"/>
      <c r="AY51" s="6"/>
      <c r="BL51"/>
      <c r="BM51"/>
      <c r="BN51"/>
      <c r="BO51"/>
      <c r="BP51"/>
    </row>
    <row r="52" spans="1:68" x14ac:dyDescent="0.25">
      <c r="A52"/>
      <c r="B52"/>
      <c r="C52"/>
      <c r="D52"/>
      <c r="E52"/>
      <c r="F52"/>
      <c r="G52"/>
      <c r="H52"/>
      <c r="I52"/>
      <c r="J52"/>
      <c r="K52"/>
      <c r="L52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"/>
      <c r="AT52" s="6"/>
      <c r="AU52" s="6"/>
      <c r="AV52" s="6"/>
      <c r="AW52" s="6"/>
      <c r="AX52" s="6"/>
      <c r="AY52" s="6"/>
      <c r="BL52"/>
      <c r="BM52"/>
      <c r="BN52"/>
      <c r="BO52"/>
      <c r="BP52"/>
    </row>
    <row r="53" spans="1:68" x14ac:dyDescent="0.25">
      <c r="A53"/>
      <c r="B53"/>
      <c r="C53"/>
      <c r="D53"/>
      <c r="E53"/>
      <c r="F53"/>
      <c r="G53"/>
      <c r="H53"/>
      <c r="I53"/>
      <c r="J53"/>
      <c r="K53"/>
      <c r="L53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"/>
      <c r="AT53" s="6"/>
      <c r="AU53" s="6"/>
      <c r="AV53" s="6"/>
      <c r="AW53" s="6"/>
      <c r="AX53" s="6"/>
      <c r="AY53" s="6"/>
      <c r="BL53"/>
      <c r="BM53"/>
      <c r="BN53"/>
      <c r="BO53"/>
      <c r="BP53"/>
    </row>
    <row r="54" spans="1:68" x14ac:dyDescent="0.25">
      <c r="A54"/>
      <c r="B54"/>
      <c r="C54"/>
      <c r="D54"/>
      <c r="E54"/>
      <c r="F54"/>
      <c r="G54"/>
      <c r="H54"/>
      <c r="I54"/>
      <c r="J54"/>
      <c r="K54"/>
      <c r="L54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"/>
      <c r="AT54" s="6"/>
      <c r="AU54" s="6"/>
      <c r="AV54" s="6"/>
      <c r="AW54" s="6"/>
      <c r="AX54" s="6"/>
      <c r="AY54" s="6"/>
      <c r="BL54"/>
      <c r="BM54"/>
      <c r="BN54"/>
      <c r="BO54"/>
      <c r="BP54"/>
    </row>
    <row r="55" spans="1:68" x14ac:dyDescent="0.25">
      <c r="A55"/>
      <c r="B55"/>
      <c r="C55"/>
      <c r="D55"/>
      <c r="E55"/>
      <c r="F55"/>
      <c r="G55"/>
      <c r="H55"/>
      <c r="I55"/>
      <c r="J55"/>
      <c r="K55"/>
      <c r="L5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"/>
      <c r="AT55" s="6"/>
      <c r="AU55" s="6"/>
      <c r="AV55" s="6"/>
      <c r="AW55" s="6"/>
      <c r="AX55" s="6"/>
      <c r="AY55" s="6"/>
      <c r="BL55"/>
      <c r="BM55"/>
      <c r="BN55"/>
      <c r="BO55"/>
      <c r="BP55"/>
    </row>
    <row r="56" spans="1:68" x14ac:dyDescent="0.25">
      <c r="A56"/>
      <c r="B56"/>
      <c r="C56"/>
      <c r="D56"/>
      <c r="E56"/>
      <c r="F56"/>
      <c r="G56"/>
      <c r="H56"/>
      <c r="I56"/>
      <c r="J56"/>
      <c r="K56"/>
      <c r="L56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"/>
      <c r="AT56" s="6"/>
      <c r="AU56" s="6"/>
      <c r="AV56" s="6"/>
      <c r="AW56" s="6"/>
      <c r="AX56" s="6"/>
      <c r="AY56" s="6"/>
      <c r="BL56"/>
      <c r="BM56"/>
      <c r="BN56"/>
      <c r="BO56"/>
      <c r="BP56"/>
    </row>
    <row r="57" spans="1:68" x14ac:dyDescent="0.25">
      <c r="A57"/>
      <c r="B57"/>
      <c r="C57"/>
      <c r="D57"/>
      <c r="E57"/>
      <c r="F57"/>
      <c r="G57"/>
      <c r="H57"/>
      <c r="I57"/>
      <c r="J57"/>
      <c r="K57"/>
      <c r="L57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"/>
      <c r="AT57" s="6"/>
      <c r="AU57" s="6"/>
      <c r="AV57" s="6"/>
      <c r="AW57" s="6"/>
      <c r="AX57" s="6"/>
      <c r="AY57" s="6"/>
      <c r="BL57"/>
      <c r="BM57"/>
      <c r="BN57"/>
      <c r="BO57"/>
      <c r="BP57"/>
    </row>
    <row r="58" spans="1:68" x14ac:dyDescent="0.25">
      <c r="A58"/>
      <c r="B58"/>
      <c r="C58"/>
      <c r="D58"/>
      <c r="E58"/>
      <c r="F58"/>
      <c r="G58"/>
      <c r="H58"/>
      <c r="I58"/>
      <c r="J58"/>
      <c r="K58"/>
      <c r="L58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"/>
      <c r="AT58" s="6"/>
      <c r="AU58" s="6"/>
      <c r="AV58" s="6"/>
      <c r="AW58" s="6"/>
      <c r="AX58" s="6"/>
      <c r="AY58" s="6"/>
      <c r="BL58"/>
      <c r="BM58"/>
      <c r="BN58"/>
      <c r="BO58"/>
      <c r="BP58"/>
    </row>
    <row r="59" spans="1:68" x14ac:dyDescent="0.25">
      <c r="A59"/>
      <c r="B59"/>
      <c r="C59"/>
      <c r="D59"/>
      <c r="E59"/>
      <c r="F59"/>
      <c r="G59"/>
      <c r="H59"/>
      <c r="I59"/>
      <c r="J59"/>
      <c r="K59"/>
      <c r="L59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"/>
      <c r="AT59" s="6"/>
      <c r="AU59" s="6"/>
      <c r="AV59" s="6"/>
      <c r="AW59" s="6"/>
      <c r="AX59" s="6"/>
      <c r="AY59" s="6"/>
      <c r="BL59"/>
      <c r="BM59"/>
      <c r="BN59"/>
      <c r="BO59"/>
      <c r="BP59"/>
    </row>
    <row r="60" spans="1:68" x14ac:dyDescent="0.25">
      <c r="A60"/>
      <c r="B60"/>
      <c r="C60"/>
      <c r="D60"/>
      <c r="E60"/>
      <c r="F60"/>
      <c r="G60"/>
      <c r="H60"/>
      <c r="I60"/>
      <c r="J60"/>
      <c r="K60"/>
      <c r="L60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"/>
      <c r="AT60" s="6"/>
      <c r="AU60" s="6"/>
      <c r="AV60" s="6"/>
      <c r="AW60" s="6"/>
      <c r="AX60" s="6"/>
      <c r="AY60" s="6"/>
      <c r="BL60"/>
      <c r="BM60"/>
      <c r="BN60"/>
      <c r="BO60"/>
      <c r="BP60"/>
    </row>
    <row r="61" spans="1:68" x14ac:dyDescent="0.25">
      <c r="A61"/>
      <c r="B61"/>
      <c r="C61"/>
      <c r="D61"/>
      <c r="E61"/>
      <c r="F61"/>
      <c r="G61"/>
      <c r="H61"/>
      <c r="I61"/>
      <c r="J61"/>
      <c r="K61"/>
      <c r="L61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"/>
      <c r="AT61" s="6"/>
      <c r="AU61" s="6"/>
      <c r="AV61" s="6"/>
      <c r="AW61" s="6"/>
      <c r="AX61" s="6"/>
      <c r="AY61" s="6"/>
      <c r="BL61"/>
      <c r="BM61"/>
      <c r="BN61"/>
      <c r="BO61"/>
      <c r="BP61"/>
    </row>
    <row r="62" spans="1:68" x14ac:dyDescent="0.25">
      <c r="A62"/>
      <c r="B62"/>
      <c r="C62"/>
      <c r="D62"/>
      <c r="E62"/>
      <c r="F62"/>
      <c r="G62"/>
      <c r="H62"/>
      <c r="I62"/>
      <c r="J62"/>
      <c r="K62"/>
      <c r="L62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"/>
      <c r="AT62" s="6"/>
      <c r="AU62" s="6"/>
      <c r="AV62" s="6"/>
      <c r="AW62" s="6"/>
      <c r="AX62" s="6"/>
      <c r="AY62" s="6"/>
      <c r="BL62"/>
      <c r="BM62"/>
      <c r="BN62"/>
      <c r="BO62"/>
      <c r="BP62"/>
    </row>
    <row r="63" spans="1:68" x14ac:dyDescent="0.25">
      <c r="A63"/>
      <c r="B63"/>
      <c r="C63"/>
      <c r="D63"/>
      <c r="E63"/>
      <c r="F63"/>
      <c r="G63"/>
      <c r="H63"/>
      <c r="I63"/>
      <c r="J63"/>
      <c r="K63"/>
      <c r="L63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"/>
      <c r="AT63" s="6"/>
      <c r="AU63" s="6"/>
      <c r="AV63" s="6"/>
      <c r="AW63" s="6"/>
      <c r="AX63" s="6"/>
      <c r="AY63" s="6"/>
      <c r="BL63"/>
      <c r="BM63"/>
      <c r="BN63"/>
      <c r="BO63"/>
      <c r="BP63"/>
    </row>
    <row r="64" spans="1:68" x14ac:dyDescent="0.25">
      <c r="A64"/>
      <c r="B64"/>
      <c r="C64"/>
      <c r="D64"/>
      <c r="E64"/>
      <c r="F64"/>
      <c r="G64"/>
      <c r="H64"/>
      <c r="I64"/>
      <c r="J64"/>
      <c r="K64"/>
      <c r="L64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"/>
      <c r="AT64" s="6"/>
      <c r="AU64" s="6"/>
      <c r="AV64" s="6"/>
      <c r="AW64" s="6"/>
      <c r="AX64" s="6"/>
      <c r="AY64" s="6"/>
      <c r="BL64"/>
      <c r="BM64"/>
      <c r="BN64"/>
      <c r="BO64"/>
      <c r="BP64"/>
    </row>
    <row r="65" spans="1:68" x14ac:dyDescent="0.25">
      <c r="A65"/>
      <c r="B65"/>
      <c r="C65"/>
      <c r="D65"/>
      <c r="E65"/>
      <c r="F65"/>
      <c r="G65"/>
      <c r="H65"/>
      <c r="I65"/>
      <c r="J65"/>
      <c r="K65"/>
      <c r="L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"/>
      <c r="AT65" s="6"/>
      <c r="AU65" s="6"/>
      <c r="AV65" s="6"/>
      <c r="AW65" s="6"/>
      <c r="AX65" s="6"/>
      <c r="AY65" s="6"/>
      <c r="BL65"/>
      <c r="BM65"/>
      <c r="BN65"/>
      <c r="BO65"/>
      <c r="BP65"/>
    </row>
    <row r="66" spans="1:68" x14ac:dyDescent="0.25">
      <c r="A66"/>
      <c r="B66"/>
      <c r="C66"/>
      <c r="D66"/>
      <c r="E66"/>
      <c r="F66"/>
      <c r="G66"/>
      <c r="H66"/>
      <c r="I66"/>
      <c r="J66"/>
      <c r="K66"/>
      <c r="L66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"/>
      <c r="AT66" s="6"/>
      <c r="AU66" s="6"/>
      <c r="AV66" s="6"/>
      <c r="AW66" s="6"/>
      <c r="AX66" s="6"/>
      <c r="AY66" s="6"/>
      <c r="BL66"/>
      <c r="BM66"/>
      <c r="BN66"/>
      <c r="BO66"/>
      <c r="BP66"/>
    </row>
    <row r="67" spans="1:68" x14ac:dyDescent="0.25">
      <c r="A67"/>
      <c r="B67"/>
      <c r="C67"/>
      <c r="D67"/>
      <c r="E67"/>
      <c r="F67"/>
      <c r="G67"/>
      <c r="H67"/>
      <c r="I67"/>
      <c r="J67"/>
      <c r="K67"/>
      <c r="L67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"/>
      <c r="AT67" s="6"/>
      <c r="AU67" s="6"/>
      <c r="AV67" s="6"/>
      <c r="AW67" s="6"/>
      <c r="AX67" s="6"/>
      <c r="AY67" s="6"/>
      <c r="BL67"/>
      <c r="BM67"/>
      <c r="BN67"/>
      <c r="BO67"/>
      <c r="BP67"/>
    </row>
    <row r="68" spans="1:68" x14ac:dyDescent="0.25">
      <c r="A68"/>
      <c r="B68"/>
      <c r="C68"/>
      <c r="D68"/>
      <c r="E68"/>
      <c r="F68"/>
      <c r="G68"/>
      <c r="H68"/>
      <c r="I68"/>
      <c r="J68"/>
      <c r="K68"/>
      <c r="L68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"/>
      <c r="AT68" s="6"/>
      <c r="AU68" s="6"/>
      <c r="AV68" s="6"/>
      <c r="AW68" s="6"/>
      <c r="AX68" s="6"/>
      <c r="AY68" s="6"/>
      <c r="BL68"/>
      <c r="BM68"/>
      <c r="BN68"/>
      <c r="BO68"/>
      <c r="BP68"/>
    </row>
    <row r="69" spans="1:68" x14ac:dyDescent="0.25">
      <c r="A69"/>
      <c r="B69"/>
      <c r="C69"/>
      <c r="D69"/>
      <c r="E69"/>
      <c r="F69"/>
      <c r="G69"/>
      <c r="H69"/>
      <c r="I69"/>
      <c r="J69"/>
      <c r="K69"/>
      <c r="L69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"/>
      <c r="AT69" s="6"/>
      <c r="AU69" s="6"/>
      <c r="AV69" s="6"/>
      <c r="AW69" s="6"/>
      <c r="AX69" s="6"/>
      <c r="AY69" s="6"/>
      <c r="BL69"/>
      <c r="BM69"/>
      <c r="BN69"/>
      <c r="BO69"/>
      <c r="BP69"/>
    </row>
    <row r="70" spans="1:68" x14ac:dyDescent="0.25">
      <c r="A70"/>
      <c r="B70"/>
      <c r="C70"/>
      <c r="D70"/>
      <c r="E70"/>
      <c r="F70"/>
      <c r="G70"/>
      <c r="H70"/>
      <c r="I70"/>
      <c r="J70"/>
      <c r="K70"/>
      <c r="L70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"/>
      <c r="AT70" s="6"/>
      <c r="AU70" s="6"/>
      <c r="AV70" s="6"/>
      <c r="AW70" s="6"/>
      <c r="AX70" s="6"/>
      <c r="AY70" s="6"/>
      <c r="BL70"/>
      <c r="BM70"/>
      <c r="BN70"/>
      <c r="BO70"/>
      <c r="BP70"/>
    </row>
    <row r="71" spans="1:68" x14ac:dyDescent="0.25">
      <c r="A71"/>
      <c r="B71"/>
      <c r="C71"/>
      <c r="D71"/>
      <c r="E71"/>
      <c r="F71"/>
      <c r="G71"/>
      <c r="H71"/>
      <c r="I71"/>
      <c r="J71"/>
      <c r="K71"/>
      <c r="L71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"/>
      <c r="AT71" s="6"/>
      <c r="AU71" s="6"/>
      <c r="AV71" s="6"/>
      <c r="AW71" s="6"/>
      <c r="AX71" s="6"/>
      <c r="AY71" s="6"/>
      <c r="BL71"/>
      <c r="BM71"/>
      <c r="BN71"/>
      <c r="BO71"/>
      <c r="BP71"/>
    </row>
    <row r="72" spans="1:68" x14ac:dyDescent="0.25">
      <c r="A72"/>
      <c r="B72"/>
      <c r="C72"/>
      <c r="D72"/>
      <c r="E72"/>
      <c r="F72"/>
      <c r="G72"/>
      <c r="H72"/>
      <c r="I72"/>
      <c r="J72"/>
      <c r="K72"/>
      <c r="L72"/>
      <c r="BL72"/>
      <c r="BM72"/>
      <c r="BN72"/>
      <c r="BO72"/>
      <c r="BP72"/>
    </row>
    <row r="73" spans="1:68" x14ac:dyDescent="0.25">
      <c r="A73"/>
      <c r="B73"/>
      <c r="C73"/>
      <c r="D73"/>
      <c r="E73"/>
      <c r="F73"/>
      <c r="G73"/>
      <c r="H73"/>
      <c r="I73"/>
      <c r="J73"/>
      <c r="K73"/>
      <c r="L73"/>
      <c r="BL73"/>
      <c r="BM73"/>
      <c r="BN73"/>
      <c r="BO73"/>
      <c r="BP73"/>
    </row>
    <row r="74" spans="1:68" x14ac:dyDescent="0.25">
      <c r="A74"/>
      <c r="B74"/>
      <c r="C74"/>
      <c r="D74"/>
      <c r="E74"/>
      <c r="F74"/>
      <c r="G74"/>
      <c r="H74"/>
      <c r="I74"/>
      <c r="J74"/>
      <c r="K74"/>
      <c r="L74"/>
      <c r="BL74"/>
      <c r="BM74"/>
      <c r="BN74"/>
      <c r="BO74"/>
      <c r="BP74"/>
    </row>
    <row r="75" spans="1:68" x14ac:dyDescent="0.25">
      <c r="A75"/>
      <c r="B75"/>
      <c r="C75"/>
      <c r="D75"/>
      <c r="E75"/>
      <c r="F75"/>
      <c r="G75"/>
      <c r="H75"/>
      <c r="I75"/>
      <c r="J75"/>
      <c r="K75"/>
      <c r="L75"/>
      <c r="BL75"/>
      <c r="BM75"/>
      <c r="BN75"/>
      <c r="BO75"/>
      <c r="BP75"/>
    </row>
    <row r="76" spans="1:68" x14ac:dyDescent="0.25">
      <c r="A76"/>
      <c r="B76"/>
      <c r="C76"/>
      <c r="D76"/>
      <c r="E76"/>
      <c r="F76"/>
      <c r="G76"/>
      <c r="H76"/>
      <c r="I76"/>
      <c r="J76"/>
      <c r="K76"/>
      <c r="L76"/>
      <c r="BL76"/>
      <c r="BM76"/>
      <c r="BN76"/>
      <c r="BO76"/>
      <c r="BP76"/>
    </row>
    <row r="77" spans="1:68" ht="16.5" x14ac:dyDescent="0.3">
      <c r="A77"/>
      <c r="B77"/>
      <c r="C77"/>
      <c r="D77"/>
      <c r="E77"/>
      <c r="F77"/>
      <c r="G77"/>
      <c r="H77"/>
      <c r="I77"/>
      <c r="J77"/>
      <c r="K77"/>
      <c r="L77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BL77"/>
      <c r="BM77"/>
      <c r="BN77"/>
      <c r="BO77"/>
      <c r="BP77"/>
    </row>
    <row r="78" spans="1:68" ht="16.5" x14ac:dyDescent="0.3">
      <c r="A78"/>
      <c r="B78"/>
      <c r="C78"/>
      <c r="D78"/>
      <c r="E78"/>
      <c r="F78"/>
      <c r="G78"/>
      <c r="H78"/>
      <c r="I78"/>
      <c r="J78"/>
      <c r="K78"/>
      <c r="L78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BL78"/>
      <c r="BM78"/>
      <c r="BN78"/>
      <c r="BO78"/>
      <c r="BP78"/>
    </row>
    <row r="79" spans="1:68" ht="16.5" x14ac:dyDescent="0.3">
      <c r="A79"/>
      <c r="B79"/>
      <c r="C79"/>
      <c r="D79"/>
      <c r="E79"/>
      <c r="F79"/>
      <c r="G79"/>
      <c r="H79"/>
      <c r="I79"/>
      <c r="J79"/>
      <c r="K79"/>
      <c r="L79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BL79"/>
      <c r="BM79"/>
      <c r="BN79"/>
      <c r="BO79"/>
      <c r="BP79"/>
    </row>
    <row r="80" spans="1:68" ht="16.5" x14ac:dyDescent="0.3">
      <c r="A80"/>
      <c r="B80"/>
      <c r="C80"/>
      <c r="D80"/>
      <c r="E80"/>
      <c r="F80"/>
      <c r="G80"/>
      <c r="H80"/>
      <c r="I80"/>
      <c r="J80"/>
      <c r="K80"/>
      <c r="L80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BL80"/>
      <c r="BM80"/>
      <c r="BN80"/>
      <c r="BO80"/>
      <c r="BP80"/>
    </row>
    <row r="81" spans="1:68" ht="16.5" x14ac:dyDescent="0.3">
      <c r="A81"/>
      <c r="B81"/>
      <c r="C81"/>
      <c r="D81"/>
      <c r="E81"/>
      <c r="F81"/>
      <c r="G81"/>
      <c r="H81"/>
      <c r="I81"/>
      <c r="J81"/>
      <c r="K81"/>
      <c r="L8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BL81"/>
      <c r="BM81"/>
      <c r="BN81"/>
      <c r="BO81"/>
      <c r="BP81"/>
    </row>
    <row r="82" spans="1:68" ht="16.5" x14ac:dyDescent="0.3">
      <c r="A82"/>
      <c r="B82"/>
      <c r="C82"/>
      <c r="D82"/>
      <c r="E82"/>
      <c r="F82"/>
      <c r="G82"/>
      <c r="H82"/>
      <c r="I82"/>
      <c r="J82"/>
      <c r="K82"/>
      <c r="L82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BL82"/>
      <c r="BM82"/>
      <c r="BN82"/>
      <c r="BO82"/>
      <c r="BP82"/>
    </row>
    <row r="83" spans="1:68" ht="16.5" x14ac:dyDescent="0.3">
      <c r="A83"/>
      <c r="B83"/>
      <c r="C83"/>
      <c r="D83"/>
      <c r="E83"/>
      <c r="F83"/>
      <c r="G83"/>
      <c r="H83"/>
      <c r="I83"/>
      <c r="J83"/>
      <c r="K83"/>
      <c r="L83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BL83"/>
      <c r="BM83"/>
      <c r="BN83"/>
      <c r="BO83"/>
      <c r="BP83"/>
    </row>
    <row r="84" spans="1:68" ht="16.5" x14ac:dyDescent="0.3">
      <c r="A84"/>
      <c r="B84"/>
      <c r="C84"/>
      <c r="D84"/>
      <c r="E84"/>
      <c r="F84"/>
      <c r="G84"/>
      <c r="H84"/>
      <c r="I84"/>
      <c r="J84"/>
      <c r="K84"/>
      <c r="L84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BL84"/>
      <c r="BM84"/>
      <c r="BN84"/>
      <c r="BO84"/>
      <c r="BP84"/>
    </row>
    <row r="85" spans="1:68" ht="16.5" x14ac:dyDescent="0.3">
      <c r="A85"/>
      <c r="B85"/>
      <c r="C85"/>
      <c r="D85"/>
      <c r="E85"/>
      <c r="F85"/>
      <c r="G85"/>
      <c r="H85"/>
      <c r="I85"/>
      <c r="J85"/>
      <c r="K85"/>
      <c r="L85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BL85"/>
      <c r="BM85"/>
      <c r="BN85"/>
      <c r="BO85"/>
      <c r="BP85"/>
    </row>
    <row r="86" spans="1:68" ht="16.5" x14ac:dyDescent="0.3">
      <c r="A86"/>
      <c r="B86"/>
      <c r="C86"/>
      <c r="D86"/>
      <c r="E86"/>
      <c r="F86"/>
      <c r="G86"/>
      <c r="H86"/>
      <c r="I86"/>
      <c r="J86"/>
      <c r="K86"/>
      <c r="L86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</row>
    <row r="87" spans="1:68" ht="16.5" x14ac:dyDescent="0.3">
      <c r="A87"/>
      <c r="B87"/>
      <c r="C87"/>
      <c r="D87"/>
      <c r="E87"/>
      <c r="F87"/>
      <c r="G87"/>
      <c r="H87"/>
      <c r="I87"/>
      <c r="J87"/>
      <c r="K87"/>
      <c r="L87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</row>
    <row r="88" spans="1:68" ht="16.5" x14ac:dyDescent="0.3">
      <c r="A88"/>
      <c r="B88"/>
      <c r="C88"/>
      <c r="D88"/>
      <c r="E88"/>
      <c r="F88"/>
      <c r="G88"/>
      <c r="H88"/>
      <c r="I88"/>
      <c r="J88"/>
      <c r="K88"/>
      <c r="L88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</row>
    <row r="89" spans="1:68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68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68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68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68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68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68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68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5">
      <c r="A298"/>
      <c r="B298"/>
      <c r="C298"/>
      <c r="D298"/>
      <c r="E298"/>
      <c r="F298"/>
      <c r="G298"/>
      <c r="H298"/>
      <c r="I298"/>
      <c r="J298"/>
      <c r="K298"/>
      <c r="L298"/>
    </row>
  </sheetData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A7F15-DFCA-494C-BB90-C3EDFD129481}">
  <dimension ref="A1:BI282"/>
  <sheetViews>
    <sheetView zoomScale="75" zoomScaleNormal="75" workbookViewId="0">
      <selection sqref="A1:Z20"/>
    </sheetView>
  </sheetViews>
  <sheetFormatPr defaultColWidth="9.140625" defaultRowHeight="15" x14ac:dyDescent="0.25"/>
  <cols>
    <col min="1" max="1" width="4.5703125" style="57" bestFit="1" customWidth="1"/>
    <col min="2" max="2" width="17" style="57" customWidth="1"/>
    <col min="3" max="4" width="9.7109375" style="57" customWidth="1"/>
    <col min="5" max="5" width="11" style="57" bestFit="1" customWidth="1"/>
    <col min="6" max="6" width="20.5703125" style="57" bestFit="1" customWidth="1"/>
    <col min="7" max="9" width="9.7109375" style="57" customWidth="1"/>
    <col min="10" max="10" width="9.140625" style="57"/>
    <col min="11" max="11" width="6.28515625" style="57" bestFit="1" customWidth="1"/>
    <col min="12" max="12" width="6.140625" style="57" bestFit="1" customWidth="1"/>
    <col min="13" max="13" width="6.5703125" style="57" bestFit="1" customWidth="1"/>
    <col min="14" max="14" width="6.42578125" style="57" bestFit="1" customWidth="1"/>
    <col min="15" max="15" width="5.85546875" style="57" bestFit="1" customWidth="1"/>
    <col min="16" max="19" width="9.28515625" style="57" bestFit="1" customWidth="1"/>
    <col min="20" max="21" width="9.140625" style="57"/>
    <col min="22" max="22" width="9.28515625" style="57" bestFit="1" customWidth="1"/>
    <col min="23" max="23" width="9.140625" style="57"/>
    <col min="24" max="24" width="10.42578125" style="57" bestFit="1" customWidth="1"/>
    <col min="25" max="25" width="3" style="57" bestFit="1" customWidth="1"/>
    <col min="26" max="26" width="5.28515625" style="57" bestFit="1" customWidth="1"/>
    <col min="27" max="33" width="9.140625" style="57"/>
    <col min="34" max="34" width="9.140625" style="57" customWidth="1"/>
    <col min="35" max="37" width="9.140625" style="57"/>
    <col min="38" max="38" width="9.28515625" bestFit="1" customWidth="1"/>
    <col min="39" max="39" width="14" customWidth="1"/>
    <col min="40" max="40" width="12.28515625" customWidth="1"/>
    <col min="41" max="41" width="10.140625" bestFit="1" customWidth="1"/>
    <col min="42" max="42" width="10.140625" customWidth="1"/>
    <col min="43" max="45" width="9.28515625" customWidth="1"/>
    <col min="46" max="46" width="9.28515625" bestFit="1" customWidth="1"/>
    <col min="47" max="47" width="12.28515625" bestFit="1" customWidth="1"/>
    <col min="57" max="16384" width="9.140625" style="57"/>
  </cols>
  <sheetData>
    <row r="1" spans="1:61" customFormat="1" ht="17.25" thickBot="1" x14ac:dyDescent="0.35">
      <c r="A1" s="132" t="s">
        <v>4</v>
      </c>
      <c r="B1" s="133" t="s">
        <v>116</v>
      </c>
      <c r="C1" s="109" t="s">
        <v>67</v>
      </c>
      <c r="D1" s="109" t="s">
        <v>19</v>
      </c>
      <c r="E1" s="109" t="s">
        <v>118</v>
      </c>
      <c r="F1" s="1" t="s">
        <v>153</v>
      </c>
      <c r="G1" s="1" t="s">
        <v>3</v>
      </c>
      <c r="H1" s="1" t="s">
        <v>2</v>
      </c>
      <c r="I1" s="1" t="s">
        <v>151</v>
      </c>
      <c r="J1" s="1" t="s">
        <v>111</v>
      </c>
      <c r="K1" s="57" t="s">
        <v>117</v>
      </c>
      <c r="L1" s="57" t="s">
        <v>1</v>
      </c>
      <c r="M1" s="57" t="s">
        <v>114</v>
      </c>
      <c r="N1" s="57" t="s">
        <v>113</v>
      </c>
      <c r="O1" s="65" t="s">
        <v>24</v>
      </c>
      <c r="U1" s="57"/>
      <c r="V1" s="57"/>
      <c r="W1" s="57"/>
      <c r="X1" s="57" t="s">
        <v>87</v>
      </c>
      <c r="Y1" s="160" t="s">
        <v>155</v>
      </c>
      <c r="Z1" s="100">
        <v>4</v>
      </c>
      <c r="AA1" s="57"/>
    </row>
    <row r="2" spans="1:61" customFormat="1" ht="16.5" x14ac:dyDescent="0.3">
      <c r="A2" s="128">
        <v>0</v>
      </c>
      <c r="B2" s="65"/>
      <c r="C2" s="157">
        <f>INTERCEPT($B$3:$B$14,$A$3:$A$14)</f>
        <v>17.287878787878789</v>
      </c>
      <c r="D2" s="157">
        <f>SLOPE($B$3:$B$14,$A$3:$A$14)</f>
        <v>4.43006993006993</v>
      </c>
      <c r="E2" s="134"/>
      <c r="F2" s="89"/>
      <c r="G2" s="89"/>
      <c r="H2" s="89"/>
      <c r="I2" s="89"/>
      <c r="J2" s="89"/>
      <c r="K2" s="57"/>
      <c r="Q2" s="1" t="s">
        <v>159</v>
      </c>
      <c r="R2" s="1" t="s">
        <v>160</v>
      </c>
      <c r="S2" s="1" t="s">
        <v>161</v>
      </c>
      <c r="T2" s="1" t="s">
        <v>162</v>
      </c>
      <c r="U2" s="89" t="s">
        <v>163</v>
      </c>
      <c r="V2" s="89" t="s">
        <v>164</v>
      </c>
      <c r="W2" s="57"/>
      <c r="X2" s="57" t="s">
        <v>150</v>
      </c>
      <c r="Y2" s="161" t="s">
        <v>154</v>
      </c>
      <c r="Z2" s="155">
        <v>0.1</v>
      </c>
      <c r="AA2" s="57"/>
      <c r="AI2" s="57"/>
      <c r="AJ2" s="57"/>
      <c r="AK2" s="57"/>
      <c r="BE2" s="57"/>
      <c r="BF2" s="57"/>
      <c r="BG2" s="57"/>
      <c r="BH2" s="57"/>
      <c r="BI2" s="57"/>
    </row>
    <row r="3" spans="1:61" customFormat="1" ht="16.5" x14ac:dyDescent="0.3">
      <c r="A3" s="74">
        <v>1</v>
      </c>
      <c r="B3" s="143">
        <v>22</v>
      </c>
      <c r="C3" s="135">
        <f t="shared" ref="C3:C18" si="0">(1-$Z$2)*(C2+D2)+$Z$2*B3/E3</f>
        <v>22.196153846153845</v>
      </c>
      <c r="D3" s="135">
        <f>(1-$Z$3)*D2+$Z$3*(C3-C2)</f>
        <v>4.5257109557109558</v>
      </c>
      <c r="E3" s="137">
        <f>B3/AVERAGE($B$3:$B$6)</f>
        <v>0.83018867924528306</v>
      </c>
      <c r="F3" s="158">
        <f>(C2+D2)*E3</f>
        <v>18.029995162070634</v>
      </c>
      <c r="G3" s="119">
        <f t="shared" ref="G3:G14" si="1">B3-F3</f>
        <v>3.9700048379293662</v>
      </c>
      <c r="H3" s="119">
        <f>ABS(G3)</f>
        <v>3.9700048379293662</v>
      </c>
      <c r="I3" s="119">
        <f t="shared" ref="I3:I14" si="2">H3/B3</f>
        <v>0.18045476536042573</v>
      </c>
      <c r="J3" s="119">
        <f>G3^2</f>
        <v>15.760938413182574</v>
      </c>
      <c r="K3" s="154">
        <f>SUM($G3:G3)</f>
        <v>3.9700048379293662</v>
      </c>
      <c r="L3" s="118">
        <f>AVERAGE(H$3:H3)</f>
        <v>3.9700048379293662</v>
      </c>
      <c r="M3" s="118">
        <f>AVERAGE(I$3:I3)</f>
        <v>0.18045476536042573</v>
      </c>
      <c r="N3" s="118">
        <f>AVERAGE(J$3:J3)</f>
        <v>15.760938413182574</v>
      </c>
      <c r="O3" s="118">
        <f>K3/L3</f>
        <v>1</v>
      </c>
      <c r="Q3" s="164">
        <f>(C2+D2)</f>
        <v>21.717948717948719</v>
      </c>
      <c r="R3" s="164">
        <f>B3/E3</f>
        <v>26.5</v>
      </c>
      <c r="S3" s="164">
        <f>D2</f>
        <v>4.43006993006993</v>
      </c>
      <c r="T3" s="164">
        <f>C3-C2</f>
        <v>4.9082750582750556</v>
      </c>
      <c r="U3" s="101">
        <f>E3</f>
        <v>0.83018867924528306</v>
      </c>
      <c r="V3" s="101">
        <f>C3/(C2+D2)</f>
        <v>1.0220188902007084</v>
      </c>
      <c r="W3" s="57"/>
      <c r="X3" s="57" t="s">
        <v>148</v>
      </c>
      <c r="Y3" s="161" t="s">
        <v>156</v>
      </c>
      <c r="Z3" s="162">
        <v>0.2</v>
      </c>
      <c r="AA3" s="57"/>
      <c r="AI3" s="57"/>
      <c r="AJ3" s="57"/>
      <c r="AK3" s="57"/>
      <c r="BE3" s="57"/>
      <c r="BF3" s="57"/>
      <c r="BG3" s="57"/>
      <c r="BH3" s="57"/>
      <c r="BI3" s="57"/>
    </row>
    <row r="4" spans="1:61" customFormat="1" ht="16.5" x14ac:dyDescent="0.3">
      <c r="A4" s="74">
        <v>2</v>
      </c>
      <c r="B4" s="143">
        <v>30</v>
      </c>
      <c r="C4" s="135">
        <f t="shared" si="0"/>
        <v>26.69967832167832</v>
      </c>
      <c r="D4" s="135">
        <f t="shared" ref="D4:D14" si="3">(1-$C$23)*D3+$C$23*(C4-C3)</f>
        <v>4.5212736596736596</v>
      </c>
      <c r="E4" s="137">
        <f t="shared" ref="E4:E6" si="4">B4/AVERAGE($B$3:$B$6)</f>
        <v>1.1320754716981132</v>
      </c>
      <c r="F4" s="158">
        <f>SUM(C3:D3)*E4</f>
        <v>30.2511677002243</v>
      </c>
      <c r="G4" s="119">
        <f t="shared" si="1"/>
        <v>-0.25116770022430046</v>
      </c>
      <c r="H4" s="119">
        <f t="shared" ref="H4:H14" si="5">ABS(G4)</f>
        <v>0.25116770022430046</v>
      </c>
      <c r="I4" s="119">
        <f t="shared" si="2"/>
        <v>8.3722566741433486E-3</v>
      </c>
      <c r="J4" s="119">
        <f t="shared" ref="J4:J14" si="6">G4^2</f>
        <v>6.308521363596406E-2</v>
      </c>
      <c r="K4" s="154">
        <f>SUM($G4:G4)</f>
        <v>-0.25116770022430046</v>
      </c>
      <c r="L4" s="118">
        <f>AVERAGE(H$3:H4)</f>
        <v>2.1105862690768333</v>
      </c>
      <c r="M4" s="118">
        <f>AVERAGE(I$3:I4)</f>
        <v>9.441351101728454E-2</v>
      </c>
      <c r="N4" s="118">
        <f>AVERAGE(J$3:J4)</f>
        <v>7.9120118134092685</v>
      </c>
      <c r="O4" s="118">
        <f t="shared" ref="O4:O14" si="7">K4/L4</f>
        <v>-0.11900375924181519</v>
      </c>
      <c r="Q4" s="164">
        <f>Q3*(1-Z2)</f>
        <v>19.546153846153846</v>
      </c>
      <c r="R4" s="164">
        <f>R3*Z2</f>
        <v>2.6500000000000004</v>
      </c>
      <c r="S4" s="164">
        <f>S3*(1-Z3)</f>
        <v>3.5440559440559443</v>
      </c>
      <c r="T4" s="164">
        <f>T3*Z3</f>
        <v>0.98165501165501112</v>
      </c>
      <c r="U4" s="164">
        <f>U3*(1-Z4)</f>
        <v>0.66415094339622649</v>
      </c>
      <c r="V4" s="164">
        <f>V3*Z4</f>
        <v>0.20440377804014168</v>
      </c>
      <c r="W4" s="57"/>
      <c r="X4" s="57" t="s">
        <v>149</v>
      </c>
      <c r="Y4" s="161" t="s">
        <v>157</v>
      </c>
      <c r="Z4" s="155">
        <v>0.2</v>
      </c>
      <c r="AA4" s="57"/>
      <c r="AI4" s="57"/>
      <c r="AJ4" s="57"/>
      <c r="AK4" s="57"/>
      <c r="BE4" s="57"/>
      <c r="BF4" s="57"/>
      <c r="BG4" s="57"/>
      <c r="BH4" s="57"/>
      <c r="BI4" s="57"/>
    </row>
    <row r="5" spans="1:61" customFormat="1" ht="16.5" x14ac:dyDescent="0.3">
      <c r="A5" s="74">
        <v>3</v>
      </c>
      <c r="B5" s="143">
        <v>28</v>
      </c>
      <c r="C5" s="135">
        <f t="shared" si="0"/>
        <v>30.74885678321678</v>
      </c>
      <c r="D5" s="135">
        <f t="shared" si="3"/>
        <v>4.4268546200466199</v>
      </c>
      <c r="E5" s="137">
        <f t="shared" si="4"/>
        <v>1.0566037735849056</v>
      </c>
      <c r="F5" s="158">
        <f t="shared" ref="F5:F14" si="8">SUM(C4:D4)*E5</f>
        <v>32.98817567840964</v>
      </c>
      <c r="G5" s="119">
        <f t="shared" si="1"/>
        <v>-4.9881756784096396</v>
      </c>
      <c r="H5" s="119">
        <f t="shared" si="5"/>
        <v>4.9881756784096396</v>
      </c>
      <c r="I5" s="119">
        <f t="shared" si="2"/>
        <v>0.17814913137177285</v>
      </c>
      <c r="J5" s="119">
        <f t="shared" si="6"/>
        <v>24.881896598677468</v>
      </c>
      <c r="K5" s="154">
        <f>SUM($G5:G5)</f>
        <v>-4.9881756784096396</v>
      </c>
      <c r="L5" s="118">
        <f>AVERAGE(H$3:H5)</f>
        <v>3.0697827388544354</v>
      </c>
      <c r="M5" s="118">
        <f>AVERAGE(I$3:I5)</f>
        <v>0.12232538446878065</v>
      </c>
      <c r="N5" s="118">
        <f>AVERAGE(J$3:J5)</f>
        <v>13.568640075165334</v>
      </c>
      <c r="O5" s="118">
        <f t="shared" si="7"/>
        <v>-1.6249279192543442</v>
      </c>
      <c r="Q5" s="164"/>
      <c r="R5" s="164">
        <f>Q4+R4</f>
        <v>22.196153846153848</v>
      </c>
      <c r="S5" s="164"/>
      <c r="T5" s="164">
        <f>S4+T4</f>
        <v>4.5257109557109558</v>
      </c>
      <c r="U5" s="164"/>
      <c r="V5" s="164">
        <f>U4+V4</f>
        <v>0.86855472143636814</v>
      </c>
      <c r="AI5" s="57"/>
      <c r="AJ5" s="57"/>
      <c r="AK5" s="57"/>
      <c r="BE5" s="57"/>
      <c r="BF5" s="57"/>
      <c r="BG5" s="57"/>
      <c r="BH5" s="57"/>
      <c r="BI5" s="57"/>
    </row>
    <row r="6" spans="1:61" customFormat="1" ht="16.5" x14ac:dyDescent="0.3">
      <c r="A6" s="74">
        <v>4</v>
      </c>
      <c r="B6" s="143">
        <v>26</v>
      </c>
      <c r="C6" s="135">
        <f t="shared" si="0"/>
        <v>34.308140262937059</v>
      </c>
      <c r="D6" s="135">
        <f t="shared" si="3"/>
        <v>4.2533403919813519</v>
      </c>
      <c r="E6" s="137">
        <f t="shared" si="4"/>
        <v>0.98113207547169812</v>
      </c>
      <c r="F6" s="158">
        <f t="shared" si="8"/>
        <v>34.512018735277294</v>
      </c>
      <c r="G6" s="119">
        <f t="shared" si="1"/>
        <v>-8.5120187352772945</v>
      </c>
      <c r="H6" s="119">
        <f t="shared" si="5"/>
        <v>8.5120187352772945</v>
      </c>
      <c r="I6" s="119">
        <f t="shared" si="2"/>
        <v>0.32738533597220365</v>
      </c>
      <c r="J6" s="119">
        <f t="shared" si="6"/>
        <v>72.454462949711669</v>
      </c>
      <c r="K6" s="154">
        <f>SUM($G6:G6)</f>
        <v>-8.5120187352772945</v>
      </c>
      <c r="L6" s="118">
        <f>AVERAGE(H$3:H6)</f>
        <v>4.4303417379601502</v>
      </c>
      <c r="M6" s="118">
        <f>AVERAGE(I$3:I6)</f>
        <v>0.1735903723446364</v>
      </c>
      <c r="N6" s="118">
        <f>AVERAGE(J$3:J6)</f>
        <v>28.290095793801918</v>
      </c>
      <c r="O6" s="118">
        <f t="shared" si="7"/>
        <v>-1.921300711939314</v>
      </c>
      <c r="Q6" s="57"/>
      <c r="R6" s="57"/>
      <c r="S6" s="57"/>
      <c r="T6" s="57"/>
      <c r="U6" s="57"/>
      <c r="V6" s="57"/>
      <c r="AI6" s="57"/>
      <c r="AJ6" s="57"/>
      <c r="AK6" s="57"/>
      <c r="BE6" s="57"/>
      <c r="BF6" s="57"/>
      <c r="BG6" s="57"/>
      <c r="BH6" s="57"/>
      <c r="BI6" s="57"/>
    </row>
    <row r="7" spans="1:61" customFormat="1" ht="16.5" x14ac:dyDescent="0.3">
      <c r="A7" s="74">
        <v>5</v>
      </c>
      <c r="B7" s="143">
        <v>40</v>
      </c>
      <c r="C7" s="135">
        <f t="shared" si="0"/>
        <v>39.320282267137756</v>
      </c>
      <c r="D7" s="135">
        <f t="shared" si="3"/>
        <v>4.4051007144252212</v>
      </c>
      <c r="E7" s="135">
        <f t="shared" ref="E7:E18" si="9">(1-$Z$4)*E3+$Z$4*B3/(C2+D2)</f>
        <v>0.86674834599362915</v>
      </c>
      <c r="F7" s="158">
        <f t="shared" si="8"/>
        <v>33.423099576715863</v>
      </c>
      <c r="G7" s="119">
        <f t="shared" si="1"/>
        <v>6.5769004232841368</v>
      </c>
      <c r="H7" s="119">
        <f t="shared" si="5"/>
        <v>6.5769004232841368</v>
      </c>
      <c r="I7" s="119">
        <f t="shared" si="2"/>
        <v>0.16442251058210341</v>
      </c>
      <c r="J7" s="119">
        <f t="shared" si="6"/>
        <v>43.255619177795062</v>
      </c>
      <c r="K7" s="154">
        <f>SUM($G7:G7)</f>
        <v>6.5769004232841368</v>
      </c>
      <c r="L7" s="118">
        <f>AVERAGE(H$3:H7)</f>
        <v>4.8596534750249472</v>
      </c>
      <c r="M7" s="118">
        <f>AVERAGE(I$3:I7)</f>
        <v>0.17175679999212981</v>
      </c>
      <c r="N7" s="118">
        <f>AVERAGE(J$3:J7)</f>
        <v>31.283200470600548</v>
      </c>
      <c r="O7" s="118">
        <f t="shared" si="7"/>
        <v>1.3533681891280065</v>
      </c>
      <c r="Q7" s="57"/>
      <c r="R7" s="57"/>
      <c r="S7" s="57"/>
      <c r="T7" s="57"/>
      <c r="U7" s="57"/>
      <c r="V7" s="57"/>
      <c r="AI7" s="57"/>
      <c r="AJ7" s="57"/>
      <c r="AK7" s="57"/>
      <c r="BE7" s="57"/>
      <c r="BF7" s="57"/>
      <c r="BG7" s="57"/>
      <c r="BH7" s="57"/>
      <c r="BI7" s="57"/>
    </row>
    <row r="8" spans="1:61" customFormat="1" ht="16.5" x14ac:dyDescent="0.3">
      <c r="A8" s="74">
        <v>6</v>
      </c>
      <c r="B8" s="143">
        <v>55</v>
      </c>
      <c r="C8" s="135">
        <f t="shared" si="0"/>
        <v>44.219258935057205</v>
      </c>
      <c r="D8" s="135">
        <f t="shared" si="3"/>
        <v>4.5038759051240671</v>
      </c>
      <c r="E8" s="135">
        <f t="shared" si="9"/>
        <v>1.1301956051387496</v>
      </c>
      <c r="F8" s="158">
        <f t="shared" si="8"/>
        <v>49.418235678771154</v>
      </c>
      <c r="G8" s="119">
        <f t="shared" si="1"/>
        <v>5.5817643212288459</v>
      </c>
      <c r="H8" s="119">
        <f t="shared" si="5"/>
        <v>5.5817643212288459</v>
      </c>
      <c r="I8" s="119">
        <f t="shared" si="2"/>
        <v>0.10148662402234265</v>
      </c>
      <c r="J8" s="119">
        <f t="shared" si="6"/>
        <v>31.15609293774332</v>
      </c>
      <c r="K8" s="154">
        <f>SUM($G8:G8)</f>
        <v>5.5817643212288459</v>
      </c>
      <c r="L8" s="118">
        <f>AVERAGE(H$3:H8)</f>
        <v>4.9800052827255969</v>
      </c>
      <c r="M8" s="118">
        <f>AVERAGE(I$3:I8)</f>
        <v>0.16004510399716529</v>
      </c>
      <c r="N8" s="118">
        <f>AVERAGE(J$3:J8)</f>
        <v>31.262015881791012</v>
      </c>
      <c r="O8" s="118">
        <f t="shared" si="7"/>
        <v>1.1208350201134529</v>
      </c>
      <c r="Q8" s="57"/>
      <c r="R8" s="57"/>
      <c r="S8" s="57"/>
      <c r="T8" s="57"/>
      <c r="U8" s="57"/>
      <c r="V8" s="57"/>
      <c r="AI8" s="57"/>
      <c r="AJ8" s="57"/>
      <c r="AK8" s="57"/>
      <c r="BE8" s="57"/>
      <c r="BF8" s="57"/>
      <c r="BG8" s="57"/>
      <c r="BH8" s="57"/>
      <c r="BI8" s="57"/>
    </row>
    <row r="9" spans="1:61" customFormat="1" ht="16.5" x14ac:dyDescent="0.3">
      <c r="A9" s="74">
        <v>7</v>
      </c>
      <c r="B9" s="143">
        <v>49</v>
      </c>
      <c r="C9" s="135">
        <f t="shared" si="0"/>
        <v>48.632943261990135</v>
      </c>
      <c r="D9" s="135">
        <f t="shared" si="3"/>
        <v>4.4858375894858398</v>
      </c>
      <c r="E9" s="135">
        <f t="shared" si="9"/>
        <v>1.0246497468057798</v>
      </c>
      <c r="F9" s="158">
        <f t="shared" si="8"/>
        <v>49.924147777575612</v>
      </c>
      <c r="G9" s="119">
        <f t="shared" si="1"/>
        <v>-0.92414777757561239</v>
      </c>
      <c r="H9" s="119">
        <f t="shared" si="5"/>
        <v>0.92414777757561239</v>
      </c>
      <c r="I9" s="119">
        <f t="shared" si="2"/>
        <v>1.8860158726032906E-2</v>
      </c>
      <c r="J9" s="119">
        <f t="shared" si="6"/>
        <v>0.85404911479794354</v>
      </c>
      <c r="K9" s="154">
        <f>SUM($G9:G9)</f>
        <v>-0.92414777757561239</v>
      </c>
      <c r="L9" s="118">
        <f>AVERAGE(H$3:H9)</f>
        <v>4.4005970677041706</v>
      </c>
      <c r="M9" s="118">
        <f>AVERAGE(I$3:I9)</f>
        <v>0.13987582610128921</v>
      </c>
      <c r="N9" s="118">
        <f>AVERAGE(J$3:J9)</f>
        <v>26.918020629363429</v>
      </c>
      <c r="O9" s="118">
        <f t="shared" si="7"/>
        <v>-0.21000508870896201</v>
      </c>
      <c r="Q9" s="57"/>
      <c r="R9" s="57"/>
      <c r="S9" s="57"/>
      <c r="T9" s="57"/>
      <c r="U9" s="57"/>
      <c r="V9" s="57"/>
      <c r="AI9" s="57"/>
      <c r="AJ9" s="57"/>
      <c r="AK9" s="57"/>
      <c r="BE9" s="57"/>
      <c r="BF9" s="57"/>
      <c r="BG9" s="57"/>
      <c r="BH9" s="57"/>
      <c r="BI9" s="57"/>
    </row>
    <row r="10" spans="1:61" customFormat="1" ht="16.5" x14ac:dyDescent="0.3">
      <c r="A10" s="74">
        <v>8</v>
      </c>
      <c r="B10" s="143">
        <v>40</v>
      </c>
      <c r="C10" s="135">
        <f t="shared" si="0"/>
        <v>52.095366549385993</v>
      </c>
      <c r="D10" s="135">
        <f t="shared" si="3"/>
        <v>4.2811547290678433</v>
      </c>
      <c r="E10" s="135">
        <f t="shared" si="9"/>
        <v>0.9327349378121732</v>
      </c>
      <c r="F10" s="158">
        <f t="shared" si="8"/>
        <v>49.545742754159903</v>
      </c>
      <c r="G10" s="119">
        <f t="shared" si="1"/>
        <v>-9.5457427541599031</v>
      </c>
      <c r="H10" s="119">
        <f t="shared" si="5"/>
        <v>9.5457427541599031</v>
      </c>
      <c r="I10" s="119">
        <f t="shared" si="2"/>
        <v>0.23864356885399757</v>
      </c>
      <c r="J10" s="119">
        <f t="shared" si="6"/>
        <v>91.121204728596297</v>
      </c>
      <c r="K10" s="154">
        <f>SUM($G10:G10)</f>
        <v>-9.5457427541599031</v>
      </c>
      <c r="L10" s="118">
        <f>AVERAGE(H$3:H10)</f>
        <v>5.0437402785111374</v>
      </c>
      <c r="M10" s="118">
        <f>AVERAGE(I$3:I10)</f>
        <v>0.15222179394537777</v>
      </c>
      <c r="N10" s="118">
        <f>AVERAGE(J$3:J10)</f>
        <v>34.943418641767536</v>
      </c>
      <c r="O10" s="118">
        <f t="shared" si="7"/>
        <v>-1.8925920501556264</v>
      </c>
      <c r="AI10" s="57"/>
      <c r="AJ10" s="57"/>
      <c r="AK10" s="57"/>
      <c r="BE10" s="57"/>
      <c r="BF10" s="57"/>
      <c r="BG10" s="57"/>
      <c r="BH10" s="57"/>
      <c r="BI10" s="57"/>
    </row>
    <row r="11" spans="1:61" customFormat="1" ht="16.5" x14ac:dyDescent="0.3">
      <c r="A11" s="74">
        <v>9</v>
      </c>
      <c r="B11" s="143">
        <v>55</v>
      </c>
      <c r="C11" s="135">
        <f t="shared" si="0"/>
        <v>56.844149107286633</v>
      </c>
      <c r="D11" s="135">
        <f t="shared" si="3"/>
        <v>4.3746802948344028</v>
      </c>
      <c r="E11" s="135">
        <f t="shared" si="9"/>
        <v>0.90085959022794659</v>
      </c>
      <c r="F11" s="158">
        <f t="shared" si="8"/>
        <v>50.787329857385032</v>
      </c>
      <c r="G11" s="119">
        <f t="shared" si="1"/>
        <v>4.212670142614968</v>
      </c>
      <c r="H11" s="119">
        <f t="shared" si="5"/>
        <v>4.212670142614968</v>
      </c>
      <c r="I11" s="119">
        <f t="shared" si="2"/>
        <v>7.6594002592999422E-2</v>
      </c>
      <c r="J11" s="119">
        <f t="shared" si="6"/>
        <v>17.746589730479613</v>
      </c>
      <c r="K11" s="154">
        <f>SUM($G11:G11)</f>
        <v>4.212670142614968</v>
      </c>
      <c r="L11" s="118">
        <f>AVERAGE(H$3:H11)</f>
        <v>4.9513991523004517</v>
      </c>
      <c r="M11" s="118">
        <f>AVERAGE(I$3:I11)</f>
        <v>0.14381870601733573</v>
      </c>
      <c r="N11" s="118">
        <f>AVERAGE(J$3:J11)</f>
        <v>33.032659873846654</v>
      </c>
      <c r="O11" s="118">
        <f t="shared" si="7"/>
        <v>0.85080398752698705</v>
      </c>
      <c r="AI11" s="57"/>
      <c r="AJ11" s="57"/>
      <c r="AK11" s="57"/>
      <c r="BE11" s="57"/>
      <c r="BF11" s="57"/>
      <c r="BG11" s="57"/>
      <c r="BH11" s="57"/>
      <c r="BI11" s="57"/>
    </row>
    <row r="12" spans="1:61" customFormat="1" ht="16.5" x14ac:dyDescent="0.3">
      <c r="A12" s="74">
        <v>10</v>
      </c>
      <c r="B12" s="143">
        <v>79</v>
      </c>
      <c r="C12" s="135">
        <f t="shared" si="0"/>
        <v>61.932473088593632</v>
      </c>
      <c r="D12" s="135">
        <f t="shared" si="3"/>
        <v>4.5174090321289224</v>
      </c>
      <c r="E12" s="135">
        <f t="shared" si="9"/>
        <v>1.1557266076851764</v>
      </c>
      <c r="F12" s="158">
        <f t="shared" si="8"/>
        <v>70.752230031370885</v>
      </c>
      <c r="G12" s="119">
        <f t="shared" si="1"/>
        <v>8.2477699686291146</v>
      </c>
      <c r="H12" s="119">
        <f t="shared" si="5"/>
        <v>8.2477699686291146</v>
      </c>
      <c r="I12" s="119">
        <f t="shared" si="2"/>
        <v>0.10440215150163436</v>
      </c>
      <c r="J12" s="119">
        <f t="shared" si="6"/>
        <v>68.025709455420312</v>
      </c>
      <c r="K12" s="154">
        <f>SUM($G12:G12)</f>
        <v>8.2477699686291146</v>
      </c>
      <c r="L12" s="118">
        <f>AVERAGE(H$3:H12)</f>
        <v>5.2810362339333183</v>
      </c>
      <c r="M12" s="118">
        <f>AVERAGE(I$3:I12)</f>
        <v>0.1398770505657656</v>
      </c>
      <c r="N12" s="118">
        <f>AVERAGE(J$3:J12)</f>
        <v>36.531964832004022</v>
      </c>
      <c r="O12" s="118">
        <f t="shared" si="7"/>
        <v>1.5617711379507373</v>
      </c>
      <c r="AI12" s="57"/>
      <c r="AJ12" s="57"/>
      <c r="AK12" s="57"/>
      <c r="BE12" s="57"/>
      <c r="BF12" s="57"/>
      <c r="BG12" s="57"/>
      <c r="BH12" s="57"/>
      <c r="BI12" s="57"/>
    </row>
    <row r="13" spans="1:61" customFormat="1" ht="16.5" x14ac:dyDescent="0.3">
      <c r="A13" s="74">
        <v>11</v>
      </c>
      <c r="B13" s="143">
        <v>68</v>
      </c>
      <c r="C13" s="135">
        <f t="shared" si="0"/>
        <v>66.46596866311458</v>
      </c>
      <c r="D13" s="135">
        <f t="shared" si="3"/>
        <v>4.5206263406073282</v>
      </c>
      <c r="E13" s="135">
        <f t="shared" si="9"/>
        <v>1.0208562808040256</v>
      </c>
      <c r="F13" s="158">
        <f t="shared" si="8"/>
        <v>67.835779521626733</v>
      </c>
      <c r="G13" s="119">
        <f t="shared" si="1"/>
        <v>0.16422047837326659</v>
      </c>
      <c r="H13" s="119">
        <f t="shared" si="5"/>
        <v>0.16422047837326659</v>
      </c>
      <c r="I13" s="119">
        <f t="shared" si="2"/>
        <v>2.4150070349009791E-3</v>
      </c>
      <c r="J13" s="119">
        <f t="shared" si="6"/>
        <v>2.6968365517144519E-2</v>
      </c>
      <c r="K13" s="154">
        <f>SUM($G13:G13)</f>
        <v>0.16422047837326659</v>
      </c>
      <c r="L13" s="118">
        <f>AVERAGE(H$3:H13)</f>
        <v>4.8158711652460404</v>
      </c>
      <c r="M13" s="118">
        <f>AVERAGE(I$3:I13)</f>
        <v>0.12738050115386881</v>
      </c>
      <c r="N13" s="118">
        <f>AVERAGE(J$3:J13)</f>
        <v>33.213328789596126</v>
      </c>
      <c r="O13" s="118">
        <f t="shared" si="7"/>
        <v>3.4099848758075459E-2</v>
      </c>
      <c r="AI13" s="57"/>
      <c r="AJ13" s="57"/>
      <c r="AK13" s="57"/>
      <c r="BE13" s="57"/>
      <c r="BF13" s="57"/>
      <c r="BG13" s="57"/>
      <c r="BH13" s="57"/>
      <c r="BI13" s="57"/>
    </row>
    <row r="14" spans="1:61" customFormat="1" ht="16.5" x14ac:dyDescent="0.3">
      <c r="A14" s="74">
        <v>12</v>
      </c>
      <c r="B14" s="143">
        <v>61</v>
      </c>
      <c r="C14" s="135">
        <f t="shared" si="0"/>
        <v>70.689944937755655</v>
      </c>
      <c r="D14" s="135">
        <f t="shared" si="3"/>
        <v>4.4612963274140771</v>
      </c>
      <c r="E14" s="135">
        <f t="shared" si="9"/>
        <v>0.89679381641915601</v>
      </c>
      <c r="F14" s="158">
        <f t="shared" si="8"/>
        <v>63.660339447988754</v>
      </c>
      <c r="G14" s="119">
        <f t="shared" si="1"/>
        <v>-2.6603394479887541</v>
      </c>
      <c r="H14" s="119">
        <f t="shared" si="5"/>
        <v>2.6603394479887541</v>
      </c>
      <c r="I14" s="119">
        <f t="shared" si="2"/>
        <v>4.3612122098176297E-2</v>
      </c>
      <c r="J14" s="119">
        <f t="shared" si="6"/>
        <v>7.0774059785251087</v>
      </c>
      <c r="K14" s="154">
        <f>SUM($G14:G14)</f>
        <v>-2.6603394479887541</v>
      </c>
      <c r="L14" s="118">
        <f>AVERAGE(H$3:H14)</f>
        <v>4.6362435221412666</v>
      </c>
      <c r="M14" s="118">
        <f>AVERAGE(I$3:I14)</f>
        <v>0.12039980289922776</v>
      </c>
      <c r="N14" s="118">
        <f>AVERAGE(J$3:J14)</f>
        <v>31.035335222006875</v>
      </c>
      <c r="O14" s="118">
        <f t="shared" si="7"/>
        <v>-0.57381357025009472</v>
      </c>
      <c r="AI14" s="57"/>
      <c r="AJ14" s="57"/>
      <c r="AK14" s="57"/>
      <c r="BE14" s="57"/>
      <c r="BF14" s="57"/>
      <c r="BG14" s="57"/>
      <c r="BH14" s="57"/>
      <c r="BI14" s="57"/>
    </row>
    <row r="15" spans="1:61" ht="16.5" x14ac:dyDescent="0.3">
      <c r="A15" s="74">
        <v>13</v>
      </c>
      <c r="B15"/>
      <c r="C15" s="135">
        <f t="shared" si="0"/>
        <v>67.636117138652764</v>
      </c>
      <c r="D15" s="135">
        <f t="shared" ref="D15:D18" si="10">(1-$C$23)*D14+$C$23*(C15-C14)</f>
        <v>2.9582715021106836</v>
      </c>
      <c r="E15" s="135">
        <f t="shared" si="9"/>
        <v>0.91580435818128603</v>
      </c>
      <c r="F15" s="159">
        <f>($C$14+(A15-$A$14)*$D$14)*E15</f>
        <v>68.823834273375738</v>
      </c>
      <c r="G15" s="109"/>
      <c r="H15" s="119"/>
      <c r="I15" s="109"/>
      <c r="J15"/>
      <c r="K15"/>
      <c r="L15"/>
      <c r="M15"/>
      <c r="N1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"/>
      <c r="AM15" s="6"/>
      <c r="AN15" s="6"/>
      <c r="AO15" s="6"/>
      <c r="AP15" s="6"/>
      <c r="AQ15" s="6"/>
      <c r="AR15" s="6"/>
      <c r="BE15"/>
      <c r="BF15"/>
      <c r="BG15"/>
      <c r="BH15"/>
      <c r="BI15"/>
    </row>
    <row r="16" spans="1:61" ht="16.5" x14ac:dyDescent="0.3">
      <c r="A16" s="74">
        <v>14</v>
      </c>
      <c r="B16"/>
      <c r="C16" s="135">
        <f t="shared" si="0"/>
        <v>63.5349497766871</v>
      </c>
      <c r="D16" s="135">
        <f t="shared" si="10"/>
        <v>1.5463837292954139</v>
      </c>
      <c r="E16" s="135">
        <f t="shared" si="9"/>
        <v>1.1826718140838579</v>
      </c>
      <c r="F16" s="159">
        <f t="shared" ref="F16:F18" si="11">($C$14+(A16-$A$14)*$D$14)*E16</f>
        <v>94.155504258440416</v>
      </c>
      <c r="G16" s="65"/>
      <c r="H16" s="119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"/>
      <c r="AM16" s="6"/>
      <c r="AN16" s="6"/>
      <c r="AO16" s="6"/>
      <c r="AP16" s="6"/>
      <c r="AQ16" s="6"/>
      <c r="AR16" s="6"/>
      <c r="BE16"/>
      <c r="BF16"/>
      <c r="BG16"/>
      <c r="BH16"/>
      <c r="BI16"/>
    </row>
    <row r="17" spans="1:61" ht="16.5" x14ac:dyDescent="0.3">
      <c r="A17" s="74">
        <v>15</v>
      </c>
      <c r="C17" s="135">
        <f t="shared" si="0"/>
        <v>58.573200155384264</v>
      </c>
      <c r="D17" s="135">
        <f t="shared" si="10"/>
        <v>0.24475705917576407</v>
      </c>
      <c r="E17" s="135">
        <f t="shared" si="9"/>
        <v>1.0213505494863233</v>
      </c>
      <c r="F17" s="159">
        <f t="shared" si="11"/>
        <v>85.868856471611721</v>
      </c>
      <c r="H17" s="119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"/>
      <c r="AM17" s="6"/>
      <c r="AN17" s="6"/>
      <c r="AO17" s="6"/>
      <c r="AP17" s="6"/>
      <c r="AQ17" s="6"/>
      <c r="AR17" s="6"/>
      <c r="BE17"/>
      <c r="BF17"/>
      <c r="BG17"/>
      <c r="BH17"/>
      <c r="BI17"/>
    </row>
    <row r="18" spans="1:61" ht="16.5" x14ac:dyDescent="0.3">
      <c r="A18" s="74">
        <v>16</v>
      </c>
      <c r="C18" s="135">
        <f t="shared" si="0"/>
        <v>52.936161493104024</v>
      </c>
      <c r="D18" s="135">
        <f t="shared" si="10"/>
        <v>-0.93160208511543685</v>
      </c>
      <c r="E18" s="135">
        <f t="shared" si="9"/>
        <v>0.88929848734230921</v>
      </c>
      <c r="F18" s="159">
        <f t="shared" si="11"/>
        <v>78.734157405677777</v>
      </c>
      <c r="H18" s="119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"/>
      <c r="AM18" s="6"/>
      <c r="AN18" s="6"/>
      <c r="AO18" s="6"/>
      <c r="AP18" s="6"/>
      <c r="AQ18" s="6"/>
      <c r="AR18" s="6"/>
      <c r="BE18"/>
      <c r="BF18"/>
      <c r="BG18"/>
      <c r="BH18"/>
      <c r="BI18"/>
    </row>
    <row r="19" spans="1:61" x14ac:dyDescent="0.25">
      <c r="A19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"/>
      <c r="AM19" s="6"/>
      <c r="AN19" s="6"/>
      <c r="AO19" s="6"/>
      <c r="AP19" s="6"/>
      <c r="AQ19" s="6"/>
      <c r="AR19" s="6"/>
      <c r="BE19"/>
      <c r="BF19"/>
      <c r="BG19"/>
      <c r="BH19"/>
      <c r="BI19"/>
    </row>
    <row r="20" spans="1:61" x14ac:dyDescent="0.25">
      <c r="A20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"/>
      <c r="AM20" s="6"/>
      <c r="AN20" s="6"/>
      <c r="AO20" s="6"/>
      <c r="AP20" s="6"/>
      <c r="AQ20" s="6"/>
      <c r="AR20" s="6"/>
      <c r="BE20"/>
      <c r="BF20"/>
      <c r="BG20"/>
      <c r="BH20"/>
      <c r="BI20"/>
    </row>
    <row r="21" spans="1:61" x14ac:dyDescent="0.25">
      <c r="A21"/>
      <c r="B21" s="57" t="s">
        <v>87</v>
      </c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"/>
      <c r="AM21" s="6"/>
      <c r="AN21" s="6"/>
      <c r="AO21" s="6"/>
      <c r="AP21" s="6"/>
      <c r="AQ21" s="6"/>
      <c r="AR21" s="6"/>
      <c r="BE21"/>
      <c r="BF21"/>
      <c r="BG21"/>
      <c r="BH21"/>
      <c r="BI21"/>
    </row>
    <row r="22" spans="1:61" x14ac:dyDescent="0.25">
      <c r="A22"/>
      <c r="B22" s="57" t="s">
        <v>150</v>
      </c>
      <c r="C22" s="57">
        <v>0.1</v>
      </c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"/>
      <c r="AM22" s="6"/>
      <c r="AN22" s="6"/>
      <c r="AO22" s="6"/>
      <c r="AP22" s="6"/>
      <c r="AQ22" s="6"/>
      <c r="AR22" s="6"/>
      <c r="BE22"/>
      <c r="BF22"/>
      <c r="BG22"/>
      <c r="BH22"/>
      <c r="BI22"/>
    </row>
    <row r="23" spans="1:61" x14ac:dyDescent="0.25">
      <c r="A23"/>
      <c r="B23" s="57" t="s">
        <v>148</v>
      </c>
      <c r="C23" s="57">
        <v>0.2</v>
      </c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"/>
      <c r="AM23" s="6"/>
      <c r="AN23" s="6"/>
      <c r="AO23" s="6"/>
      <c r="AP23" s="6"/>
      <c r="AQ23" s="6"/>
      <c r="AR23" s="6"/>
      <c r="BE23"/>
      <c r="BF23"/>
      <c r="BG23"/>
      <c r="BH23"/>
      <c r="BI23"/>
    </row>
    <row r="24" spans="1:61" x14ac:dyDescent="0.25">
      <c r="A24"/>
      <c r="B24" s="57" t="s">
        <v>149</v>
      </c>
      <c r="C24" s="57">
        <v>0.2</v>
      </c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"/>
      <c r="AM24" s="6"/>
      <c r="AN24" s="6"/>
      <c r="AO24" s="6"/>
      <c r="AP24" s="6"/>
      <c r="AQ24" s="6"/>
      <c r="AR24" s="6"/>
      <c r="BE24"/>
      <c r="BF24"/>
      <c r="BG24"/>
      <c r="BH24"/>
      <c r="BI24"/>
    </row>
    <row r="25" spans="1:61" x14ac:dyDescent="0.25">
      <c r="A2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"/>
      <c r="AM25" s="6"/>
      <c r="AN25" s="6"/>
      <c r="AO25" s="6"/>
      <c r="AP25" s="6"/>
      <c r="AQ25" s="6"/>
      <c r="AR25" s="6"/>
      <c r="BE25"/>
      <c r="BF25"/>
      <c r="BG25"/>
      <c r="BH25"/>
      <c r="BI25"/>
    </row>
    <row r="26" spans="1:61" x14ac:dyDescent="0.25">
      <c r="A26"/>
      <c r="B26" s="57" t="s">
        <v>136</v>
      </c>
      <c r="C26"/>
      <c r="D26"/>
      <c r="E26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"/>
      <c r="AM26" s="6"/>
      <c r="AN26" s="6"/>
      <c r="AO26" s="6"/>
      <c r="AP26" s="6"/>
      <c r="AQ26" s="6"/>
      <c r="AR26" s="6"/>
      <c r="BE26"/>
      <c r="BF26"/>
      <c r="BG26"/>
      <c r="BH26"/>
      <c r="BI26"/>
    </row>
    <row r="27" spans="1:61" x14ac:dyDescent="0.25">
      <c r="A27"/>
      <c r="B27" s="57" t="s">
        <v>137</v>
      </c>
      <c r="C27" s="118"/>
      <c r="D27"/>
      <c r="E27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"/>
      <c r="AM27" s="6"/>
      <c r="AN27" s="6"/>
      <c r="AO27" s="6"/>
      <c r="AP27" s="6"/>
      <c r="AQ27" s="6"/>
      <c r="AR27" s="6"/>
      <c r="BE27"/>
      <c r="BF27"/>
      <c r="BG27"/>
      <c r="BH27"/>
      <c r="BI27"/>
    </row>
    <row r="28" spans="1:61" x14ac:dyDescent="0.25">
      <c r="A28"/>
      <c r="B28" s="57" t="s">
        <v>138</v>
      </c>
      <c r="C28"/>
      <c r="D28"/>
      <c r="E28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"/>
      <c r="AM28" s="6"/>
      <c r="AN28" s="6"/>
      <c r="AO28" s="6"/>
      <c r="AP28" s="6"/>
      <c r="AQ28" s="6"/>
      <c r="AR28" s="6"/>
      <c r="BE28"/>
      <c r="BF28"/>
      <c r="BG28"/>
      <c r="BH28"/>
      <c r="BI28"/>
    </row>
    <row r="29" spans="1:61" x14ac:dyDescent="0.25">
      <c r="A29"/>
      <c r="B29" s="129" t="s">
        <v>119</v>
      </c>
      <c r="C29"/>
      <c r="D29"/>
      <c r="E29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"/>
      <c r="AM29" s="6"/>
      <c r="AN29" s="6"/>
      <c r="AO29" s="6"/>
      <c r="AP29" s="6"/>
      <c r="AQ29" s="6"/>
      <c r="AR29" s="6"/>
      <c r="BE29"/>
      <c r="BF29"/>
      <c r="BG29"/>
      <c r="BH29"/>
      <c r="BI29"/>
    </row>
    <row r="30" spans="1:61" x14ac:dyDescent="0.25">
      <c r="A30"/>
      <c r="B30" t="s">
        <v>139</v>
      </c>
      <c r="C30"/>
      <c r="D30"/>
      <c r="E30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"/>
      <c r="AM30" s="6"/>
      <c r="AN30" s="6"/>
      <c r="AO30" s="6"/>
      <c r="AP30" s="6"/>
      <c r="AQ30" s="6"/>
      <c r="AR30" s="6"/>
      <c r="BE30"/>
      <c r="BF30"/>
      <c r="BG30"/>
      <c r="BH30"/>
      <c r="BI30"/>
    </row>
    <row r="31" spans="1:61" x14ac:dyDescent="0.25">
      <c r="A31"/>
      <c r="B31" t="s">
        <v>125</v>
      </c>
      <c r="C31"/>
      <c r="D31"/>
      <c r="E31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"/>
      <c r="AM31" s="6"/>
      <c r="AN31" s="6"/>
      <c r="AO31" s="6"/>
      <c r="AP31" s="6"/>
      <c r="AQ31" s="6"/>
      <c r="AR31" s="6"/>
      <c r="BE31"/>
      <c r="BF31"/>
      <c r="BG31"/>
      <c r="BH31"/>
      <c r="BI31"/>
    </row>
    <row r="32" spans="1:61" x14ac:dyDescent="0.25">
      <c r="A32"/>
      <c r="B32" t="s">
        <v>140</v>
      </c>
      <c r="C32"/>
      <c r="D32"/>
      <c r="E32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/>
      <c r="AA32"/>
      <c r="AB32"/>
      <c r="AC32"/>
      <c r="AD32"/>
      <c r="AE32"/>
      <c r="AF32"/>
      <c r="AG32"/>
      <c r="AH32"/>
      <c r="AI32"/>
      <c r="AJ32"/>
      <c r="AK32"/>
      <c r="AL32" s="6"/>
      <c r="AM32" s="6"/>
      <c r="AN32" s="6"/>
      <c r="AO32" s="6"/>
      <c r="AP32" s="6"/>
      <c r="AQ32" s="6"/>
      <c r="AR32" s="6"/>
      <c r="BE32"/>
      <c r="BF32"/>
      <c r="BG32"/>
      <c r="BH32"/>
      <c r="BI32"/>
    </row>
    <row r="33" spans="1:61" x14ac:dyDescent="0.25">
      <c r="A33"/>
      <c r="B33" t="s">
        <v>141</v>
      </c>
      <c r="C33"/>
      <c r="D33"/>
      <c r="E33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/>
      <c r="AA33"/>
      <c r="AB33"/>
      <c r="AC33"/>
      <c r="AD33"/>
      <c r="AE33"/>
      <c r="AF33"/>
      <c r="AG33"/>
      <c r="AH33"/>
      <c r="AI33"/>
      <c r="AJ33"/>
      <c r="AK33"/>
      <c r="AL33" s="6"/>
      <c r="AM33" s="6"/>
      <c r="AN33" s="6"/>
      <c r="AO33" s="6"/>
      <c r="AP33" s="6"/>
      <c r="AQ33" s="6"/>
      <c r="AR33" s="6"/>
      <c r="BE33"/>
      <c r="BF33"/>
      <c r="BG33"/>
      <c r="BH33"/>
      <c r="BI33"/>
    </row>
    <row r="34" spans="1:61" x14ac:dyDescent="0.25">
      <c r="A34"/>
      <c r="B34" t="s">
        <v>142</v>
      </c>
      <c r="C34"/>
      <c r="D34"/>
      <c r="E34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/>
      <c r="AA34"/>
      <c r="AB34"/>
      <c r="AC34"/>
      <c r="AD34"/>
      <c r="AE34"/>
      <c r="AF34"/>
      <c r="AG34"/>
      <c r="AH34"/>
      <c r="AI34"/>
      <c r="AJ34"/>
      <c r="AK34"/>
      <c r="AL34" s="6"/>
      <c r="AM34" s="6"/>
      <c r="AN34" s="6"/>
      <c r="AO34" s="6"/>
      <c r="AP34" s="6"/>
      <c r="AQ34" s="6"/>
      <c r="AR34" s="6"/>
      <c r="BE34"/>
      <c r="BF34"/>
      <c r="BG34"/>
      <c r="BH34"/>
      <c r="BI34"/>
    </row>
    <row r="35" spans="1:61" x14ac:dyDescent="0.25">
      <c r="A35"/>
      <c r="B35"/>
      <c r="C35"/>
      <c r="D35"/>
      <c r="E3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/>
      <c r="AA35"/>
      <c r="AB35"/>
      <c r="AC35"/>
      <c r="AD35"/>
      <c r="AE35"/>
      <c r="AF35"/>
      <c r="AG35"/>
      <c r="AH35"/>
      <c r="AI35"/>
      <c r="AJ35"/>
      <c r="AK35"/>
      <c r="AL35" s="6"/>
      <c r="AM35" s="6"/>
      <c r="AN35" s="6"/>
      <c r="AO35" s="6"/>
      <c r="AP35" s="6"/>
      <c r="AQ35" s="6"/>
      <c r="AR35" s="6"/>
      <c r="BE35"/>
      <c r="BF35"/>
      <c r="BG35"/>
      <c r="BH35"/>
      <c r="BI35"/>
    </row>
    <row r="36" spans="1:61" x14ac:dyDescent="0.25">
      <c r="A36"/>
      <c r="B36"/>
      <c r="C36"/>
      <c r="D36"/>
      <c r="E36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/>
      <c r="AA36"/>
      <c r="AB36"/>
      <c r="AC36"/>
      <c r="AD36"/>
      <c r="AE36"/>
      <c r="AF36"/>
      <c r="AG36"/>
      <c r="AH36"/>
      <c r="AI36"/>
      <c r="AJ36"/>
      <c r="AK36"/>
      <c r="AL36" s="6"/>
      <c r="AM36" s="6"/>
      <c r="AN36" s="6"/>
      <c r="AO36" s="6"/>
      <c r="AP36" s="6"/>
      <c r="AQ36" s="6"/>
      <c r="AR36" s="6"/>
      <c r="BE36"/>
      <c r="BF36"/>
      <c r="BG36"/>
      <c r="BH36"/>
      <c r="BI36"/>
    </row>
    <row r="37" spans="1:61" x14ac:dyDescent="0.25">
      <c r="A37"/>
      <c r="B37"/>
      <c r="C37"/>
      <c r="D37"/>
      <c r="E37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/>
      <c r="AA37"/>
      <c r="AB37"/>
      <c r="AC37"/>
      <c r="AD37"/>
      <c r="AE37"/>
      <c r="AF37"/>
      <c r="AG37"/>
      <c r="AH37"/>
      <c r="AI37"/>
      <c r="AJ37"/>
      <c r="AK37"/>
      <c r="AL37" s="6"/>
      <c r="AM37" s="6"/>
      <c r="AN37" s="6"/>
      <c r="AO37" s="6"/>
      <c r="AP37" s="6"/>
      <c r="AQ37" s="6"/>
      <c r="AR37" s="6"/>
      <c r="BE37"/>
      <c r="BF37"/>
      <c r="BG37"/>
      <c r="BH37"/>
      <c r="BI37"/>
    </row>
    <row r="38" spans="1:61" x14ac:dyDescent="0.25">
      <c r="A38"/>
      <c r="B38"/>
      <c r="C38"/>
      <c r="D38"/>
      <c r="E38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/>
      <c r="AA38"/>
      <c r="AB38"/>
      <c r="AC38"/>
      <c r="AD38"/>
      <c r="AE38"/>
      <c r="AF38"/>
      <c r="AG38"/>
      <c r="AH38"/>
      <c r="AI38"/>
      <c r="AJ38"/>
      <c r="AK38"/>
      <c r="AL38" s="6"/>
      <c r="AM38" s="6"/>
      <c r="AN38" s="6"/>
      <c r="AO38" s="6"/>
      <c r="AP38" s="6"/>
      <c r="AQ38" s="6"/>
      <c r="AR38" s="6"/>
      <c r="BE38"/>
      <c r="BF38"/>
      <c r="BG38"/>
      <c r="BH38"/>
      <c r="BI38"/>
    </row>
    <row r="39" spans="1:61" x14ac:dyDescent="0.25">
      <c r="A39"/>
      <c r="B39"/>
      <c r="C39"/>
      <c r="D39"/>
      <c r="E39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/>
      <c r="AA39"/>
      <c r="AB39"/>
      <c r="AC39"/>
      <c r="AD39"/>
      <c r="AE39"/>
      <c r="AF39"/>
      <c r="AG39"/>
      <c r="AH39"/>
      <c r="AI39"/>
      <c r="AJ39"/>
      <c r="AK39"/>
      <c r="AL39" s="6"/>
      <c r="AM39" s="6"/>
      <c r="AN39" s="6"/>
      <c r="AO39" s="6"/>
      <c r="AP39" s="6"/>
      <c r="AQ39" s="6"/>
      <c r="AR39" s="6"/>
      <c r="BE39"/>
      <c r="BF39"/>
      <c r="BG39"/>
      <c r="BH39"/>
      <c r="BI39"/>
    </row>
    <row r="40" spans="1:61" x14ac:dyDescent="0.25">
      <c r="A40"/>
      <c r="B40"/>
      <c r="C40"/>
      <c r="D40"/>
      <c r="E40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/>
      <c r="AA40"/>
      <c r="AB40"/>
      <c r="AC40"/>
      <c r="AD40"/>
      <c r="AE40"/>
      <c r="AF40"/>
      <c r="AG40"/>
      <c r="AH40"/>
      <c r="AI40"/>
      <c r="AJ40"/>
      <c r="AK40"/>
      <c r="AL40" s="6"/>
      <c r="AM40" s="6"/>
      <c r="AN40" s="6"/>
      <c r="AO40" s="6"/>
      <c r="AP40" s="6"/>
      <c r="AQ40" s="6"/>
      <c r="AR40" s="6"/>
      <c r="BE40"/>
      <c r="BF40"/>
      <c r="BG40"/>
      <c r="BH40"/>
      <c r="BI40"/>
    </row>
    <row r="41" spans="1:61" x14ac:dyDescent="0.25">
      <c r="A41"/>
      <c r="B41"/>
      <c r="C41"/>
      <c r="D41"/>
      <c r="E41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/>
      <c r="AA41"/>
      <c r="AB41"/>
      <c r="AC41"/>
      <c r="AD41"/>
      <c r="AE41"/>
      <c r="AF41"/>
      <c r="AG41"/>
      <c r="AH41"/>
      <c r="AI41"/>
      <c r="AJ41"/>
      <c r="AK41"/>
      <c r="AL41" s="6"/>
      <c r="AM41" s="6"/>
      <c r="AN41" s="6"/>
      <c r="AO41" s="6"/>
      <c r="AP41" s="6"/>
      <c r="AQ41" s="6"/>
      <c r="AR41" s="6"/>
      <c r="BE41"/>
      <c r="BF41"/>
      <c r="BG41"/>
      <c r="BH41"/>
      <c r="BI41"/>
    </row>
    <row r="42" spans="1:61" x14ac:dyDescent="0.25">
      <c r="A42"/>
      <c r="B42"/>
      <c r="C42"/>
      <c r="D42"/>
      <c r="E42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/>
      <c r="AA42"/>
      <c r="AB42"/>
      <c r="AC42"/>
      <c r="AD42"/>
      <c r="AE42"/>
      <c r="AF42"/>
      <c r="AG42"/>
      <c r="AH42"/>
      <c r="AI42"/>
      <c r="AJ42"/>
      <c r="AK42"/>
      <c r="AL42" s="6"/>
      <c r="AM42" s="6"/>
      <c r="AN42" s="6"/>
      <c r="AO42" s="6"/>
      <c r="AP42" s="6"/>
      <c r="AQ42" s="6"/>
      <c r="AR42" s="6"/>
      <c r="BE42"/>
      <c r="BF42"/>
      <c r="BG42"/>
      <c r="BH42"/>
      <c r="BI42"/>
    </row>
    <row r="43" spans="1:61" x14ac:dyDescent="0.25">
      <c r="A43"/>
      <c r="B43"/>
      <c r="C43"/>
      <c r="D43"/>
      <c r="E43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/>
      <c r="AA43"/>
      <c r="AB43"/>
      <c r="AC43"/>
      <c r="AD43"/>
      <c r="AE43"/>
      <c r="AF43"/>
      <c r="AG43"/>
      <c r="AH43"/>
      <c r="AI43"/>
      <c r="AJ43"/>
      <c r="AK43"/>
      <c r="AL43" s="6"/>
      <c r="AM43" s="6"/>
      <c r="AN43" s="6"/>
      <c r="AO43" s="6"/>
      <c r="AP43" s="6"/>
      <c r="AQ43" s="6"/>
      <c r="AR43" s="6"/>
      <c r="BE43"/>
      <c r="BF43"/>
      <c r="BG43"/>
      <c r="BH43"/>
      <c r="BI43"/>
    </row>
    <row r="44" spans="1:61" x14ac:dyDescent="0.25">
      <c r="A44"/>
      <c r="B44"/>
      <c r="C44"/>
      <c r="D44"/>
      <c r="E44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/>
      <c r="AA44"/>
      <c r="AB44"/>
      <c r="AC44"/>
      <c r="AD44"/>
      <c r="AE44"/>
      <c r="AF44"/>
      <c r="AG44"/>
      <c r="AH44"/>
      <c r="AI44"/>
      <c r="AJ44"/>
      <c r="AK44"/>
      <c r="AL44" s="6"/>
      <c r="AM44" s="6"/>
      <c r="AN44" s="6"/>
      <c r="AO44" s="6"/>
      <c r="AP44" s="6"/>
      <c r="AQ44" s="6"/>
      <c r="AR44" s="6"/>
      <c r="BE44"/>
      <c r="BF44"/>
      <c r="BG44"/>
      <c r="BH44"/>
      <c r="BI44"/>
    </row>
    <row r="45" spans="1:61" x14ac:dyDescent="0.25">
      <c r="A45"/>
      <c r="B45"/>
      <c r="C45"/>
      <c r="D45"/>
      <c r="E4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/>
      <c r="AA45"/>
      <c r="AB45"/>
      <c r="AC45"/>
      <c r="AD45"/>
      <c r="AE45"/>
      <c r="AF45"/>
      <c r="AG45"/>
      <c r="AH45"/>
      <c r="AI45"/>
      <c r="AJ45"/>
      <c r="AK45"/>
      <c r="AL45" s="6"/>
      <c r="AM45" s="6"/>
      <c r="AN45" s="6"/>
      <c r="AO45" s="6"/>
      <c r="AP45" s="6"/>
      <c r="AQ45" s="6"/>
      <c r="AR45" s="6"/>
      <c r="BE45"/>
      <c r="BF45"/>
      <c r="BG45"/>
      <c r="BH45"/>
      <c r="BI45"/>
    </row>
    <row r="46" spans="1:61" x14ac:dyDescent="0.25">
      <c r="A46"/>
      <c r="B46"/>
      <c r="C46"/>
      <c r="D46"/>
      <c r="E46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/>
      <c r="AA46"/>
      <c r="AB46"/>
      <c r="AC46"/>
      <c r="AD46"/>
      <c r="AE46"/>
      <c r="AF46"/>
      <c r="AG46"/>
      <c r="AH46"/>
      <c r="AI46"/>
      <c r="AJ46"/>
      <c r="AK46"/>
      <c r="AL46" s="6"/>
      <c r="AM46" s="6"/>
      <c r="AN46" s="6"/>
      <c r="AO46" s="6"/>
      <c r="AP46" s="6"/>
      <c r="AQ46" s="6"/>
      <c r="AR46" s="6"/>
      <c r="BE46"/>
      <c r="BF46"/>
      <c r="BG46"/>
      <c r="BH46"/>
      <c r="BI46"/>
    </row>
    <row r="47" spans="1:61" x14ac:dyDescent="0.25">
      <c r="A47"/>
      <c r="B47"/>
      <c r="C47"/>
      <c r="D47"/>
      <c r="E47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/>
      <c r="AA47"/>
      <c r="AB47"/>
      <c r="AC47"/>
      <c r="AD47"/>
      <c r="AE47"/>
      <c r="AF47"/>
      <c r="AG47"/>
      <c r="AH47"/>
      <c r="AI47"/>
      <c r="AJ47"/>
      <c r="AK47"/>
      <c r="AL47" s="6"/>
      <c r="AM47" s="6"/>
      <c r="AN47" s="6"/>
      <c r="AO47" s="6"/>
      <c r="AP47" s="6"/>
      <c r="AQ47" s="6"/>
      <c r="AR47" s="6"/>
      <c r="BE47"/>
      <c r="BF47"/>
      <c r="BG47"/>
      <c r="BH47"/>
      <c r="BI47"/>
    </row>
    <row r="48" spans="1:61" x14ac:dyDescent="0.25">
      <c r="A48"/>
      <c r="B48"/>
      <c r="C48"/>
      <c r="D48"/>
      <c r="E48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/>
      <c r="AA48"/>
      <c r="AB48"/>
      <c r="AC48"/>
      <c r="AD48"/>
      <c r="AE48"/>
      <c r="AF48"/>
      <c r="AG48"/>
      <c r="AH48"/>
      <c r="AI48"/>
      <c r="AJ48"/>
      <c r="AK48"/>
      <c r="AL48" s="6"/>
      <c r="AM48" s="6"/>
      <c r="AN48" s="6"/>
      <c r="AO48" s="6"/>
      <c r="AP48" s="6"/>
      <c r="AQ48" s="6"/>
      <c r="AR48" s="6"/>
      <c r="BE48"/>
      <c r="BF48"/>
      <c r="BG48"/>
      <c r="BH48"/>
      <c r="BI48"/>
    </row>
    <row r="49" spans="1:61" x14ac:dyDescent="0.25">
      <c r="A49"/>
      <c r="B49"/>
      <c r="C49"/>
      <c r="D49"/>
      <c r="E49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/>
      <c r="AA49"/>
      <c r="AB49"/>
      <c r="AC49"/>
      <c r="AD49"/>
      <c r="AE49"/>
      <c r="AF49"/>
      <c r="AG49"/>
      <c r="AH49"/>
      <c r="AI49"/>
      <c r="AJ49"/>
      <c r="AK49"/>
      <c r="AL49" s="6"/>
      <c r="AM49" s="6"/>
      <c r="AN49" s="6"/>
      <c r="AO49" s="6"/>
      <c r="AP49" s="6"/>
      <c r="AQ49" s="6"/>
      <c r="AR49" s="6"/>
      <c r="BE49"/>
      <c r="BF49"/>
      <c r="BG49"/>
      <c r="BH49"/>
      <c r="BI49"/>
    </row>
    <row r="50" spans="1:61" x14ac:dyDescent="0.25">
      <c r="A50"/>
      <c r="B50"/>
      <c r="C50"/>
      <c r="D50"/>
      <c r="E50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/>
      <c r="AA50"/>
      <c r="AB50"/>
      <c r="AC50"/>
      <c r="AD50"/>
      <c r="AE50"/>
      <c r="AF50"/>
      <c r="AG50"/>
      <c r="AH50"/>
      <c r="AI50"/>
      <c r="AJ50"/>
      <c r="AK50"/>
      <c r="AL50" s="6"/>
      <c r="AM50" s="6"/>
      <c r="AN50" s="6"/>
      <c r="AO50" s="6"/>
      <c r="AP50" s="6"/>
      <c r="AQ50" s="6"/>
      <c r="AR50" s="6"/>
      <c r="BE50"/>
      <c r="BF50"/>
      <c r="BG50"/>
      <c r="BH50"/>
      <c r="BI50"/>
    </row>
    <row r="51" spans="1:61" x14ac:dyDescent="0.25">
      <c r="A51"/>
      <c r="B51"/>
      <c r="C51"/>
      <c r="D51"/>
      <c r="E51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/>
      <c r="AA51"/>
      <c r="AB51"/>
      <c r="AC51"/>
      <c r="AD51"/>
      <c r="AE51"/>
      <c r="AF51"/>
      <c r="AG51"/>
      <c r="AH51"/>
      <c r="AI51"/>
      <c r="AJ51"/>
      <c r="AK51"/>
      <c r="AL51" s="6"/>
      <c r="AM51" s="6"/>
      <c r="AN51" s="6"/>
      <c r="AO51" s="6"/>
      <c r="AP51" s="6"/>
      <c r="AQ51" s="6"/>
      <c r="AR51" s="6"/>
      <c r="BE51"/>
      <c r="BF51"/>
      <c r="BG51"/>
      <c r="BH51"/>
      <c r="BI51"/>
    </row>
    <row r="52" spans="1:61" x14ac:dyDescent="0.25">
      <c r="A52"/>
      <c r="B52"/>
      <c r="C52"/>
      <c r="D52"/>
      <c r="E52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"/>
      <c r="AM52" s="6"/>
      <c r="AN52" s="6"/>
      <c r="AO52" s="6"/>
      <c r="AP52" s="6"/>
      <c r="AQ52" s="6"/>
      <c r="AR52" s="6"/>
      <c r="BE52"/>
      <c r="BF52"/>
      <c r="BG52"/>
      <c r="BH52"/>
      <c r="BI52"/>
    </row>
    <row r="53" spans="1:61" x14ac:dyDescent="0.25">
      <c r="A53"/>
      <c r="B53"/>
      <c r="C53"/>
      <c r="D53"/>
      <c r="E53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"/>
      <c r="AM53" s="6"/>
      <c r="AN53" s="6"/>
      <c r="AO53" s="6"/>
      <c r="AP53" s="6"/>
      <c r="AQ53" s="6"/>
      <c r="AR53" s="6"/>
      <c r="BE53"/>
      <c r="BF53"/>
      <c r="BG53"/>
      <c r="BH53"/>
      <c r="BI53"/>
    </row>
    <row r="54" spans="1:61" x14ac:dyDescent="0.25">
      <c r="A54"/>
      <c r="B54"/>
      <c r="C54"/>
      <c r="D54"/>
      <c r="E5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"/>
      <c r="AM54" s="6"/>
      <c r="AN54" s="6"/>
      <c r="AO54" s="6"/>
      <c r="AP54" s="6"/>
      <c r="AQ54" s="6"/>
      <c r="AR54" s="6"/>
      <c r="BE54"/>
      <c r="BF54"/>
      <c r="BG54"/>
      <c r="BH54"/>
      <c r="BI54"/>
    </row>
    <row r="55" spans="1:61" x14ac:dyDescent="0.25">
      <c r="A55"/>
      <c r="B55"/>
      <c r="C55"/>
      <c r="D55"/>
      <c r="E5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"/>
      <c r="AM55" s="6"/>
      <c r="AN55" s="6"/>
      <c r="AO55" s="6"/>
      <c r="AP55" s="6"/>
      <c r="AQ55" s="6"/>
      <c r="AR55" s="6"/>
      <c r="BE55"/>
      <c r="BF55"/>
      <c r="BG55"/>
      <c r="BH55"/>
      <c r="BI55"/>
    </row>
    <row r="56" spans="1:61" x14ac:dyDescent="0.25">
      <c r="A56"/>
      <c r="B56"/>
      <c r="C56"/>
      <c r="D56"/>
      <c r="E56"/>
      <c r="BE56"/>
      <c r="BF56"/>
      <c r="BG56"/>
      <c r="BH56"/>
      <c r="BI56"/>
    </row>
    <row r="57" spans="1:61" x14ac:dyDescent="0.25">
      <c r="A57"/>
      <c r="B57"/>
      <c r="C57"/>
      <c r="D57"/>
      <c r="E57"/>
      <c r="BE57"/>
      <c r="BF57"/>
      <c r="BG57"/>
      <c r="BH57"/>
      <c r="BI57"/>
    </row>
    <row r="58" spans="1:61" x14ac:dyDescent="0.25">
      <c r="A58"/>
      <c r="B58"/>
      <c r="C58"/>
      <c r="D58"/>
      <c r="E58"/>
      <c r="BE58"/>
      <c r="BF58"/>
      <c r="BG58"/>
      <c r="BH58"/>
      <c r="BI58"/>
    </row>
    <row r="59" spans="1:61" x14ac:dyDescent="0.25">
      <c r="A59"/>
      <c r="B59"/>
      <c r="C59"/>
      <c r="D59"/>
      <c r="E59"/>
      <c r="BE59"/>
      <c r="BF59"/>
      <c r="BG59"/>
      <c r="BH59"/>
      <c r="BI59"/>
    </row>
    <row r="60" spans="1:61" x14ac:dyDescent="0.25">
      <c r="A60"/>
      <c r="B60"/>
      <c r="C60"/>
      <c r="D60"/>
      <c r="E60"/>
      <c r="BE60"/>
      <c r="BF60"/>
      <c r="BG60"/>
      <c r="BH60"/>
      <c r="BI60"/>
    </row>
    <row r="61" spans="1:61" ht="16.5" x14ac:dyDescent="0.3">
      <c r="A61"/>
      <c r="B61"/>
      <c r="C61"/>
      <c r="D61"/>
      <c r="E6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BE61"/>
      <c r="BF61"/>
      <c r="BG61"/>
      <c r="BH61"/>
      <c r="BI61"/>
    </row>
    <row r="62" spans="1:61" ht="16.5" x14ac:dyDescent="0.3">
      <c r="A62"/>
      <c r="B62"/>
      <c r="C62"/>
      <c r="D62"/>
      <c r="E62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BE62"/>
      <c r="BF62"/>
      <c r="BG62"/>
      <c r="BH62"/>
      <c r="BI62"/>
    </row>
    <row r="63" spans="1:61" ht="16.5" x14ac:dyDescent="0.3">
      <c r="A63"/>
      <c r="B63"/>
      <c r="C63"/>
      <c r="D63"/>
      <c r="E63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BE63"/>
      <c r="BF63"/>
      <c r="BG63"/>
      <c r="BH63"/>
      <c r="BI63"/>
    </row>
    <row r="64" spans="1:61" ht="16.5" x14ac:dyDescent="0.3">
      <c r="A64"/>
      <c r="B64"/>
      <c r="C64"/>
      <c r="D64"/>
      <c r="E64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BE64"/>
      <c r="BF64"/>
      <c r="BG64"/>
      <c r="BH64"/>
      <c r="BI64"/>
    </row>
    <row r="65" spans="1:61" ht="16.5" x14ac:dyDescent="0.3">
      <c r="A65"/>
      <c r="B65"/>
      <c r="C65"/>
      <c r="D65"/>
      <c r="E65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BE65"/>
      <c r="BF65"/>
      <c r="BG65"/>
      <c r="BH65"/>
      <c r="BI65"/>
    </row>
    <row r="66" spans="1:61" ht="16.5" x14ac:dyDescent="0.3">
      <c r="A66"/>
      <c r="B66"/>
      <c r="C66"/>
      <c r="D66"/>
      <c r="E66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BE66"/>
      <c r="BF66"/>
      <c r="BG66"/>
      <c r="BH66"/>
      <c r="BI66"/>
    </row>
    <row r="67" spans="1:61" ht="16.5" x14ac:dyDescent="0.3">
      <c r="A67"/>
      <c r="B67"/>
      <c r="C67"/>
      <c r="D67"/>
      <c r="E67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BE67"/>
      <c r="BF67"/>
      <c r="BG67"/>
      <c r="BH67"/>
      <c r="BI67"/>
    </row>
    <row r="68" spans="1:61" ht="16.5" x14ac:dyDescent="0.3">
      <c r="A68"/>
      <c r="B68"/>
      <c r="C68"/>
      <c r="D68"/>
      <c r="E68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BE68"/>
      <c r="BF68"/>
      <c r="BG68"/>
      <c r="BH68"/>
      <c r="BI68"/>
    </row>
    <row r="69" spans="1:61" ht="16.5" x14ac:dyDescent="0.3">
      <c r="A69"/>
      <c r="B69"/>
      <c r="C69"/>
      <c r="D69"/>
      <c r="E69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BE69"/>
      <c r="BF69"/>
      <c r="BG69"/>
      <c r="BH69"/>
      <c r="BI69"/>
    </row>
    <row r="70" spans="1:61" ht="16.5" x14ac:dyDescent="0.3">
      <c r="A70"/>
      <c r="B70"/>
      <c r="C70"/>
      <c r="D70"/>
      <c r="E70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</row>
    <row r="71" spans="1:61" ht="16.5" x14ac:dyDescent="0.3">
      <c r="A71"/>
      <c r="B71"/>
      <c r="C71"/>
      <c r="D71"/>
      <c r="E7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</row>
    <row r="72" spans="1:61" ht="16.5" x14ac:dyDescent="0.3">
      <c r="A72"/>
      <c r="B72"/>
      <c r="C72"/>
      <c r="D72"/>
      <c r="E72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</row>
    <row r="73" spans="1:61" x14ac:dyDescent="0.25">
      <c r="A73"/>
      <c r="B73"/>
      <c r="C73"/>
      <c r="D73"/>
      <c r="E73"/>
    </row>
    <row r="74" spans="1:61" x14ac:dyDescent="0.25">
      <c r="A74"/>
      <c r="B74"/>
      <c r="C74"/>
      <c r="D74"/>
      <c r="E74"/>
    </row>
    <row r="75" spans="1:61" x14ac:dyDescent="0.25">
      <c r="A75"/>
      <c r="B75"/>
      <c r="C75"/>
      <c r="D75"/>
      <c r="E75"/>
    </row>
    <row r="76" spans="1:61" x14ac:dyDescent="0.25">
      <c r="A76"/>
      <c r="B76"/>
      <c r="C76"/>
      <c r="D76"/>
      <c r="E76"/>
    </row>
    <row r="77" spans="1:61" x14ac:dyDescent="0.25">
      <c r="A77"/>
      <c r="B77"/>
      <c r="C77"/>
      <c r="D77"/>
      <c r="E77"/>
    </row>
    <row r="78" spans="1:61" x14ac:dyDescent="0.25">
      <c r="A78"/>
      <c r="B78"/>
      <c r="C78"/>
      <c r="D78"/>
      <c r="E78"/>
    </row>
    <row r="79" spans="1:61" x14ac:dyDescent="0.25">
      <c r="A79"/>
      <c r="B79"/>
      <c r="C79"/>
      <c r="D79"/>
      <c r="E79"/>
    </row>
    <row r="80" spans="1:61" x14ac:dyDescent="0.25">
      <c r="A80"/>
      <c r="B80"/>
      <c r="C80"/>
      <c r="D80"/>
      <c r="E80"/>
    </row>
    <row r="81" spans="1:5" x14ac:dyDescent="0.25">
      <c r="A81"/>
      <c r="B81"/>
      <c r="C81"/>
      <c r="D81"/>
      <c r="E81"/>
    </row>
    <row r="82" spans="1:5" x14ac:dyDescent="0.25">
      <c r="A82"/>
      <c r="B82"/>
      <c r="C82"/>
      <c r="D82"/>
      <c r="E82"/>
    </row>
    <row r="83" spans="1:5" x14ac:dyDescent="0.25">
      <c r="A83"/>
      <c r="B83"/>
      <c r="C83"/>
      <c r="D83"/>
      <c r="E83"/>
    </row>
    <row r="84" spans="1:5" x14ac:dyDescent="0.25">
      <c r="A84"/>
      <c r="B84"/>
      <c r="C84"/>
      <c r="D84"/>
      <c r="E84"/>
    </row>
    <row r="85" spans="1:5" x14ac:dyDescent="0.25">
      <c r="A85"/>
      <c r="B85"/>
      <c r="C85"/>
      <c r="D85"/>
      <c r="E85"/>
    </row>
    <row r="86" spans="1:5" x14ac:dyDescent="0.25">
      <c r="A86"/>
      <c r="B86"/>
      <c r="C86"/>
      <c r="D86"/>
      <c r="E86"/>
    </row>
    <row r="87" spans="1:5" x14ac:dyDescent="0.25">
      <c r="A87"/>
      <c r="B87"/>
      <c r="C87"/>
      <c r="D87"/>
      <c r="E87"/>
    </row>
    <row r="88" spans="1:5" x14ac:dyDescent="0.25">
      <c r="A88"/>
      <c r="B88"/>
      <c r="C88"/>
      <c r="D88"/>
      <c r="E88"/>
    </row>
    <row r="89" spans="1:5" x14ac:dyDescent="0.25">
      <c r="A89"/>
      <c r="B89"/>
      <c r="C89"/>
      <c r="D89"/>
      <c r="E89"/>
    </row>
    <row r="90" spans="1:5" x14ac:dyDescent="0.25">
      <c r="A90"/>
      <c r="B90"/>
      <c r="C90"/>
      <c r="D90"/>
      <c r="E90"/>
    </row>
    <row r="91" spans="1:5" x14ac:dyDescent="0.25">
      <c r="A91"/>
      <c r="B91"/>
      <c r="C91"/>
      <c r="D91"/>
      <c r="E91"/>
    </row>
    <row r="92" spans="1:5" x14ac:dyDescent="0.25">
      <c r="A92"/>
      <c r="B92"/>
      <c r="C92"/>
      <c r="D92"/>
      <c r="E92"/>
    </row>
    <row r="93" spans="1:5" x14ac:dyDescent="0.25">
      <c r="A93"/>
      <c r="B93"/>
      <c r="C93"/>
      <c r="D93"/>
      <c r="E93"/>
    </row>
    <row r="94" spans="1:5" x14ac:dyDescent="0.25">
      <c r="A94"/>
      <c r="B94"/>
      <c r="C94"/>
      <c r="D94"/>
      <c r="E94"/>
    </row>
    <row r="95" spans="1:5" x14ac:dyDescent="0.25">
      <c r="A95"/>
      <c r="B95"/>
      <c r="C95"/>
      <c r="D95"/>
      <c r="E95"/>
    </row>
    <row r="96" spans="1:5" x14ac:dyDescent="0.25">
      <c r="A96"/>
      <c r="B96"/>
      <c r="C96"/>
      <c r="D96"/>
      <c r="E96"/>
    </row>
    <row r="97" spans="1:5" x14ac:dyDescent="0.25">
      <c r="A97"/>
      <c r="B97"/>
      <c r="C97"/>
      <c r="D97"/>
      <c r="E97"/>
    </row>
    <row r="98" spans="1:5" x14ac:dyDescent="0.25">
      <c r="A98"/>
      <c r="B98"/>
      <c r="C98"/>
      <c r="D98"/>
      <c r="E98"/>
    </row>
    <row r="99" spans="1:5" x14ac:dyDescent="0.25">
      <c r="A99"/>
      <c r="B99"/>
      <c r="C99"/>
      <c r="D99"/>
      <c r="E99"/>
    </row>
    <row r="100" spans="1:5" x14ac:dyDescent="0.25">
      <c r="A100"/>
      <c r="B100"/>
      <c r="C100"/>
      <c r="D100"/>
      <c r="E100"/>
    </row>
    <row r="101" spans="1:5" x14ac:dyDescent="0.25">
      <c r="A101"/>
      <c r="B101"/>
      <c r="C101"/>
      <c r="D101"/>
      <c r="E101"/>
    </row>
    <row r="102" spans="1:5" x14ac:dyDescent="0.25">
      <c r="A102"/>
      <c r="B102"/>
      <c r="C102"/>
      <c r="D102"/>
      <c r="E102"/>
    </row>
    <row r="103" spans="1:5" x14ac:dyDescent="0.25">
      <c r="A103"/>
      <c r="B103"/>
      <c r="C103"/>
      <c r="D103"/>
      <c r="E103"/>
    </row>
    <row r="104" spans="1:5" x14ac:dyDescent="0.25">
      <c r="A104"/>
      <c r="B104"/>
      <c r="C104"/>
      <c r="D104"/>
      <c r="E104"/>
    </row>
    <row r="105" spans="1:5" x14ac:dyDescent="0.25">
      <c r="A105"/>
      <c r="B105"/>
      <c r="C105"/>
      <c r="D105"/>
      <c r="E105"/>
    </row>
    <row r="106" spans="1:5" x14ac:dyDescent="0.25">
      <c r="A106"/>
      <c r="B106"/>
      <c r="C106"/>
      <c r="D106"/>
      <c r="E106"/>
    </row>
    <row r="107" spans="1:5" x14ac:dyDescent="0.25">
      <c r="A107"/>
      <c r="B107"/>
      <c r="C107"/>
      <c r="D107"/>
      <c r="E107"/>
    </row>
    <row r="108" spans="1:5" x14ac:dyDescent="0.25">
      <c r="A108"/>
      <c r="B108"/>
      <c r="C108"/>
      <c r="D108"/>
      <c r="E108"/>
    </row>
    <row r="109" spans="1:5" x14ac:dyDescent="0.25">
      <c r="A109"/>
      <c r="B109"/>
      <c r="C109"/>
      <c r="D109"/>
      <c r="E109"/>
    </row>
    <row r="110" spans="1:5" x14ac:dyDescent="0.25">
      <c r="A110"/>
      <c r="B110"/>
      <c r="C110"/>
      <c r="D110"/>
      <c r="E110"/>
    </row>
    <row r="111" spans="1:5" x14ac:dyDescent="0.25">
      <c r="A111"/>
      <c r="B111"/>
      <c r="C111"/>
      <c r="D111"/>
      <c r="E111"/>
    </row>
    <row r="112" spans="1:5" x14ac:dyDescent="0.25">
      <c r="A112"/>
      <c r="B112"/>
      <c r="C112"/>
      <c r="D112"/>
      <c r="E112"/>
    </row>
    <row r="113" spans="1:5" x14ac:dyDescent="0.25">
      <c r="A113"/>
      <c r="B113"/>
      <c r="C113"/>
      <c r="D113"/>
      <c r="E113"/>
    </row>
    <row r="114" spans="1:5" x14ac:dyDescent="0.25">
      <c r="A114"/>
      <c r="B114"/>
      <c r="C114"/>
      <c r="D114"/>
      <c r="E114"/>
    </row>
    <row r="115" spans="1:5" x14ac:dyDescent="0.25">
      <c r="A115"/>
      <c r="B115"/>
      <c r="C115"/>
      <c r="D115"/>
      <c r="E115"/>
    </row>
    <row r="116" spans="1:5" x14ac:dyDescent="0.25">
      <c r="A116"/>
      <c r="B116"/>
      <c r="C116"/>
      <c r="D116"/>
      <c r="E116"/>
    </row>
    <row r="117" spans="1:5" x14ac:dyDescent="0.25">
      <c r="A117"/>
      <c r="B117"/>
      <c r="C117"/>
      <c r="D117"/>
      <c r="E117"/>
    </row>
    <row r="118" spans="1:5" x14ac:dyDescent="0.25">
      <c r="A118"/>
      <c r="B118"/>
      <c r="C118"/>
      <c r="D118"/>
      <c r="E118"/>
    </row>
    <row r="119" spans="1:5" x14ac:dyDescent="0.25">
      <c r="A119"/>
      <c r="B119"/>
      <c r="C119"/>
      <c r="D119"/>
      <c r="E119"/>
    </row>
    <row r="120" spans="1:5" x14ac:dyDescent="0.25">
      <c r="A120"/>
      <c r="B120"/>
      <c r="C120"/>
      <c r="D120"/>
      <c r="E120"/>
    </row>
    <row r="121" spans="1:5" x14ac:dyDescent="0.25">
      <c r="A121"/>
      <c r="B121"/>
      <c r="C121"/>
      <c r="D121"/>
      <c r="E121"/>
    </row>
    <row r="122" spans="1:5" x14ac:dyDescent="0.25">
      <c r="A122"/>
      <c r="B122"/>
      <c r="C122"/>
      <c r="D122"/>
      <c r="E122"/>
    </row>
    <row r="123" spans="1:5" x14ac:dyDescent="0.25">
      <c r="A123"/>
      <c r="B123"/>
      <c r="C123"/>
      <c r="D123"/>
      <c r="E123"/>
    </row>
    <row r="124" spans="1:5" x14ac:dyDescent="0.25">
      <c r="A124"/>
      <c r="B124"/>
      <c r="C124"/>
      <c r="D124"/>
      <c r="E124"/>
    </row>
    <row r="125" spans="1:5" x14ac:dyDescent="0.25">
      <c r="A125"/>
      <c r="B125"/>
      <c r="C125"/>
      <c r="D125"/>
      <c r="E125"/>
    </row>
    <row r="126" spans="1:5" x14ac:dyDescent="0.25">
      <c r="A126"/>
      <c r="B126"/>
      <c r="C126"/>
      <c r="D126"/>
      <c r="E126"/>
    </row>
    <row r="127" spans="1:5" x14ac:dyDescent="0.25">
      <c r="A127"/>
      <c r="B127"/>
      <c r="C127"/>
      <c r="D127"/>
      <c r="E127"/>
    </row>
    <row r="128" spans="1:5" x14ac:dyDescent="0.25">
      <c r="A128"/>
      <c r="B128"/>
      <c r="C128"/>
      <c r="D128"/>
      <c r="E128"/>
    </row>
    <row r="129" spans="1:5" x14ac:dyDescent="0.25">
      <c r="A129"/>
      <c r="B129"/>
      <c r="C129"/>
      <c r="D129"/>
      <c r="E129"/>
    </row>
    <row r="130" spans="1:5" x14ac:dyDescent="0.25">
      <c r="A130"/>
      <c r="B130"/>
      <c r="C130"/>
      <c r="D130"/>
      <c r="E130"/>
    </row>
    <row r="131" spans="1:5" x14ac:dyDescent="0.25">
      <c r="A131"/>
      <c r="B131"/>
      <c r="C131"/>
      <c r="D131"/>
      <c r="E131"/>
    </row>
    <row r="132" spans="1:5" x14ac:dyDescent="0.25">
      <c r="A132"/>
      <c r="B132"/>
      <c r="C132"/>
      <c r="D132"/>
      <c r="E132"/>
    </row>
    <row r="133" spans="1:5" x14ac:dyDescent="0.25">
      <c r="A133"/>
      <c r="B133"/>
      <c r="C133"/>
      <c r="D133"/>
      <c r="E133"/>
    </row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x14ac:dyDescent="0.25">
      <c r="A138"/>
      <c r="B138"/>
      <c r="C138"/>
      <c r="D138"/>
      <c r="E138"/>
    </row>
    <row r="139" spans="1:5" x14ac:dyDescent="0.25">
      <c r="A139"/>
      <c r="B139"/>
      <c r="C139"/>
      <c r="D139"/>
      <c r="E139"/>
    </row>
    <row r="140" spans="1:5" x14ac:dyDescent="0.25">
      <c r="A140"/>
      <c r="B140"/>
      <c r="C140"/>
      <c r="D140"/>
      <c r="E140"/>
    </row>
    <row r="141" spans="1:5" x14ac:dyDescent="0.25">
      <c r="A141"/>
      <c r="B141"/>
      <c r="C141"/>
      <c r="D141"/>
      <c r="E141"/>
    </row>
    <row r="142" spans="1:5" x14ac:dyDescent="0.25">
      <c r="A142"/>
      <c r="B142"/>
      <c r="C142"/>
      <c r="D142"/>
      <c r="E142"/>
    </row>
    <row r="143" spans="1:5" x14ac:dyDescent="0.25">
      <c r="A143"/>
      <c r="B143"/>
      <c r="C143"/>
      <c r="D143"/>
      <c r="E143"/>
    </row>
    <row r="144" spans="1:5" x14ac:dyDescent="0.25">
      <c r="A144"/>
      <c r="B144"/>
      <c r="C144"/>
      <c r="D144"/>
      <c r="E144"/>
    </row>
    <row r="145" spans="1:5" x14ac:dyDescent="0.25">
      <c r="A145"/>
      <c r="B145"/>
      <c r="C145"/>
      <c r="D145"/>
      <c r="E145"/>
    </row>
    <row r="146" spans="1:5" x14ac:dyDescent="0.25">
      <c r="A146"/>
      <c r="B146"/>
      <c r="C146"/>
      <c r="D146"/>
      <c r="E146"/>
    </row>
    <row r="147" spans="1:5" x14ac:dyDescent="0.25">
      <c r="A147"/>
      <c r="B147"/>
      <c r="C147"/>
      <c r="D147"/>
      <c r="E147"/>
    </row>
    <row r="148" spans="1:5" x14ac:dyDescent="0.25">
      <c r="A148"/>
      <c r="B148"/>
      <c r="C148"/>
      <c r="D148"/>
      <c r="E148"/>
    </row>
    <row r="149" spans="1:5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/>
      <c r="B204"/>
      <c r="C204"/>
      <c r="D204"/>
      <c r="E204"/>
    </row>
    <row r="205" spans="1:5" x14ac:dyDescent="0.25">
      <c r="A205"/>
      <c r="B205"/>
      <c r="C205"/>
      <c r="D205"/>
      <c r="E205"/>
    </row>
    <row r="206" spans="1:5" x14ac:dyDescent="0.25">
      <c r="A206"/>
      <c r="B206"/>
      <c r="C206"/>
      <c r="D206"/>
      <c r="E206"/>
    </row>
    <row r="207" spans="1:5" x14ac:dyDescent="0.25">
      <c r="A207"/>
      <c r="B207"/>
      <c r="C207"/>
      <c r="D207"/>
      <c r="E207"/>
    </row>
    <row r="208" spans="1:5" x14ac:dyDescent="0.25">
      <c r="A208"/>
      <c r="B208"/>
      <c r="C208"/>
      <c r="D208"/>
      <c r="E208"/>
    </row>
    <row r="209" spans="1:5" x14ac:dyDescent="0.25">
      <c r="A209"/>
      <c r="B209"/>
      <c r="C209"/>
      <c r="D209"/>
      <c r="E209"/>
    </row>
    <row r="210" spans="1:5" x14ac:dyDescent="0.25">
      <c r="A210"/>
      <c r="B210"/>
      <c r="C210"/>
      <c r="D210"/>
      <c r="E210"/>
    </row>
    <row r="211" spans="1:5" x14ac:dyDescent="0.25">
      <c r="A211"/>
      <c r="B211"/>
      <c r="C211"/>
      <c r="D211"/>
      <c r="E211"/>
    </row>
    <row r="212" spans="1:5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x14ac:dyDescent="0.25">
      <c r="A218"/>
      <c r="B218"/>
      <c r="C218"/>
      <c r="D218"/>
      <c r="E218"/>
    </row>
    <row r="219" spans="1:5" x14ac:dyDescent="0.25">
      <c r="A219"/>
      <c r="B219"/>
      <c r="C219"/>
      <c r="D219"/>
      <c r="E219"/>
    </row>
    <row r="220" spans="1:5" x14ac:dyDescent="0.25">
      <c r="A220"/>
      <c r="B220"/>
      <c r="C220"/>
      <c r="D220"/>
      <c r="E220"/>
    </row>
    <row r="221" spans="1:5" x14ac:dyDescent="0.25">
      <c r="A221"/>
      <c r="B221"/>
      <c r="C221"/>
      <c r="D221"/>
      <c r="E221"/>
    </row>
    <row r="222" spans="1:5" x14ac:dyDescent="0.25">
      <c r="A222"/>
      <c r="B222"/>
      <c r="C222"/>
      <c r="D222"/>
      <c r="E222"/>
    </row>
    <row r="223" spans="1:5" x14ac:dyDescent="0.25">
      <c r="A223"/>
      <c r="B223"/>
      <c r="C223"/>
      <c r="D223"/>
      <c r="E223"/>
    </row>
    <row r="224" spans="1:5" x14ac:dyDescent="0.25">
      <c r="A224"/>
      <c r="B224"/>
      <c r="C224"/>
      <c r="D224"/>
      <c r="E224"/>
    </row>
    <row r="225" spans="1:5" x14ac:dyDescent="0.25">
      <c r="A225"/>
      <c r="B225"/>
      <c r="C225"/>
      <c r="D225"/>
      <c r="E225"/>
    </row>
    <row r="226" spans="1:5" x14ac:dyDescent="0.25">
      <c r="A226"/>
      <c r="B226"/>
      <c r="C226"/>
      <c r="D226"/>
      <c r="E226"/>
    </row>
    <row r="227" spans="1:5" x14ac:dyDescent="0.25">
      <c r="A227"/>
      <c r="B227"/>
      <c r="C227"/>
      <c r="D227"/>
      <c r="E227"/>
    </row>
    <row r="228" spans="1:5" x14ac:dyDescent="0.25">
      <c r="A228"/>
      <c r="B228"/>
      <c r="C228"/>
      <c r="D228"/>
      <c r="E228"/>
    </row>
    <row r="229" spans="1:5" x14ac:dyDescent="0.25">
      <c r="A229"/>
      <c r="B229"/>
      <c r="C229"/>
      <c r="D229"/>
      <c r="E229"/>
    </row>
    <row r="230" spans="1:5" x14ac:dyDescent="0.25">
      <c r="A230"/>
      <c r="B230"/>
      <c r="C230"/>
      <c r="D230"/>
      <c r="E230"/>
    </row>
    <row r="231" spans="1:5" x14ac:dyDescent="0.25">
      <c r="A231"/>
      <c r="B231"/>
      <c r="C231"/>
      <c r="D231"/>
      <c r="E231"/>
    </row>
    <row r="232" spans="1:5" x14ac:dyDescent="0.25">
      <c r="A232"/>
      <c r="B232"/>
      <c r="C232"/>
      <c r="D232"/>
      <c r="E232"/>
    </row>
    <row r="233" spans="1:5" x14ac:dyDescent="0.25">
      <c r="A233"/>
      <c r="B233"/>
      <c r="C233"/>
      <c r="D233"/>
      <c r="E233"/>
    </row>
    <row r="234" spans="1:5" x14ac:dyDescent="0.25">
      <c r="A234"/>
      <c r="B234"/>
      <c r="C234"/>
      <c r="D234"/>
      <c r="E234"/>
    </row>
    <row r="235" spans="1:5" x14ac:dyDescent="0.25">
      <c r="A235"/>
      <c r="B235"/>
      <c r="C235"/>
      <c r="D235"/>
      <c r="E235"/>
    </row>
    <row r="236" spans="1:5" x14ac:dyDescent="0.25">
      <c r="A236"/>
      <c r="B236"/>
      <c r="C236"/>
      <c r="D236"/>
      <c r="E236"/>
    </row>
    <row r="237" spans="1:5" x14ac:dyDescent="0.25">
      <c r="A237"/>
      <c r="B237"/>
      <c r="C237"/>
      <c r="D237"/>
      <c r="E237"/>
    </row>
    <row r="238" spans="1:5" x14ac:dyDescent="0.25">
      <c r="A238"/>
      <c r="B238"/>
      <c r="C238"/>
      <c r="D238"/>
      <c r="E238"/>
    </row>
    <row r="239" spans="1:5" x14ac:dyDescent="0.25">
      <c r="A239"/>
      <c r="B239"/>
      <c r="C239"/>
      <c r="D239"/>
      <c r="E239"/>
    </row>
    <row r="240" spans="1:5" x14ac:dyDescent="0.25">
      <c r="A240"/>
      <c r="B240"/>
      <c r="C240"/>
      <c r="D240"/>
      <c r="E240"/>
    </row>
    <row r="241" spans="1:5" x14ac:dyDescent="0.25">
      <c r="A241"/>
      <c r="B241"/>
      <c r="C241"/>
      <c r="D241"/>
      <c r="E241"/>
    </row>
    <row r="242" spans="1:5" x14ac:dyDescent="0.25">
      <c r="A242"/>
      <c r="B242"/>
      <c r="C242"/>
      <c r="D242"/>
      <c r="E242"/>
    </row>
    <row r="243" spans="1:5" x14ac:dyDescent="0.25">
      <c r="A243"/>
      <c r="B243"/>
      <c r="C243"/>
      <c r="D243"/>
      <c r="E243"/>
    </row>
    <row r="244" spans="1:5" x14ac:dyDescent="0.25">
      <c r="A244"/>
      <c r="B244"/>
      <c r="C244"/>
      <c r="D244"/>
      <c r="E244"/>
    </row>
    <row r="245" spans="1:5" x14ac:dyDescent="0.25">
      <c r="A245"/>
      <c r="B245"/>
      <c r="C245"/>
      <c r="D245"/>
      <c r="E245"/>
    </row>
    <row r="246" spans="1:5" x14ac:dyDescent="0.25">
      <c r="A246"/>
      <c r="B246"/>
      <c r="C246"/>
      <c r="D246"/>
      <c r="E246"/>
    </row>
    <row r="247" spans="1:5" x14ac:dyDescent="0.25">
      <c r="A247"/>
      <c r="B247"/>
      <c r="C247"/>
      <c r="D247"/>
      <c r="E247"/>
    </row>
    <row r="248" spans="1:5" x14ac:dyDescent="0.25">
      <c r="A248"/>
      <c r="B248"/>
      <c r="C248"/>
      <c r="D248"/>
      <c r="E248"/>
    </row>
    <row r="249" spans="1:5" x14ac:dyDescent="0.25">
      <c r="A249"/>
      <c r="B249"/>
      <c r="C249"/>
      <c r="D249"/>
      <c r="E249"/>
    </row>
    <row r="250" spans="1:5" x14ac:dyDescent="0.25">
      <c r="A250"/>
      <c r="B250"/>
      <c r="C250"/>
      <c r="D250"/>
      <c r="E250"/>
    </row>
    <row r="251" spans="1:5" x14ac:dyDescent="0.25">
      <c r="A251"/>
      <c r="B251"/>
      <c r="C251"/>
      <c r="D251"/>
      <c r="E251"/>
    </row>
    <row r="252" spans="1:5" x14ac:dyDescent="0.25">
      <c r="A252"/>
      <c r="B252"/>
      <c r="C252"/>
      <c r="D252"/>
      <c r="E252"/>
    </row>
    <row r="253" spans="1:5" x14ac:dyDescent="0.25">
      <c r="A253"/>
      <c r="B253"/>
      <c r="C253"/>
      <c r="D253"/>
      <c r="E253"/>
    </row>
    <row r="254" spans="1:5" x14ac:dyDescent="0.25">
      <c r="A254"/>
      <c r="B254"/>
      <c r="C254"/>
      <c r="D254"/>
      <c r="E254"/>
    </row>
    <row r="255" spans="1:5" x14ac:dyDescent="0.25">
      <c r="A255"/>
      <c r="B255"/>
      <c r="C255"/>
      <c r="D255"/>
      <c r="E255"/>
    </row>
    <row r="256" spans="1:5" x14ac:dyDescent="0.25">
      <c r="A256"/>
      <c r="B256"/>
      <c r="C256"/>
      <c r="D256"/>
      <c r="E256"/>
    </row>
    <row r="257" spans="1:5" x14ac:dyDescent="0.25">
      <c r="A257"/>
      <c r="B257"/>
      <c r="C257"/>
      <c r="D257"/>
      <c r="E257"/>
    </row>
    <row r="258" spans="1:5" x14ac:dyDescent="0.25">
      <c r="A258"/>
      <c r="B258"/>
      <c r="C258"/>
      <c r="D258"/>
      <c r="E258"/>
    </row>
    <row r="259" spans="1:5" x14ac:dyDescent="0.25">
      <c r="A259"/>
      <c r="B259"/>
      <c r="C259"/>
      <c r="D259"/>
      <c r="E259"/>
    </row>
    <row r="260" spans="1:5" x14ac:dyDescent="0.25">
      <c r="A260"/>
      <c r="B260"/>
      <c r="C260"/>
      <c r="D260"/>
      <c r="E260"/>
    </row>
    <row r="261" spans="1:5" x14ac:dyDescent="0.25">
      <c r="A261"/>
      <c r="B261"/>
      <c r="C261"/>
      <c r="D261"/>
      <c r="E261"/>
    </row>
    <row r="262" spans="1:5" x14ac:dyDescent="0.25">
      <c r="A262"/>
      <c r="B262"/>
      <c r="C262"/>
      <c r="D262"/>
      <c r="E262"/>
    </row>
    <row r="263" spans="1:5" x14ac:dyDescent="0.25">
      <c r="A263"/>
      <c r="B263"/>
      <c r="C263"/>
      <c r="D263"/>
      <c r="E263"/>
    </row>
    <row r="264" spans="1:5" x14ac:dyDescent="0.25">
      <c r="A264"/>
      <c r="B264"/>
      <c r="C264"/>
      <c r="D264"/>
      <c r="E264"/>
    </row>
    <row r="265" spans="1:5" x14ac:dyDescent="0.25">
      <c r="A265"/>
      <c r="B265"/>
      <c r="C265"/>
      <c r="D265"/>
      <c r="E265"/>
    </row>
    <row r="266" spans="1:5" x14ac:dyDescent="0.25">
      <c r="A266"/>
      <c r="B266"/>
      <c r="C266"/>
      <c r="D266"/>
      <c r="E266"/>
    </row>
    <row r="267" spans="1:5" x14ac:dyDescent="0.25">
      <c r="A267"/>
      <c r="B267"/>
      <c r="C267"/>
      <c r="D267"/>
      <c r="E267"/>
    </row>
    <row r="268" spans="1:5" x14ac:dyDescent="0.25">
      <c r="A268"/>
      <c r="B268"/>
      <c r="C268"/>
      <c r="D268"/>
      <c r="E268"/>
    </row>
    <row r="269" spans="1:5" x14ac:dyDescent="0.25">
      <c r="A269"/>
      <c r="B269"/>
      <c r="C269"/>
      <c r="D269"/>
      <c r="E269"/>
    </row>
    <row r="270" spans="1:5" x14ac:dyDescent="0.25">
      <c r="A270"/>
      <c r="B270"/>
      <c r="C270"/>
      <c r="D270"/>
      <c r="E270"/>
    </row>
    <row r="271" spans="1:5" x14ac:dyDescent="0.25">
      <c r="A271"/>
      <c r="B271"/>
      <c r="C271"/>
      <c r="D271"/>
      <c r="E271"/>
    </row>
    <row r="272" spans="1:5" x14ac:dyDescent="0.25">
      <c r="A272"/>
      <c r="B272"/>
      <c r="C272"/>
      <c r="D272"/>
      <c r="E272"/>
    </row>
    <row r="273" spans="1:5" x14ac:dyDescent="0.25">
      <c r="A273"/>
      <c r="B273"/>
      <c r="C273"/>
      <c r="D273"/>
      <c r="E273"/>
    </row>
    <row r="274" spans="1:5" x14ac:dyDescent="0.25">
      <c r="A274"/>
      <c r="B274"/>
      <c r="C274"/>
      <c r="D274"/>
      <c r="E274"/>
    </row>
    <row r="275" spans="1:5" x14ac:dyDescent="0.25">
      <c r="A275"/>
      <c r="B275"/>
      <c r="C275"/>
      <c r="D275"/>
      <c r="E275"/>
    </row>
    <row r="276" spans="1:5" x14ac:dyDescent="0.25">
      <c r="A276"/>
      <c r="B276"/>
      <c r="C276"/>
      <c r="D276"/>
      <c r="E276"/>
    </row>
    <row r="277" spans="1:5" x14ac:dyDescent="0.25">
      <c r="A277"/>
      <c r="B277"/>
      <c r="C277"/>
      <c r="D277"/>
      <c r="E277"/>
    </row>
    <row r="278" spans="1:5" x14ac:dyDescent="0.25">
      <c r="A278"/>
      <c r="B278"/>
      <c r="C278"/>
      <c r="D278"/>
      <c r="E278"/>
    </row>
    <row r="279" spans="1:5" x14ac:dyDescent="0.25">
      <c r="A279"/>
      <c r="B279"/>
      <c r="C279"/>
      <c r="D279"/>
      <c r="E279"/>
    </row>
    <row r="280" spans="1:5" x14ac:dyDescent="0.25">
      <c r="A280"/>
      <c r="B280"/>
      <c r="C280"/>
      <c r="D280"/>
      <c r="E280"/>
    </row>
    <row r="281" spans="1:5" x14ac:dyDescent="0.25">
      <c r="A281"/>
      <c r="B281"/>
      <c r="C281"/>
      <c r="D281"/>
      <c r="E281"/>
    </row>
    <row r="282" spans="1:5" x14ac:dyDescent="0.25">
      <c r="A282"/>
      <c r="B282"/>
      <c r="C282"/>
      <c r="D282"/>
      <c r="E282"/>
    </row>
  </sheetData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6B2F0-3C85-4409-A758-C595FC63A728}">
  <dimension ref="A1:BP298"/>
  <sheetViews>
    <sheetView zoomScale="75" zoomScaleNormal="75" workbookViewId="0">
      <selection activeCell="L11" sqref="L11"/>
    </sheetView>
  </sheetViews>
  <sheetFormatPr defaultColWidth="9.140625" defaultRowHeight="15" x14ac:dyDescent="0.25"/>
  <cols>
    <col min="1" max="1" width="4.5703125" style="57" bestFit="1" customWidth="1"/>
    <col min="2" max="2" width="17" style="57" customWidth="1"/>
    <col min="3" max="3" width="14.140625" style="57" bestFit="1" customWidth="1"/>
    <col min="4" max="4" width="11.7109375" style="57" bestFit="1" customWidth="1"/>
    <col min="5" max="5" width="9" style="57" bestFit="1" customWidth="1"/>
    <col min="6" max="6" width="5.140625" style="57" bestFit="1" customWidth="1"/>
    <col min="7" max="8" width="11.85546875" style="57" bestFit="1" customWidth="1"/>
    <col min="9" max="9" width="12.85546875" style="57" bestFit="1" customWidth="1"/>
    <col min="10" max="11" width="9.7109375" style="57" customWidth="1"/>
    <col min="12" max="12" width="11" style="57" bestFit="1" customWidth="1"/>
    <col min="13" max="13" width="20.5703125" style="57" bestFit="1" customWidth="1"/>
    <col min="14" max="16" width="9.7109375" style="57" customWidth="1"/>
    <col min="17" max="17" width="13.28515625" style="57" bestFit="1" customWidth="1"/>
    <col min="18" max="18" width="12.140625" style="57" bestFit="1" customWidth="1"/>
    <col min="19" max="19" width="13.85546875" style="57" bestFit="1" customWidth="1"/>
    <col min="20" max="20" width="12.42578125" style="57" bestFit="1" customWidth="1"/>
    <col min="21" max="21" width="12.42578125" style="57" customWidth="1"/>
    <col min="22" max="22" width="12.140625" style="57" bestFit="1" customWidth="1"/>
    <col min="23" max="26" width="9.28515625" style="57" bestFit="1" customWidth="1"/>
    <col min="27" max="28" width="9.140625" style="57"/>
    <col min="29" max="29" width="9.28515625" style="57" bestFit="1" customWidth="1"/>
    <col min="30" max="40" width="9.140625" style="57"/>
    <col min="41" max="41" width="9.140625" style="57" customWidth="1"/>
    <col min="42" max="44" width="9.140625" style="57"/>
    <col min="45" max="45" width="9.28515625" bestFit="1" customWidth="1"/>
    <col min="46" max="46" width="14" customWidth="1"/>
    <col min="47" max="47" width="12.28515625" customWidth="1"/>
    <col min="48" max="48" width="10.140625" bestFit="1" customWidth="1"/>
    <col min="49" max="49" width="10.140625" customWidth="1"/>
    <col min="50" max="52" width="9.28515625" customWidth="1"/>
    <col min="53" max="53" width="9.28515625" bestFit="1" customWidth="1"/>
    <col min="54" max="54" width="12.28515625" bestFit="1" customWidth="1"/>
    <col min="64" max="16384" width="9.140625" style="57"/>
  </cols>
  <sheetData>
    <row r="1" spans="1:68" customFormat="1" ht="17.25" thickBot="1" x14ac:dyDescent="0.35">
      <c r="A1" s="132" t="s">
        <v>4</v>
      </c>
      <c r="B1" s="133" t="s">
        <v>116</v>
      </c>
      <c r="C1" s="134" t="s">
        <v>143</v>
      </c>
      <c r="D1" s="134" t="s">
        <v>144</v>
      </c>
      <c r="E1" s="134" t="s">
        <v>145</v>
      </c>
      <c r="F1" s="134" t="s">
        <v>20</v>
      </c>
      <c r="G1" s="134" t="s">
        <v>146</v>
      </c>
      <c r="H1" s="134" t="s">
        <v>147</v>
      </c>
      <c r="I1" s="134" t="s">
        <v>152</v>
      </c>
      <c r="J1" s="109" t="s">
        <v>67</v>
      </c>
      <c r="K1" s="109" t="s">
        <v>19</v>
      </c>
      <c r="L1" s="109" t="s">
        <v>118</v>
      </c>
      <c r="M1" s="1" t="s">
        <v>153</v>
      </c>
      <c r="N1" s="1" t="s">
        <v>3</v>
      </c>
      <c r="O1" s="1" t="s">
        <v>2</v>
      </c>
      <c r="P1" s="1" t="s">
        <v>151</v>
      </c>
      <c r="Q1" s="1" t="s">
        <v>111</v>
      </c>
      <c r="R1" s="57" t="s">
        <v>117</v>
      </c>
      <c r="S1" s="57" t="s">
        <v>1</v>
      </c>
      <c r="T1" s="57" t="s">
        <v>114</v>
      </c>
      <c r="U1" s="57" t="s">
        <v>113</v>
      </c>
      <c r="V1" s="65" t="s">
        <v>24</v>
      </c>
    </row>
    <row r="2" spans="1:68" customFormat="1" ht="16.5" x14ac:dyDescent="0.3">
      <c r="A2" s="65">
        <v>0</v>
      </c>
      <c r="B2" s="65"/>
      <c r="C2" s="148">
        <f>INTERCEPT($C$5:$C$12,$A$5:$A$12)</f>
        <v>18438.988095238095</v>
      </c>
      <c r="D2" s="148">
        <f>SLOPE($C$5:$C$12,$A$5:$A$12)</f>
        <v>523.80952380952385</v>
      </c>
      <c r="E2" s="65"/>
      <c r="F2" s="65"/>
      <c r="G2" s="65"/>
      <c r="H2" s="65"/>
      <c r="I2" s="65"/>
      <c r="J2" s="157">
        <f>C2</f>
        <v>18438.988095238095</v>
      </c>
      <c r="K2" s="157">
        <f>D2</f>
        <v>523.80952380952385</v>
      </c>
      <c r="L2" s="134"/>
      <c r="M2" s="89"/>
      <c r="N2" s="89"/>
      <c r="O2" s="89"/>
      <c r="P2" s="89"/>
      <c r="Q2" s="89"/>
      <c r="R2" s="57"/>
      <c r="AP2" s="57"/>
      <c r="AQ2" s="57"/>
      <c r="AR2" s="57"/>
      <c r="BL2" s="57"/>
      <c r="BM2" s="57"/>
      <c r="BN2" s="57"/>
      <c r="BO2" s="57"/>
      <c r="BP2" s="57"/>
    </row>
    <row r="3" spans="1:68" customFormat="1" ht="16.5" x14ac:dyDescent="0.3">
      <c r="A3" s="74">
        <v>1</v>
      </c>
      <c r="B3" s="143">
        <v>8000</v>
      </c>
      <c r="C3" s="146"/>
      <c r="D3" s="149">
        <f t="shared" ref="D3:D14" si="0">$C$2+$D$2*A3</f>
        <v>18962.797619047618</v>
      </c>
      <c r="E3" s="150">
        <f>B3/D3</f>
        <v>0.42187867849015148</v>
      </c>
      <c r="F3" s="151">
        <f t="shared" ref="F3:F14" si="1">IF(MOD(A3,$C$37)&gt;0,MOD(A3,$C$37),$C$37)</f>
        <v>1</v>
      </c>
      <c r="G3" s="152">
        <f>AVERAGEIF($F$3:$F$30,F3,$E$3:$E$30)</f>
        <v>0.47168067193938779</v>
      </c>
      <c r="H3" s="152">
        <f>G3/AVERAGE($G$3:$G$6)</f>
        <v>0.47283758187169111</v>
      </c>
      <c r="I3" s="144">
        <f>D3*VLOOKUP(F3,$F$3:$H$6,3,0)</f>
        <v>8966.3233717127368</v>
      </c>
      <c r="J3" s="136">
        <f>(1-$C$38)*SUM(J2:K2)+$C$38*B3/L3</f>
        <v>18860.614183470476</v>
      </c>
      <c r="K3" s="136">
        <f>(1-$C$39)*K2+$C$39*(J3-J2)</f>
        <v>513.59118025180953</v>
      </c>
      <c r="L3" s="137">
        <f>H3</f>
        <v>0.47283758187169111</v>
      </c>
      <c r="M3" s="158">
        <f>(J2+K2)*L3</f>
        <v>8966.3233717127368</v>
      </c>
      <c r="N3" s="119">
        <f>B3-M3</f>
        <v>-966.32337171273684</v>
      </c>
      <c r="O3" s="119">
        <f>ABS(N3)</f>
        <v>966.32337171273684</v>
      </c>
      <c r="P3" s="119">
        <f>O3/B3</f>
        <v>0.12079042146409211</v>
      </c>
      <c r="Q3" s="119">
        <f>N3^2</f>
        <v>933780.85871827218</v>
      </c>
      <c r="R3" s="154">
        <f>SUM($N3:N3)</f>
        <v>-966.32337171273684</v>
      </c>
      <c r="S3" s="118">
        <f>AVERAGE(O$3:O3)</f>
        <v>966.32337171273684</v>
      </c>
      <c r="T3" s="118">
        <f>AVERAGE(P$3:P3)</f>
        <v>0.12079042146409211</v>
      </c>
      <c r="U3" s="118">
        <f>AVERAGE(Q$3:Q3)</f>
        <v>933780.85871827218</v>
      </c>
      <c r="V3" s="118">
        <f>R3/S3</f>
        <v>-1</v>
      </c>
      <c r="AP3" s="57"/>
      <c r="AQ3" s="57"/>
      <c r="AR3" s="57"/>
      <c r="BL3" s="57"/>
      <c r="BM3" s="57"/>
      <c r="BN3" s="57"/>
      <c r="BO3" s="57"/>
      <c r="BP3" s="57"/>
    </row>
    <row r="4" spans="1:68" customFormat="1" ht="16.5" x14ac:dyDescent="0.3">
      <c r="A4" s="74">
        <v>2</v>
      </c>
      <c r="B4" s="143">
        <v>13000</v>
      </c>
      <c r="C4" s="146"/>
      <c r="D4" s="149">
        <f t="shared" si="0"/>
        <v>19486.607142857145</v>
      </c>
      <c r="E4" s="150">
        <f t="shared" ref="E4:E14" si="2">B4/D4</f>
        <v>0.66712485681557843</v>
      </c>
      <c r="F4" s="151">
        <f t="shared" si="1"/>
        <v>2</v>
      </c>
      <c r="G4" s="152">
        <f t="shared" ref="G4:G6" si="3">AVERAGEIF($F$3:$F$30,F4,$E$3:$E$30)</f>
        <v>0.68340443601506251</v>
      </c>
      <c r="H4" s="152">
        <f>G4/AVERAGE($G$3:$G$6)</f>
        <v>0.68508064923905398</v>
      </c>
      <c r="I4" s="144">
        <f>D4*VLOOKUP(F4,$F$3:$H$6,3,0)</f>
        <v>13349.89747289496</v>
      </c>
      <c r="J4" s="136">
        <f>(1-$C$38)*(J3+K3)+$C$38*(B4/L4)</f>
        <v>19354.288497775717</v>
      </c>
      <c r="K4" s="136">
        <f>(1-$C$39)*K3+$C$39*(J4-J3)</f>
        <v>511.59949365715272</v>
      </c>
      <c r="L4" s="137">
        <f t="shared" ref="L4:L6" si="4">H4</f>
        <v>0.68508064923905398</v>
      </c>
      <c r="M4" s="158">
        <f t="shared" ref="M4:M13" si="5">(J4+K4)*L4</f>
        <v>13609.735442881156</v>
      </c>
      <c r="N4" s="119">
        <f t="shared" ref="N4:N14" si="6">B4-M4</f>
        <v>-609.7354428811559</v>
      </c>
      <c r="O4" s="119">
        <f t="shared" ref="O4:O14" si="7">ABS(N4)</f>
        <v>609.7354428811559</v>
      </c>
      <c r="P4" s="119">
        <f t="shared" ref="P4:P14" si="8">O4/B4</f>
        <v>4.6902726375473533E-2</v>
      </c>
      <c r="Q4" s="119">
        <f t="shared" ref="Q4:Q14" si="9">N4^2</f>
        <v>371777.31030547933</v>
      </c>
      <c r="R4" s="154">
        <f>SUM($N4:N4)</f>
        <v>-609.7354428811559</v>
      </c>
      <c r="S4" s="118">
        <f>AVERAGE(O$3:O4)</f>
        <v>788.02940729694637</v>
      </c>
      <c r="T4" s="118">
        <f>AVERAGE(P$3:P4)</f>
        <v>8.3846573919782813E-2</v>
      </c>
      <c r="U4" s="118">
        <f>AVERAGE(Q$3:Q4)</f>
        <v>652779.08451187576</v>
      </c>
      <c r="V4" s="118">
        <f t="shared" ref="V4:V14" si="10">R4/S4</f>
        <v>-0.77374706734947329</v>
      </c>
      <c r="AP4" s="57"/>
      <c r="AQ4" s="57"/>
      <c r="AR4" s="57"/>
      <c r="BL4" s="57"/>
      <c r="BM4" s="57"/>
      <c r="BN4" s="57"/>
      <c r="BO4" s="57"/>
      <c r="BP4" s="57"/>
    </row>
    <row r="5" spans="1:68" customFormat="1" ht="16.5" x14ac:dyDescent="0.3">
      <c r="A5" s="74">
        <v>3</v>
      </c>
      <c r="B5" s="143">
        <v>23000</v>
      </c>
      <c r="C5" s="147">
        <f>AVERAGE(AVERAGE(B3:B6),AVERAGE(B4:B7))</f>
        <v>19750</v>
      </c>
      <c r="D5" s="149">
        <f t="shared" si="0"/>
        <v>20010.416666666668</v>
      </c>
      <c r="E5" s="150">
        <f t="shared" si="2"/>
        <v>1.1494013534617387</v>
      </c>
      <c r="F5" s="151">
        <f t="shared" si="1"/>
        <v>3</v>
      </c>
      <c r="G5" s="152">
        <f t="shared" si="3"/>
        <v>1.1707081255011917</v>
      </c>
      <c r="H5" s="152">
        <f>G5/AVERAGE($G$3:$G$6)</f>
        <v>1.173579567853603</v>
      </c>
      <c r="I5" s="144">
        <f>D5*VLOOKUP(F5,$F$3:$H$6,3,0)</f>
        <v>23483.816144237204</v>
      </c>
      <c r="J5" s="136">
        <f>(1-$C$38)*(J4+K4)+$C$38*(B5/L5)</f>
        <v>19852.501585746351</v>
      </c>
      <c r="K5" s="136">
        <f>(1-$C$39)*K4+$C$39*(J5-J4)</f>
        <v>510.26085308850094</v>
      </c>
      <c r="L5" s="137">
        <f t="shared" si="4"/>
        <v>1.173579567853603</v>
      </c>
      <c r="M5" s="158">
        <f t="shared" si="5"/>
        <v>23897.321943273386</v>
      </c>
      <c r="N5" s="119">
        <f t="shared" si="6"/>
        <v>-897.32194327338584</v>
      </c>
      <c r="O5" s="119">
        <f t="shared" si="7"/>
        <v>897.32194327338584</v>
      </c>
      <c r="P5" s="119">
        <f t="shared" si="8"/>
        <v>3.9013997533625472E-2</v>
      </c>
      <c r="Q5" s="119">
        <f t="shared" si="9"/>
        <v>805186.66987992544</v>
      </c>
      <c r="R5" s="154">
        <f>SUM($N5:N5)</f>
        <v>-897.32194327338584</v>
      </c>
      <c r="S5" s="118">
        <f>AVERAGE(O$3:O5)</f>
        <v>824.4602526224262</v>
      </c>
      <c r="T5" s="118">
        <f>AVERAGE(P$3:P5)</f>
        <v>6.8902381791063699E-2</v>
      </c>
      <c r="U5" s="118">
        <f>AVERAGE(Q$3:Q5)</f>
        <v>703581.6129678922</v>
      </c>
      <c r="V5" s="118">
        <f t="shared" si="10"/>
        <v>-1.0883750191949251</v>
      </c>
      <c r="Z5">
        <f>INTERCEPT($B$3:$B$30,$A$3:$A$30)</f>
        <v>12015.151515151514</v>
      </c>
      <c r="AA5">
        <f>SLOPE($B$3:$B$30,$A$3:$A$30)</f>
        <v>1548.951048951049</v>
      </c>
      <c r="AP5" s="57"/>
      <c r="AQ5" s="57"/>
      <c r="AR5" s="57"/>
      <c r="BL5" s="57"/>
      <c r="BM5" s="57"/>
      <c r="BN5" s="57"/>
      <c r="BO5" s="57"/>
      <c r="BP5" s="57"/>
    </row>
    <row r="6" spans="1:68" customFormat="1" ht="16.5" x14ac:dyDescent="0.3">
      <c r="A6" s="74">
        <v>4</v>
      </c>
      <c r="B6" s="143">
        <v>34000</v>
      </c>
      <c r="C6" s="147">
        <f t="shared" ref="C6:C12" si="11">AVERAGE(AVERAGE(B4:B7),AVERAGE(B5:B8))</f>
        <v>20625</v>
      </c>
      <c r="D6" s="149">
        <f t="shared" si="0"/>
        <v>20534.226190476191</v>
      </c>
      <c r="E6" s="150">
        <f t="shared" si="2"/>
        <v>1.6557721574027102</v>
      </c>
      <c r="F6" s="151">
        <f t="shared" si="1"/>
        <v>4</v>
      </c>
      <c r="G6" s="152">
        <f t="shared" si="3"/>
        <v>1.6644198124048513</v>
      </c>
      <c r="H6" s="152">
        <f>G6/AVERAGE($G$3:$G$6)</f>
        <v>1.6685022010356516</v>
      </c>
      <c r="I6" s="144">
        <f t="shared" ref="I6:I14" si="12">D6*VLOOKUP(F6,$F$3:$H$6,3,0)</f>
        <v>34261.401595373449</v>
      </c>
      <c r="J6" s="136">
        <f>(1-$C$38)*(J5+K5)+$C$38*(B6/L6)</f>
        <v>20363.502205663528</v>
      </c>
      <c r="K6" s="136">
        <f>(1-$C$39)*K5+$C$39*(J6-J5)</f>
        <v>510.3348297713685</v>
      </c>
      <c r="L6" s="137">
        <f t="shared" si="4"/>
        <v>1.6685022010356516</v>
      </c>
      <c r="M6" s="158">
        <f t="shared" si="5"/>
        <v>34828.043037682626</v>
      </c>
      <c r="N6" s="119">
        <f t="shared" si="6"/>
        <v>-828.04303768262616</v>
      </c>
      <c r="O6" s="119">
        <f t="shared" si="7"/>
        <v>828.04303768262616</v>
      </c>
      <c r="P6" s="119">
        <f t="shared" si="8"/>
        <v>2.4354206990665477E-2</v>
      </c>
      <c r="Q6" s="119">
        <f t="shared" si="9"/>
        <v>685655.27225467109</v>
      </c>
      <c r="R6" s="154">
        <f>SUM($N6:N6)</f>
        <v>-828.04303768262616</v>
      </c>
      <c r="S6" s="118">
        <f>AVERAGE(O$3:O6)</f>
        <v>825.35594888747619</v>
      </c>
      <c r="T6" s="118">
        <f>AVERAGE(P$3:P6)</f>
        <v>5.7765338090964145E-2</v>
      </c>
      <c r="U6" s="118">
        <f>AVERAGE(Q$3:Q6)</f>
        <v>699100.02778958692</v>
      </c>
      <c r="V6" s="118">
        <f t="shared" si="10"/>
        <v>-1.0032556726570785</v>
      </c>
      <c r="Z6">
        <f>Z5+4*AA5</f>
        <v>18210.95571095571</v>
      </c>
      <c r="AP6" s="57"/>
      <c r="AQ6" s="57"/>
      <c r="AR6" s="57"/>
      <c r="BL6" s="57"/>
      <c r="BM6" s="57"/>
      <c r="BN6" s="57"/>
      <c r="BO6" s="57"/>
      <c r="BP6" s="57"/>
    </row>
    <row r="7" spans="1:68" customFormat="1" ht="16.5" x14ac:dyDescent="0.3">
      <c r="A7" s="74">
        <v>5</v>
      </c>
      <c r="B7" s="143">
        <v>10000</v>
      </c>
      <c r="C7" s="147">
        <f t="shared" si="11"/>
        <v>21250</v>
      </c>
      <c r="D7" s="149">
        <f t="shared" si="0"/>
        <v>21058.035714285714</v>
      </c>
      <c r="E7" s="150">
        <f t="shared" si="2"/>
        <v>0.47487810048759804</v>
      </c>
      <c r="F7" s="151">
        <f t="shared" si="1"/>
        <v>1</v>
      </c>
      <c r="G7" s="153">
        <f>AVERAGE(G3:G6)</f>
        <v>0.99755326146512346</v>
      </c>
      <c r="H7" s="153">
        <f>AVERAGE(H3:H6)</f>
        <v>1</v>
      </c>
      <c r="I7" s="144">
        <f t="shared" si="12"/>
        <v>9957.0306861105673</v>
      </c>
      <c r="J7" s="135">
        <f>(1-$C$38)*(J6+K6)+$C$38*(B7/L7)</f>
        <v>20899.111258422705</v>
      </c>
      <c r="K7" s="135">
        <f>(1-$C$39)*K6+$C$39*(J7-J6)</f>
        <v>512.86225207014934</v>
      </c>
      <c r="L7" s="135">
        <f>(1-$C$40)*L3+$C$40*(B3/SUM(J2:K2))</f>
        <v>0.46774169153353717</v>
      </c>
      <c r="M7" s="158">
        <f t="shared" si="5"/>
        <v>10015.272708869217</v>
      </c>
      <c r="N7" s="119">
        <f t="shared" si="6"/>
        <v>-15.27270886921724</v>
      </c>
      <c r="O7" s="119">
        <f t="shared" si="7"/>
        <v>15.27270886921724</v>
      </c>
      <c r="P7" s="119">
        <f t="shared" si="8"/>
        <v>1.5272708869217241E-3</v>
      </c>
      <c r="Q7" s="119">
        <f t="shared" si="9"/>
        <v>233.25563620386694</v>
      </c>
      <c r="R7" s="154">
        <f>SUM($N7:N7)</f>
        <v>-15.27270886921724</v>
      </c>
      <c r="S7" s="118">
        <f>AVERAGE(O$3:O7)</f>
        <v>663.33930088382442</v>
      </c>
      <c r="T7" s="118">
        <f>AVERAGE(P$3:P7)</f>
        <v>4.6517724650155662E-2</v>
      </c>
      <c r="U7" s="118">
        <f>AVERAGE(Q$3:Q7)</f>
        <v>559326.67335891037</v>
      </c>
      <c r="V7" s="118">
        <f t="shared" si="10"/>
        <v>-2.3023977094178028E-2</v>
      </c>
      <c r="AP7" s="57"/>
      <c r="AQ7" s="57"/>
      <c r="AR7" s="57"/>
      <c r="BL7" s="57"/>
      <c r="BM7" s="57"/>
      <c r="BN7" s="57"/>
      <c r="BO7" s="57"/>
      <c r="BP7" s="57"/>
    </row>
    <row r="8" spans="1:68" customFormat="1" ht="16.5" x14ac:dyDescent="0.3">
      <c r="A8" s="74">
        <v>6</v>
      </c>
      <c r="B8" s="143">
        <v>18000</v>
      </c>
      <c r="C8" s="147">
        <f t="shared" si="11"/>
        <v>21750</v>
      </c>
      <c r="D8" s="149">
        <f t="shared" si="0"/>
        <v>21581.845238095237</v>
      </c>
      <c r="E8" s="150">
        <f t="shared" si="2"/>
        <v>0.83403433772322977</v>
      </c>
      <c r="F8" s="151">
        <f t="shared" si="1"/>
        <v>2</v>
      </c>
      <c r="G8" s="151"/>
      <c r="H8" s="151"/>
      <c r="I8" s="144">
        <f t="shared" si="12"/>
        <v>14785.30454749107</v>
      </c>
      <c r="J8" s="135">
        <f t="shared" ref="J8:J14" si="13">(1-$C$38)*(J7+K7)+$C$38*(B8/L8)</f>
        <v>21657.795361980083</v>
      </c>
      <c r="K8" s="135">
        <f t="shared" ref="K8:K14" si="14">(1-$C$39)*K7+$C$39*(J8-J7)</f>
        <v>537.44443721887217</v>
      </c>
      <c r="L8" s="135">
        <f t="shared" ref="L8:L18" si="15">(1-$C$40)*L4+$C$40*(B4/SUM(J3:K3))</f>
        <v>0.68367211049412768</v>
      </c>
      <c r="M8" s="158">
        <f t="shared" si="5"/>
        <v>15174.266436441609</v>
      </c>
      <c r="N8" s="119">
        <f t="shared" si="6"/>
        <v>2825.7335635583913</v>
      </c>
      <c r="O8" s="119">
        <f t="shared" si="7"/>
        <v>2825.7335635583913</v>
      </c>
      <c r="P8" s="119">
        <f t="shared" si="8"/>
        <v>0.15698519797546617</v>
      </c>
      <c r="Q8" s="119">
        <f t="shared" si="9"/>
        <v>7984770.1722204052</v>
      </c>
      <c r="R8" s="154">
        <f>SUM($N8:N8)</f>
        <v>2825.7335635583913</v>
      </c>
      <c r="S8" s="118">
        <f>AVERAGE(O$3:O8)</f>
        <v>1023.7383446629188</v>
      </c>
      <c r="T8" s="118">
        <f>AVERAGE(P$3:P8)</f>
        <v>6.492897020437409E-2</v>
      </c>
      <c r="U8" s="118">
        <f>AVERAGE(Q$3:Q8)</f>
        <v>1796900.5898358263</v>
      </c>
      <c r="V8" s="118">
        <f t="shared" si="10"/>
        <v>2.7602107299095127</v>
      </c>
      <c r="AP8" s="57"/>
      <c r="AQ8" s="57"/>
      <c r="AR8" s="57"/>
      <c r="BL8" s="57"/>
      <c r="BM8" s="57"/>
      <c r="BN8" s="57"/>
      <c r="BO8" s="57"/>
      <c r="BP8" s="57"/>
    </row>
    <row r="9" spans="1:68" customFormat="1" ht="16.5" x14ac:dyDescent="0.3">
      <c r="A9" s="74">
        <v>7</v>
      </c>
      <c r="B9" s="143">
        <v>23000</v>
      </c>
      <c r="C9" s="147">
        <f t="shared" si="11"/>
        <v>22500</v>
      </c>
      <c r="D9" s="149">
        <f t="shared" si="0"/>
        <v>22105.654761904763</v>
      </c>
      <c r="E9" s="150">
        <f t="shared" si="2"/>
        <v>1.0404577583305283</v>
      </c>
      <c r="F9" s="151">
        <f t="shared" si="1"/>
        <v>3</v>
      </c>
      <c r="G9" s="151"/>
      <c r="H9" s="151"/>
      <c r="I9" s="144">
        <f t="shared" si="12"/>
        <v>25942.744762597133</v>
      </c>
      <c r="J9" s="135">
        <f t="shared" si="13"/>
        <v>22066.70818527904</v>
      </c>
      <c r="K9" s="135">
        <f t="shared" si="14"/>
        <v>524.59127582688063</v>
      </c>
      <c r="L9" s="135">
        <f t="shared" si="15"/>
        <v>1.1719979610100058</v>
      </c>
      <c r="M9" s="158">
        <f t="shared" si="5"/>
        <v>26476.956904982584</v>
      </c>
      <c r="N9" s="119">
        <f t="shared" si="6"/>
        <v>-3476.9569049825841</v>
      </c>
      <c r="O9" s="119">
        <f t="shared" si="7"/>
        <v>3476.9569049825841</v>
      </c>
      <c r="P9" s="119">
        <f t="shared" si="8"/>
        <v>0.15117203934706888</v>
      </c>
      <c r="Q9" s="119">
        <f t="shared" si="9"/>
        <v>12089229.31910607</v>
      </c>
      <c r="R9" s="154">
        <f>SUM($N9:N9)</f>
        <v>-3476.9569049825841</v>
      </c>
      <c r="S9" s="118">
        <f>AVERAGE(O$3:O9)</f>
        <v>1374.1981389942996</v>
      </c>
      <c r="T9" s="118">
        <f>AVERAGE(P$3:P9)</f>
        <v>7.7249408653330492E-2</v>
      </c>
      <c r="U9" s="118">
        <f>AVERAGE(Q$3:Q9)</f>
        <v>3267233.2654458615</v>
      </c>
      <c r="V9" s="118">
        <f t="shared" si="10"/>
        <v>-2.5301714551346857</v>
      </c>
      <c r="AP9" s="57"/>
      <c r="AQ9" s="57"/>
      <c r="AR9" s="57"/>
      <c r="BL9" s="57"/>
      <c r="BM9" s="57"/>
      <c r="BN9" s="57"/>
      <c r="BO9" s="57"/>
      <c r="BP9" s="57"/>
    </row>
    <row r="10" spans="1:68" customFormat="1" ht="16.5" x14ac:dyDescent="0.3">
      <c r="A10" s="74">
        <v>8</v>
      </c>
      <c r="B10" s="143">
        <v>38000</v>
      </c>
      <c r="C10" s="147">
        <f t="shared" si="11"/>
        <v>22125</v>
      </c>
      <c r="D10" s="149">
        <f t="shared" si="0"/>
        <v>22629.464285714286</v>
      </c>
      <c r="E10" s="150">
        <f t="shared" si="2"/>
        <v>1.6792266719274018</v>
      </c>
      <c r="F10" s="151">
        <f t="shared" si="1"/>
        <v>4</v>
      </c>
      <c r="G10" s="151"/>
      <c r="H10" s="151"/>
      <c r="I10" s="144">
        <f t="shared" si="12"/>
        <v>37757.310968971957</v>
      </c>
      <c r="J10" s="135">
        <f t="shared" si="13"/>
        <v>22600.397629850366</v>
      </c>
      <c r="K10" s="135">
        <f t="shared" si="14"/>
        <v>525.50109270132521</v>
      </c>
      <c r="L10" s="135">
        <f>(1-$C$40)*L6+$C$40*(B6/SUM(J5:K5))</f>
        <v>1.6686234323848466</v>
      </c>
      <c r="M10" s="158">
        <f t="shared" si="5"/>
        <v>38588.416503408538</v>
      </c>
      <c r="N10" s="119">
        <f t="shared" si="6"/>
        <v>-588.41650340853812</v>
      </c>
      <c r="O10" s="119">
        <f t="shared" si="7"/>
        <v>588.41650340853812</v>
      </c>
      <c r="P10" s="119">
        <f t="shared" si="8"/>
        <v>1.5484644826540477E-2</v>
      </c>
      <c r="Q10" s="119">
        <f t="shared" si="9"/>
        <v>346233.98148353014</v>
      </c>
      <c r="R10" s="154">
        <f>SUM($N10:N10)</f>
        <v>-588.41650340853812</v>
      </c>
      <c r="S10" s="118">
        <f>AVERAGE(O$3:O10)</f>
        <v>1275.9754345460794</v>
      </c>
      <c r="T10" s="118">
        <f>AVERAGE(P$3:P10)</f>
        <v>6.9528813174981732E-2</v>
      </c>
      <c r="U10" s="118">
        <f>AVERAGE(Q$3:Q10)</f>
        <v>2902108.35495057</v>
      </c>
      <c r="V10" s="118">
        <f t="shared" si="10"/>
        <v>-0.46115033838238723</v>
      </c>
      <c r="AP10" s="57"/>
      <c r="AQ10" s="57"/>
      <c r="AR10" s="57"/>
      <c r="BL10" s="57"/>
      <c r="BM10" s="57"/>
      <c r="BN10" s="57"/>
      <c r="BO10" s="57"/>
      <c r="BP10" s="57"/>
    </row>
    <row r="11" spans="1:68" customFormat="1" ht="16.5" x14ac:dyDescent="0.3">
      <c r="A11" s="74">
        <v>9</v>
      </c>
      <c r="B11" s="143">
        <v>12000</v>
      </c>
      <c r="C11" s="147">
        <f t="shared" si="11"/>
        <v>22625</v>
      </c>
      <c r="D11" s="149">
        <f t="shared" si="0"/>
        <v>23153.273809523809</v>
      </c>
      <c r="E11" s="150">
        <f t="shared" si="2"/>
        <v>0.51828523684041394</v>
      </c>
      <c r="F11" s="151">
        <f t="shared" si="1"/>
        <v>1</v>
      </c>
      <c r="G11" s="151"/>
      <c r="H11" s="151"/>
      <c r="I11" s="144">
        <f t="shared" si="12"/>
        <v>10947.738000508396</v>
      </c>
      <c r="J11" s="135">
        <f t="shared" si="13"/>
        <v>23249.264228204611</v>
      </c>
      <c r="K11" s="135">
        <f t="shared" si="14"/>
        <v>537.83764326661719</v>
      </c>
      <c r="L11" s="135">
        <f t="shared" si="15"/>
        <v>0.46887438293018324</v>
      </c>
      <c r="M11" s="158">
        <f t="shared" si="5"/>
        <v>11153.162711683479</v>
      </c>
      <c r="N11" s="119">
        <f t="shared" si="6"/>
        <v>846.83728831652115</v>
      </c>
      <c r="O11" s="119">
        <f t="shared" si="7"/>
        <v>846.83728831652115</v>
      </c>
      <c r="P11" s="119">
        <f t="shared" si="8"/>
        <v>7.0569774026376764E-2</v>
      </c>
      <c r="Q11" s="119">
        <f t="shared" si="9"/>
        <v>717133.39288327878</v>
      </c>
      <c r="R11" s="154">
        <f>SUM($N11:N11)</f>
        <v>846.83728831652115</v>
      </c>
      <c r="S11" s="118">
        <f>AVERAGE(O$3:O11)</f>
        <v>1228.2934182983508</v>
      </c>
      <c r="T11" s="118">
        <f>AVERAGE(P$3:P11)</f>
        <v>6.9644475491803401E-2</v>
      </c>
      <c r="U11" s="118">
        <f>AVERAGE(Q$3:Q11)</f>
        <v>2659333.3591653155</v>
      </c>
      <c r="V11" s="118">
        <f t="shared" si="10"/>
        <v>0.68944217700825083</v>
      </c>
      <c r="AP11" s="57"/>
      <c r="AQ11" s="57"/>
      <c r="AR11" s="57"/>
      <c r="BL11" s="57"/>
      <c r="BM11" s="57"/>
      <c r="BN11" s="57"/>
      <c r="BO11" s="57"/>
      <c r="BP11" s="57"/>
    </row>
    <row r="12" spans="1:68" customFormat="1" ht="16.5" x14ac:dyDescent="0.3">
      <c r="A12" s="74">
        <v>10</v>
      </c>
      <c r="B12" s="143">
        <v>13000</v>
      </c>
      <c r="C12" s="147">
        <f t="shared" si="11"/>
        <v>24125</v>
      </c>
      <c r="D12" s="149">
        <f t="shared" si="0"/>
        <v>23677.083333333336</v>
      </c>
      <c r="E12" s="150">
        <f t="shared" si="2"/>
        <v>0.54905411350637923</v>
      </c>
      <c r="F12" s="151">
        <f t="shared" si="1"/>
        <v>2</v>
      </c>
      <c r="G12" s="151"/>
      <c r="H12" s="151"/>
      <c r="I12" s="144">
        <f t="shared" si="12"/>
        <v>16220.711622087187</v>
      </c>
      <c r="J12" s="135">
        <f t="shared" si="13"/>
        <v>23527.154655343576</v>
      </c>
      <c r="K12" s="135">
        <f t="shared" si="14"/>
        <v>511.84292165385204</v>
      </c>
      <c r="L12" s="135">
        <f t="shared" si="15"/>
        <v>0.69937001371911456</v>
      </c>
      <c r="M12" s="158">
        <f t="shared" si="5"/>
        <v>16812.154065218456</v>
      </c>
      <c r="N12" s="119">
        <f t="shared" si="6"/>
        <v>-3812.1540652184558</v>
      </c>
      <c r="O12" s="119">
        <f t="shared" si="7"/>
        <v>3812.1540652184558</v>
      </c>
      <c r="P12" s="119">
        <f t="shared" si="8"/>
        <v>0.29324262040141968</v>
      </c>
      <c r="Q12" s="119">
        <f t="shared" si="9"/>
        <v>14532518.616961598</v>
      </c>
      <c r="R12" s="154">
        <f>SUM($N12:N12)</f>
        <v>-3812.1540652184558</v>
      </c>
      <c r="S12" s="118">
        <f>AVERAGE(O$3:O12)</f>
        <v>1486.6794829903613</v>
      </c>
      <c r="T12" s="118">
        <f>AVERAGE(P$3:P12)</f>
        <v>9.2004289982765025E-2</v>
      </c>
      <c r="U12" s="118">
        <f>AVERAGE(Q$3:Q12)</f>
        <v>3846651.8849449442</v>
      </c>
      <c r="V12" s="118">
        <f t="shared" si="10"/>
        <v>-2.5642070862177704</v>
      </c>
      <c r="AP12" s="57"/>
      <c r="AQ12" s="57"/>
      <c r="AR12" s="57"/>
      <c r="BL12" s="57"/>
      <c r="BM12" s="57"/>
      <c r="BN12" s="57"/>
      <c r="BO12" s="57"/>
      <c r="BP12" s="57"/>
    </row>
    <row r="13" spans="1:68" customFormat="1" ht="16.5" x14ac:dyDescent="0.3">
      <c r="A13" s="74">
        <v>11</v>
      </c>
      <c r="B13" s="143">
        <v>32000</v>
      </c>
      <c r="C13" s="147"/>
      <c r="D13" s="149">
        <f t="shared" si="0"/>
        <v>24200.892857142859</v>
      </c>
      <c r="E13" s="150">
        <f t="shared" si="2"/>
        <v>1.3222652647113078</v>
      </c>
      <c r="F13" s="151">
        <f t="shared" si="1"/>
        <v>3</v>
      </c>
      <c r="G13" s="151"/>
      <c r="H13" s="151"/>
      <c r="I13" s="144">
        <f t="shared" si="12"/>
        <v>28401.673380957061</v>
      </c>
      <c r="J13" s="135">
        <f t="shared" si="13"/>
        <v>24218.234565936938</v>
      </c>
      <c r="K13" s="135">
        <f t="shared" si="14"/>
        <v>529.76662054780309</v>
      </c>
      <c r="L13" s="135">
        <f t="shared" si="15"/>
        <v>1.1584239883201588</v>
      </c>
      <c r="M13" s="158">
        <f t="shared" si="5"/>
        <v>28668.678237399676</v>
      </c>
      <c r="N13" s="119">
        <f t="shared" si="6"/>
        <v>3331.3217626003243</v>
      </c>
      <c r="O13" s="119">
        <f t="shared" si="7"/>
        <v>3331.3217626003243</v>
      </c>
      <c r="P13" s="119">
        <f t="shared" si="8"/>
        <v>0.10410380508126013</v>
      </c>
      <c r="Q13" s="119">
        <f t="shared" si="9"/>
        <v>11097704.685974531</v>
      </c>
      <c r="R13" s="154">
        <f>SUM($N13:N13)</f>
        <v>3331.3217626003243</v>
      </c>
      <c r="S13" s="118">
        <f>AVERAGE(O$3:O13)</f>
        <v>1654.3742356821763</v>
      </c>
      <c r="T13" s="118">
        <f>AVERAGE(P$3:P13)</f>
        <v>9.3104245900810026E-2</v>
      </c>
      <c r="U13" s="118">
        <f>AVERAGE(Q$3:Q13)</f>
        <v>4505838.5032203607</v>
      </c>
      <c r="V13" s="118">
        <f t="shared" si="10"/>
        <v>2.0136446099976064</v>
      </c>
      <c r="AP13" s="57"/>
      <c r="AQ13" s="57"/>
      <c r="AR13" s="57"/>
      <c r="BL13" s="57"/>
      <c r="BM13" s="57"/>
      <c r="BN13" s="57"/>
      <c r="BO13" s="57"/>
      <c r="BP13" s="57"/>
    </row>
    <row r="14" spans="1:68" customFormat="1" ht="16.5" x14ac:dyDescent="0.3">
      <c r="A14" s="74">
        <v>12</v>
      </c>
      <c r="B14" s="143">
        <v>41000</v>
      </c>
      <c r="C14" s="147"/>
      <c r="D14" s="149">
        <f t="shared" si="0"/>
        <v>24724.702380952382</v>
      </c>
      <c r="E14" s="150">
        <f t="shared" si="2"/>
        <v>1.6582606078844417</v>
      </c>
      <c r="F14" s="151">
        <f t="shared" si="1"/>
        <v>4</v>
      </c>
      <c r="G14" s="151"/>
      <c r="H14" s="151"/>
      <c r="I14" s="144">
        <f t="shared" si="12"/>
        <v>41253.220342570465</v>
      </c>
      <c r="J14" s="135">
        <f t="shared" si="13"/>
        <v>24738.169972669231</v>
      </c>
      <c r="K14" s="135">
        <f t="shared" si="14"/>
        <v>528.78349916625211</v>
      </c>
      <c r="L14" s="135">
        <f t="shared" si="15"/>
        <v>1.6699674380791549</v>
      </c>
      <c r="M14" s="158">
        <f>(J14+K14)*L14</f>
        <v>42194.989557426314</v>
      </c>
      <c r="N14" s="119">
        <f t="shared" si="6"/>
        <v>-1194.9895574263137</v>
      </c>
      <c r="O14" s="119">
        <f t="shared" si="7"/>
        <v>1194.9895574263137</v>
      </c>
      <c r="P14" s="119">
        <f t="shared" si="8"/>
        <v>2.9146086766495456E-2</v>
      </c>
      <c r="Q14" s="119">
        <f t="shared" si="9"/>
        <v>1428000.042357937</v>
      </c>
      <c r="R14" s="154">
        <f>SUM($N14:N14)</f>
        <v>-1194.9895574263137</v>
      </c>
      <c r="S14" s="118">
        <f>AVERAGE(O$3:O14)</f>
        <v>1616.0921791608544</v>
      </c>
      <c r="T14" s="118">
        <f>AVERAGE(P$3:P14)</f>
        <v>8.7774399306283821E-2</v>
      </c>
      <c r="U14" s="118">
        <f>AVERAGE(Q$3:Q14)</f>
        <v>4249351.9648151593</v>
      </c>
      <c r="V14" s="118">
        <f t="shared" si="10"/>
        <v>-0.7394315577016185</v>
      </c>
      <c r="AP14" s="57"/>
      <c r="AQ14" s="57"/>
      <c r="AR14" s="57"/>
      <c r="BL14" s="57"/>
      <c r="BM14" s="57"/>
      <c r="BN14" s="57"/>
      <c r="BO14" s="57"/>
      <c r="BP14" s="57"/>
    </row>
    <row r="15" spans="1:68" customFormat="1" ht="16.5" x14ac:dyDescent="0.3">
      <c r="A15" s="74">
        <v>13</v>
      </c>
      <c r="L15" s="135">
        <f t="shared" si="15"/>
        <v>0.47387681989765784</v>
      </c>
      <c r="M15" s="158">
        <f>($J$14+$K$14*(A15-$A$14))*L15</f>
        <v>11973.423559735484</v>
      </c>
      <c r="AP15" s="57"/>
      <c r="AQ15" s="57"/>
      <c r="AR15" s="57"/>
      <c r="BL15" s="57"/>
      <c r="BM15" s="57"/>
      <c r="BN15" s="57"/>
      <c r="BO15" s="57"/>
      <c r="BP15" s="57"/>
    </row>
    <row r="16" spans="1:68" customFormat="1" ht="16.5" x14ac:dyDescent="0.3">
      <c r="A16" s="74">
        <v>14</v>
      </c>
      <c r="L16" s="135">
        <f t="shared" si="15"/>
        <v>0.6840844788026077</v>
      </c>
      <c r="M16" s="158">
        <f t="shared" ref="M16:M17" si="16">($J$14+$K$14*(A16-$A$14))*L16</f>
        <v>17646.463281136883</v>
      </c>
      <c r="AP16" s="65"/>
      <c r="AQ16" s="65"/>
      <c r="AR16" s="65"/>
      <c r="AS16" s="6"/>
      <c r="AT16" s="6"/>
      <c r="AU16" s="6"/>
      <c r="AV16" s="6"/>
      <c r="AW16" s="6"/>
      <c r="AX16" s="6"/>
      <c r="AY16" s="6"/>
      <c r="BL16" s="57"/>
      <c r="BM16" s="57"/>
      <c r="BN16" s="57"/>
      <c r="BO16" s="57"/>
      <c r="BP16" s="57"/>
    </row>
    <row r="17" spans="1:68" ht="16.5" x14ac:dyDescent="0.3">
      <c r="A17" s="74">
        <v>15</v>
      </c>
      <c r="B17"/>
      <c r="C17"/>
      <c r="D17"/>
      <c r="E17"/>
      <c r="F17"/>
      <c r="G17"/>
      <c r="H17"/>
      <c r="I17"/>
      <c r="J17"/>
      <c r="K17"/>
      <c r="L17" s="135">
        <f t="shared" si="15"/>
        <v>1.1756986210844202</v>
      </c>
      <c r="M17" s="158">
        <f t="shared" si="16"/>
        <v>30949.702417485096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 s="65"/>
      <c r="AQ17" s="65"/>
      <c r="AR17" s="65"/>
      <c r="AS17" s="6"/>
      <c r="AT17" s="6"/>
      <c r="AU17" s="6"/>
      <c r="AV17" s="6"/>
      <c r="AW17" s="6"/>
      <c r="AX17" s="6"/>
      <c r="AY17" s="6"/>
    </row>
    <row r="18" spans="1:68" ht="16.5" x14ac:dyDescent="0.3">
      <c r="A18" s="74">
        <v>16</v>
      </c>
      <c r="B18"/>
      <c r="C18"/>
      <c r="D18"/>
      <c r="E18"/>
      <c r="F18"/>
      <c r="G18"/>
      <c r="H18"/>
      <c r="I18"/>
      <c r="J18"/>
      <c r="K18"/>
      <c r="L18" s="135">
        <f t="shared" si="15"/>
        <v>1.6686406394561084</v>
      </c>
      <c r="M18" s="158">
        <f>($J$14+$K$14*(A18-$A$14))*L18</f>
        <v>44808.514306899138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 s="65"/>
      <c r="AQ18" s="65"/>
      <c r="AR18" s="65"/>
      <c r="AS18" s="6"/>
      <c r="AT18" s="6"/>
      <c r="AU18" s="6"/>
      <c r="AV18" s="6"/>
      <c r="AW18" s="6"/>
      <c r="AX18" s="6"/>
      <c r="AY18" s="6"/>
    </row>
    <row r="19" spans="1:68" ht="16.5" x14ac:dyDescent="0.3">
      <c r="A19" s="74">
        <v>17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 s="65"/>
      <c r="AQ19" s="65"/>
      <c r="AR19" s="65"/>
      <c r="AS19" s="6"/>
      <c r="AT19" s="6"/>
      <c r="AU19" s="6"/>
      <c r="AV19" s="6"/>
      <c r="AW19" s="6"/>
      <c r="AX19" s="6"/>
      <c r="AY19" s="6"/>
    </row>
    <row r="20" spans="1:68" ht="16.5" x14ac:dyDescent="0.3">
      <c r="A20" s="74">
        <v>18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"/>
      <c r="AT20" s="6"/>
      <c r="AU20" s="6"/>
      <c r="AV20" s="6"/>
      <c r="AW20" s="6"/>
      <c r="AX20" s="6"/>
      <c r="AY20" s="6"/>
    </row>
    <row r="21" spans="1:68" ht="16.5" x14ac:dyDescent="0.3">
      <c r="A21" s="74">
        <v>19</v>
      </c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"/>
      <c r="AT21" s="6"/>
      <c r="AU21" s="6"/>
      <c r="AV21" s="6"/>
      <c r="AW21" s="6"/>
      <c r="AX21" s="6"/>
      <c r="AY21" s="6"/>
    </row>
    <row r="22" spans="1:68" ht="16.5" x14ac:dyDescent="0.3">
      <c r="A22" s="74">
        <v>20</v>
      </c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"/>
      <c r="AT22" s="6"/>
      <c r="AU22" s="6"/>
      <c r="AV22" s="6"/>
      <c r="AW22" s="6"/>
      <c r="AX22" s="6"/>
      <c r="AY22" s="6"/>
    </row>
    <row r="23" spans="1:68" ht="16.5" x14ac:dyDescent="0.3">
      <c r="A23" s="74">
        <v>21</v>
      </c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"/>
      <c r="AT23" s="6"/>
      <c r="AU23" s="6"/>
      <c r="AV23" s="6"/>
      <c r="AW23" s="6"/>
      <c r="AX23" s="6"/>
      <c r="AY23" s="6"/>
    </row>
    <row r="24" spans="1:68" ht="16.5" x14ac:dyDescent="0.3">
      <c r="A24" s="74">
        <v>22</v>
      </c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"/>
      <c r="AT24" s="6"/>
      <c r="AU24" s="6"/>
      <c r="AV24" s="6"/>
      <c r="AW24" s="6"/>
      <c r="AX24" s="6"/>
      <c r="AY24" s="6"/>
    </row>
    <row r="25" spans="1:68" ht="16.5" x14ac:dyDescent="0.3">
      <c r="A25" s="74">
        <v>23</v>
      </c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"/>
      <c r="AT25" s="6"/>
      <c r="AU25" s="6"/>
      <c r="AV25" s="6"/>
      <c r="AW25" s="6"/>
      <c r="AX25" s="6"/>
      <c r="AY25" s="6"/>
    </row>
    <row r="26" spans="1:68" ht="16.5" x14ac:dyDescent="0.3">
      <c r="A26" s="74">
        <v>24</v>
      </c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"/>
      <c r="AT26" s="6"/>
      <c r="AU26" s="6"/>
      <c r="AV26" s="6"/>
      <c r="AW26" s="6"/>
      <c r="AX26" s="6"/>
      <c r="AY26" s="6"/>
    </row>
    <row r="27" spans="1:68" ht="16.5" x14ac:dyDescent="0.3">
      <c r="A27" s="74">
        <v>25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"/>
      <c r="AT27" s="6"/>
      <c r="AU27" s="6"/>
      <c r="AV27" s="6"/>
      <c r="AW27" s="6"/>
      <c r="AX27" s="6"/>
      <c r="AY27" s="6"/>
    </row>
    <row r="28" spans="1:68" ht="16.5" x14ac:dyDescent="0.3">
      <c r="A28" s="74">
        <v>26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"/>
      <c r="AT28" s="6"/>
      <c r="AU28" s="6"/>
      <c r="AV28" s="6"/>
      <c r="AW28" s="6"/>
      <c r="AX28" s="6"/>
      <c r="AY28" s="6"/>
    </row>
    <row r="29" spans="1:68" ht="16.5" x14ac:dyDescent="0.3">
      <c r="A29" s="74">
        <v>27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"/>
      <c r="AT29" s="6"/>
      <c r="AU29" s="6"/>
      <c r="AV29" s="6"/>
      <c r="AW29" s="6"/>
      <c r="AX29" s="6"/>
      <c r="AY29" s="6"/>
    </row>
    <row r="30" spans="1:68" ht="16.5" x14ac:dyDescent="0.3">
      <c r="A30" s="74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"/>
      <c r="AT30" s="6"/>
      <c r="AU30" s="6"/>
      <c r="AV30" s="6"/>
      <c r="AW30" s="6"/>
      <c r="AX30" s="6"/>
      <c r="AY30" s="6"/>
    </row>
    <row r="31" spans="1:68" ht="16.5" x14ac:dyDescent="0.3">
      <c r="A31" s="74">
        <v>29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"/>
      <c r="AT31" s="6"/>
      <c r="AU31" s="6"/>
      <c r="AV31" s="6"/>
      <c r="AW31" s="6"/>
      <c r="AX31" s="6"/>
      <c r="AY31" s="6"/>
      <c r="BL31"/>
      <c r="BM31"/>
      <c r="BN31"/>
      <c r="BO31"/>
      <c r="BP31"/>
    </row>
    <row r="32" spans="1:68" ht="16.5" x14ac:dyDescent="0.3">
      <c r="A32" s="74">
        <v>30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"/>
      <c r="AT32" s="6"/>
      <c r="AU32" s="6"/>
      <c r="AV32" s="6"/>
      <c r="AW32" s="6"/>
      <c r="AX32" s="6"/>
      <c r="AY32" s="6"/>
      <c r="BL32"/>
      <c r="BM32"/>
      <c r="BN32"/>
      <c r="BO32"/>
      <c r="BP32"/>
    </row>
    <row r="33" spans="1:68" ht="16.5" x14ac:dyDescent="0.3">
      <c r="A33" s="74">
        <v>31</v>
      </c>
      <c r="D33"/>
      <c r="E33"/>
      <c r="F33"/>
      <c r="G33"/>
      <c r="H33"/>
      <c r="I33"/>
      <c r="L33"/>
      <c r="M33"/>
      <c r="N33"/>
      <c r="O33"/>
      <c r="P33"/>
      <c r="Q33"/>
      <c r="R33"/>
      <c r="S33"/>
      <c r="T33"/>
      <c r="U33"/>
      <c r="V33"/>
      <c r="W33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"/>
      <c r="AT33" s="6"/>
      <c r="AU33" s="6"/>
      <c r="AV33" s="6"/>
      <c r="AW33" s="6"/>
      <c r="AX33" s="6"/>
      <c r="AY33" s="6"/>
      <c r="BL33"/>
      <c r="BM33"/>
      <c r="BN33"/>
      <c r="BO33"/>
      <c r="BP33"/>
    </row>
    <row r="34" spans="1:68" ht="16.5" x14ac:dyDescent="0.3">
      <c r="A34" s="74">
        <v>32</v>
      </c>
      <c r="D34"/>
      <c r="E34"/>
      <c r="F34"/>
      <c r="G34"/>
      <c r="H34"/>
      <c r="I34"/>
      <c r="L34"/>
      <c r="M34"/>
      <c r="N34"/>
      <c r="O34"/>
      <c r="P34"/>
      <c r="Q34"/>
      <c r="R34"/>
      <c r="S34"/>
      <c r="T34"/>
      <c r="U34"/>
      <c r="V34"/>
      <c r="W34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"/>
      <c r="AT34" s="6"/>
      <c r="AU34" s="6"/>
      <c r="AV34" s="6"/>
      <c r="AW34" s="6"/>
      <c r="AX34" s="6"/>
      <c r="AY34" s="6"/>
      <c r="BL34"/>
      <c r="BM34"/>
      <c r="BN34"/>
      <c r="BO34"/>
      <c r="BP34"/>
    </row>
    <row r="35" spans="1:68" x14ac:dyDescent="0.25">
      <c r="A35"/>
      <c r="E35"/>
      <c r="F35"/>
      <c r="G35"/>
      <c r="H35"/>
      <c r="I35"/>
      <c r="L35"/>
      <c r="M35"/>
      <c r="N35"/>
      <c r="O35"/>
      <c r="P35"/>
      <c r="Q35"/>
      <c r="R35"/>
      <c r="S35"/>
      <c r="T35"/>
      <c r="U35"/>
      <c r="V35"/>
      <c r="W3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"/>
      <c r="AT35" s="6"/>
      <c r="AU35" s="6"/>
      <c r="AV35" s="6"/>
      <c r="AW35" s="6"/>
      <c r="AX35" s="6"/>
      <c r="AY35" s="6"/>
      <c r="BL35"/>
      <c r="BM35"/>
      <c r="BN35"/>
      <c r="BO35"/>
      <c r="BP35"/>
    </row>
    <row r="36" spans="1:68" x14ac:dyDescent="0.25">
      <c r="A36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"/>
      <c r="AT36" s="6"/>
      <c r="AU36" s="6"/>
      <c r="AV36" s="6"/>
      <c r="AW36" s="6"/>
      <c r="AX36" s="6"/>
      <c r="AY36" s="6"/>
      <c r="BL36"/>
      <c r="BM36"/>
      <c r="BN36"/>
      <c r="BO36"/>
      <c r="BP36"/>
    </row>
    <row r="37" spans="1:68" x14ac:dyDescent="0.25">
      <c r="A37"/>
      <c r="B37" s="57" t="s">
        <v>87</v>
      </c>
      <c r="C37" s="156">
        <v>4</v>
      </c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"/>
      <c r="AT37" s="6"/>
      <c r="AU37" s="6"/>
      <c r="AV37" s="6"/>
      <c r="AW37" s="6"/>
      <c r="AX37" s="6"/>
      <c r="AY37" s="6"/>
      <c r="BL37"/>
      <c r="BM37"/>
      <c r="BN37"/>
      <c r="BO37"/>
      <c r="BP37"/>
    </row>
    <row r="38" spans="1:68" x14ac:dyDescent="0.25">
      <c r="A38"/>
      <c r="B38" s="57" t="s">
        <v>150</v>
      </c>
      <c r="C38" s="155">
        <v>0.05</v>
      </c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"/>
      <c r="AT38" s="6"/>
      <c r="AU38" s="6"/>
      <c r="AV38" s="6"/>
      <c r="AW38" s="6"/>
      <c r="AX38" s="6"/>
      <c r="AY38" s="6"/>
      <c r="BL38"/>
      <c r="BM38"/>
      <c r="BN38"/>
      <c r="BO38"/>
      <c r="BP38"/>
    </row>
    <row r="39" spans="1:68" x14ac:dyDescent="0.25">
      <c r="A39"/>
      <c r="B39" s="57" t="s">
        <v>148</v>
      </c>
      <c r="C39" s="155">
        <v>0.1</v>
      </c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"/>
      <c r="AT39" s="6"/>
      <c r="AU39" s="6"/>
      <c r="AV39" s="6"/>
      <c r="AW39" s="6"/>
      <c r="AX39" s="6"/>
      <c r="AY39" s="6"/>
      <c r="BL39"/>
      <c r="BM39"/>
      <c r="BN39"/>
      <c r="BO39"/>
      <c r="BP39"/>
    </row>
    <row r="40" spans="1:68" x14ac:dyDescent="0.25">
      <c r="A40"/>
      <c r="B40" s="57" t="s">
        <v>149</v>
      </c>
      <c r="C40" s="155">
        <v>0.1</v>
      </c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"/>
      <c r="AT40" s="6"/>
      <c r="AU40" s="6"/>
      <c r="AV40" s="6"/>
      <c r="AW40" s="6"/>
      <c r="AX40" s="6"/>
      <c r="AY40" s="6"/>
      <c r="BL40"/>
      <c r="BM40"/>
      <c r="BN40"/>
      <c r="BO40"/>
      <c r="BP40"/>
    </row>
    <row r="41" spans="1:68" x14ac:dyDescent="0.25">
      <c r="A41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"/>
      <c r="AT41" s="6"/>
      <c r="AU41" s="6"/>
      <c r="AV41" s="6"/>
      <c r="AW41" s="6"/>
      <c r="AX41" s="6"/>
      <c r="AY41" s="6"/>
      <c r="BL41"/>
      <c r="BM41"/>
      <c r="BN41"/>
      <c r="BO41"/>
      <c r="BP41"/>
    </row>
    <row r="42" spans="1:68" x14ac:dyDescent="0.25">
      <c r="A42"/>
      <c r="B42" s="57" t="s">
        <v>136</v>
      </c>
      <c r="J42"/>
      <c r="K42"/>
      <c r="L42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"/>
      <c r="AT42" s="6"/>
      <c r="AU42" s="6"/>
      <c r="AV42" s="6"/>
      <c r="AW42" s="6"/>
      <c r="AX42" s="6"/>
      <c r="AY42" s="6"/>
      <c r="BL42"/>
      <c r="BM42"/>
      <c r="BN42"/>
      <c r="BO42"/>
      <c r="BP42"/>
    </row>
    <row r="43" spans="1:68" x14ac:dyDescent="0.25">
      <c r="A43"/>
      <c r="B43" s="57" t="s">
        <v>137</v>
      </c>
      <c r="J43" s="118"/>
      <c r="K43"/>
      <c r="L43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"/>
      <c r="AT43" s="6"/>
      <c r="AU43" s="6"/>
      <c r="AV43" s="6"/>
      <c r="AW43" s="6"/>
      <c r="AX43" s="6"/>
      <c r="AY43" s="6"/>
      <c r="BL43"/>
      <c r="BM43"/>
      <c r="BN43"/>
      <c r="BO43"/>
      <c r="BP43"/>
    </row>
    <row r="44" spans="1:68" x14ac:dyDescent="0.25">
      <c r="A44"/>
      <c r="B44" s="57" t="s">
        <v>138</v>
      </c>
      <c r="J44"/>
      <c r="K44"/>
      <c r="L44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"/>
      <c r="AT44" s="6"/>
      <c r="AU44" s="6"/>
      <c r="AV44" s="6"/>
      <c r="AW44" s="6"/>
      <c r="AX44" s="6"/>
      <c r="AY44" s="6"/>
      <c r="BL44"/>
      <c r="BM44"/>
      <c r="BN44"/>
      <c r="BO44"/>
      <c r="BP44"/>
    </row>
    <row r="45" spans="1:68" x14ac:dyDescent="0.25">
      <c r="A45"/>
      <c r="B45" s="129" t="s">
        <v>119</v>
      </c>
      <c r="C45" s="129"/>
      <c r="D45" s="129"/>
      <c r="E45" s="129"/>
      <c r="F45" s="129"/>
      <c r="G45" s="129"/>
      <c r="H45" s="129"/>
      <c r="I45" s="129"/>
      <c r="J45"/>
      <c r="K45"/>
      <c r="L4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"/>
      <c r="AT45" s="6"/>
      <c r="AU45" s="6"/>
      <c r="AV45" s="6"/>
      <c r="AW45" s="6"/>
      <c r="AX45" s="6"/>
      <c r="AY45" s="6"/>
      <c r="BL45"/>
      <c r="BM45"/>
      <c r="BN45"/>
      <c r="BO45"/>
      <c r="BP45"/>
    </row>
    <row r="46" spans="1:68" x14ac:dyDescent="0.25">
      <c r="A46"/>
      <c r="B46" t="s">
        <v>139</v>
      </c>
      <c r="C46"/>
      <c r="D46"/>
      <c r="E46"/>
      <c r="F46"/>
      <c r="G46"/>
      <c r="H46"/>
      <c r="I46"/>
      <c r="J46"/>
      <c r="K46"/>
      <c r="L46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"/>
      <c r="AT46" s="6"/>
      <c r="AU46" s="6"/>
      <c r="AV46" s="6"/>
      <c r="AW46" s="6"/>
      <c r="AX46" s="6"/>
      <c r="AY46" s="6"/>
      <c r="BL46"/>
      <c r="BM46"/>
      <c r="BN46"/>
      <c r="BO46"/>
      <c r="BP46"/>
    </row>
    <row r="47" spans="1:68" x14ac:dyDescent="0.25">
      <c r="A47"/>
      <c r="B47" t="s">
        <v>125</v>
      </c>
      <c r="C47"/>
      <c r="D47"/>
      <c r="E47"/>
      <c r="F47"/>
      <c r="G47"/>
      <c r="H47"/>
      <c r="I47"/>
      <c r="J47"/>
      <c r="K47"/>
      <c r="L47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"/>
      <c r="AT47" s="6"/>
      <c r="AU47" s="6"/>
      <c r="AV47" s="6"/>
      <c r="AW47" s="6"/>
      <c r="AX47" s="6"/>
      <c r="AY47" s="6"/>
      <c r="BL47"/>
      <c r="BM47"/>
      <c r="BN47"/>
      <c r="BO47"/>
      <c r="BP47"/>
    </row>
    <row r="48" spans="1:68" x14ac:dyDescent="0.25">
      <c r="A48"/>
      <c r="B48" t="s">
        <v>140</v>
      </c>
      <c r="C48"/>
      <c r="D48"/>
      <c r="E48"/>
      <c r="F48"/>
      <c r="G48"/>
      <c r="H48"/>
      <c r="I48"/>
      <c r="J48"/>
      <c r="K48"/>
      <c r="L48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"/>
      <c r="AT48" s="6"/>
      <c r="AU48" s="6"/>
      <c r="AV48" s="6"/>
      <c r="AW48" s="6"/>
      <c r="AX48" s="6"/>
      <c r="AY48" s="6"/>
      <c r="BL48"/>
      <c r="BM48"/>
      <c r="BN48"/>
      <c r="BO48"/>
      <c r="BP48"/>
    </row>
    <row r="49" spans="1:68" x14ac:dyDescent="0.25">
      <c r="A49"/>
      <c r="B49" t="s">
        <v>141</v>
      </c>
      <c r="C49"/>
      <c r="D49"/>
      <c r="E49"/>
      <c r="F49"/>
      <c r="G49"/>
      <c r="H49"/>
      <c r="I49"/>
      <c r="J49"/>
      <c r="K49"/>
      <c r="L49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"/>
      <c r="AT49" s="6"/>
      <c r="AU49" s="6"/>
      <c r="AV49" s="6"/>
      <c r="AW49" s="6"/>
      <c r="AX49" s="6"/>
      <c r="AY49" s="6"/>
      <c r="BL49"/>
      <c r="BM49"/>
      <c r="BN49"/>
      <c r="BO49"/>
      <c r="BP49"/>
    </row>
    <row r="50" spans="1:68" x14ac:dyDescent="0.25">
      <c r="A50"/>
      <c r="B50" t="s">
        <v>142</v>
      </c>
      <c r="C50"/>
      <c r="D50"/>
      <c r="E50"/>
      <c r="F50"/>
      <c r="G50"/>
      <c r="H50"/>
      <c r="I50"/>
      <c r="J50"/>
      <c r="K50"/>
      <c r="L50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"/>
      <c r="AT50" s="6"/>
      <c r="AU50" s="6"/>
      <c r="AV50" s="6"/>
      <c r="AW50" s="6"/>
      <c r="AX50" s="6"/>
      <c r="AY50" s="6"/>
      <c r="BL50"/>
      <c r="BM50"/>
      <c r="BN50"/>
      <c r="BO50"/>
      <c r="BP50"/>
    </row>
    <row r="51" spans="1:68" x14ac:dyDescent="0.25">
      <c r="A51"/>
      <c r="B51"/>
      <c r="C51"/>
      <c r="D51"/>
      <c r="E51"/>
      <c r="F51"/>
      <c r="G51"/>
      <c r="H51"/>
      <c r="I51"/>
      <c r="J51"/>
      <c r="K51"/>
      <c r="L51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"/>
      <c r="AT51" s="6"/>
      <c r="AU51" s="6"/>
      <c r="AV51" s="6"/>
      <c r="AW51" s="6"/>
      <c r="AX51" s="6"/>
      <c r="AY51" s="6"/>
      <c r="BL51"/>
      <c r="BM51"/>
      <c r="BN51"/>
      <c r="BO51"/>
      <c r="BP51"/>
    </row>
    <row r="52" spans="1:68" x14ac:dyDescent="0.25">
      <c r="A52"/>
      <c r="B52"/>
      <c r="C52"/>
      <c r="D52"/>
      <c r="E52"/>
      <c r="F52"/>
      <c r="G52"/>
      <c r="H52"/>
      <c r="I52"/>
      <c r="J52"/>
      <c r="K52"/>
      <c r="L52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"/>
      <c r="AT52" s="6"/>
      <c r="AU52" s="6"/>
      <c r="AV52" s="6"/>
      <c r="AW52" s="6"/>
      <c r="AX52" s="6"/>
      <c r="AY52" s="6"/>
      <c r="BL52"/>
      <c r="BM52"/>
      <c r="BN52"/>
      <c r="BO52"/>
      <c r="BP52"/>
    </row>
    <row r="53" spans="1:68" x14ac:dyDescent="0.25">
      <c r="A53"/>
      <c r="B53"/>
      <c r="C53"/>
      <c r="D53"/>
      <c r="E53"/>
      <c r="F53"/>
      <c r="G53"/>
      <c r="H53"/>
      <c r="I53"/>
      <c r="J53"/>
      <c r="K53"/>
      <c r="L53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"/>
      <c r="AT53" s="6"/>
      <c r="AU53" s="6"/>
      <c r="AV53" s="6"/>
      <c r="AW53" s="6"/>
      <c r="AX53" s="6"/>
      <c r="AY53" s="6"/>
      <c r="BL53"/>
      <c r="BM53"/>
      <c r="BN53"/>
      <c r="BO53"/>
      <c r="BP53"/>
    </row>
    <row r="54" spans="1:68" x14ac:dyDescent="0.25">
      <c r="A54"/>
      <c r="B54"/>
      <c r="C54"/>
      <c r="D54"/>
      <c r="E54"/>
      <c r="F54"/>
      <c r="G54"/>
      <c r="H54"/>
      <c r="I54"/>
      <c r="J54"/>
      <c r="K54"/>
      <c r="L54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"/>
      <c r="AT54" s="6"/>
      <c r="AU54" s="6"/>
      <c r="AV54" s="6"/>
      <c r="AW54" s="6"/>
      <c r="AX54" s="6"/>
      <c r="AY54" s="6"/>
      <c r="BL54"/>
      <c r="BM54"/>
      <c r="BN54"/>
      <c r="BO54"/>
      <c r="BP54"/>
    </row>
    <row r="55" spans="1:68" x14ac:dyDescent="0.25">
      <c r="A55"/>
      <c r="B55"/>
      <c r="C55"/>
      <c r="D55"/>
      <c r="E55"/>
      <c r="F55"/>
      <c r="G55"/>
      <c r="H55"/>
      <c r="I55"/>
      <c r="J55"/>
      <c r="K55"/>
      <c r="L5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"/>
      <c r="AT55" s="6"/>
      <c r="AU55" s="6"/>
      <c r="AV55" s="6"/>
      <c r="AW55" s="6"/>
      <c r="AX55" s="6"/>
      <c r="AY55" s="6"/>
      <c r="BL55"/>
      <c r="BM55"/>
      <c r="BN55"/>
      <c r="BO55"/>
      <c r="BP55"/>
    </row>
    <row r="56" spans="1:68" x14ac:dyDescent="0.25">
      <c r="A56"/>
      <c r="B56"/>
      <c r="C56"/>
      <c r="D56"/>
      <c r="E56"/>
      <c r="F56"/>
      <c r="G56"/>
      <c r="H56"/>
      <c r="I56"/>
      <c r="J56"/>
      <c r="K56"/>
      <c r="L56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"/>
      <c r="AT56" s="6"/>
      <c r="AU56" s="6"/>
      <c r="AV56" s="6"/>
      <c r="AW56" s="6"/>
      <c r="AX56" s="6"/>
      <c r="AY56" s="6"/>
      <c r="BL56"/>
      <c r="BM56"/>
      <c r="BN56"/>
      <c r="BO56"/>
      <c r="BP56"/>
    </row>
    <row r="57" spans="1:68" x14ac:dyDescent="0.25">
      <c r="A57"/>
      <c r="B57"/>
      <c r="C57"/>
      <c r="D57"/>
      <c r="E57"/>
      <c r="F57"/>
      <c r="G57"/>
      <c r="H57"/>
      <c r="I57"/>
      <c r="J57"/>
      <c r="K57"/>
      <c r="L57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"/>
      <c r="AT57" s="6"/>
      <c r="AU57" s="6"/>
      <c r="AV57" s="6"/>
      <c r="AW57" s="6"/>
      <c r="AX57" s="6"/>
      <c r="AY57" s="6"/>
      <c r="BL57"/>
      <c r="BM57"/>
      <c r="BN57"/>
      <c r="BO57"/>
      <c r="BP57"/>
    </row>
    <row r="58" spans="1:68" x14ac:dyDescent="0.25">
      <c r="A58"/>
      <c r="B58"/>
      <c r="C58"/>
      <c r="D58"/>
      <c r="E58"/>
      <c r="F58"/>
      <c r="G58"/>
      <c r="H58"/>
      <c r="I58"/>
      <c r="J58"/>
      <c r="K58"/>
      <c r="L58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"/>
      <c r="AT58" s="6"/>
      <c r="AU58" s="6"/>
      <c r="AV58" s="6"/>
      <c r="AW58" s="6"/>
      <c r="AX58" s="6"/>
      <c r="AY58" s="6"/>
      <c r="BL58"/>
      <c r="BM58"/>
      <c r="BN58"/>
      <c r="BO58"/>
      <c r="BP58"/>
    </row>
    <row r="59" spans="1:68" x14ac:dyDescent="0.25">
      <c r="A59"/>
      <c r="B59"/>
      <c r="C59"/>
      <c r="D59"/>
      <c r="E59"/>
      <c r="F59"/>
      <c r="G59"/>
      <c r="H59"/>
      <c r="I59"/>
      <c r="J59"/>
      <c r="K59"/>
      <c r="L59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"/>
      <c r="AT59" s="6"/>
      <c r="AU59" s="6"/>
      <c r="AV59" s="6"/>
      <c r="AW59" s="6"/>
      <c r="AX59" s="6"/>
      <c r="AY59" s="6"/>
      <c r="BL59"/>
      <c r="BM59"/>
      <c r="BN59"/>
      <c r="BO59"/>
      <c r="BP59"/>
    </row>
    <row r="60" spans="1:68" x14ac:dyDescent="0.25">
      <c r="A60"/>
      <c r="B60"/>
      <c r="C60"/>
      <c r="D60"/>
      <c r="E60"/>
      <c r="F60"/>
      <c r="G60"/>
      <c r="H60"/>
      <c r="I60"/>
      <c r="J60"/>
      <c r="K60"/>
      <c r="L60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"/>
      <c r="AT60" s="6"/>
      <c r="AU60" s="6"/>
      <c r="AV60" s="6"/>
      <c r="AW60" s="6"/>
      <c r="AX60" s="6"/>
      <c r="AY60" s="6"/>
      <c r="BL60"/>
      <c r="BM60"/>
      <c r="BN60"/>
      <c r="BO60"/>
      <c r="BP60"/>
    </row>
    <row r="61" spans="1:68" x14ac:dyDescent="0.25">
      <c r="A61"/>
      <c r="B61"/>
      <c r="C61"/>
      <c r="D61"/>
      <c r="E61"/>
      <c r="F61"/>
      <c r="G61"/>
      <c r="H61"/>
      <c r="I61"/>
      <c r="J61"/>
      <c r="K61"/>
      <c r="L61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"/>
      <c r="AT61" s="6"/>
      <c r="AU61" s="6"/>
      <c r="AV61" s="6"/>
      <c r="AW61" s="6"/>
      <c r="AX61" s="6"/>
      <c r="AY61" s="6"/>
      <c r="BL61"/>
      <c r="BM61"/>
      <c r="BN61"/>
      <c r="BO61"/>
      <c r="BP61"/>
    </row>
    <row r="62" spans="1:68" x14ac:dyDescent="0.25">
      <c r="A62"/>
      <c r="B62"/>
      <c r="C62"/>
      <c r="D62"/>
      <c r="E62"/>
      <c r="F62"/>
      <c r="G62"/>
      <c r="H62"/>
      <c r="I62"/>
      <c r="J62"/>
      <c r="K62"/>
      <c r="L62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"/>
      <c r="AT62" s="6"/>
      <c r="AU62" s="6"/>
      <c r="AV62" s="6"/>
      <c r="AW62" s="6"/>
      <c r="AX62" s="6"/>
      <c r="AY62" s="6"/>
      <c r="BL62"/>
      <c r="BM62"/>
      <c r="BN62"/>
      <c r="BO62"/>
      <c r="BP62"/>
    </row>
    <row r="63" spans="1:68" x14ac:dyDescent="0.25">
      <c r="A63"/>
      <c r="B63"/>
      <c r="C63"/>
      <c r="D63"/>
      <c r="E63"/>
      <c r="F63"/>
      <c r="G63"/>
      <c r="H63"/>
      <c r="I63"/>
      <c r="J63"/>
      <c r="K63"/>
      <c r="L63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"/>
      <c r="AT63" s="6"/>
      <c r="AU63" s="6"/>
      <c r="AV63" s="6"/>
      <c r="AW63" s="6"/>
      <c r="AX63" s="6"/>
      <c r="AY63" s="6"/>
      <c r="BL63"/>
      <c r="BM63"/>
      <c r="BN63"/>
      <c r="BO63"/>
      <c r="BP63"/>
    </row>
    <row r="64" spans="1:68" x14ac:dyDescent="0.25">
      <c r="A64"/>
      <c r="B64"/>
      <c r="C64"/>
      <c r="D64"/>
      <c r="E64"/>
      <c r="F64"/>
      <c r="G64"/>
      <c r="H64"/>
      <c r="I64"/>
      <c r="J64"/>
      <c r="K64"/>
      <c r="L64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"/>
      <c r="AT64" s="6"/>
      <c r="AU64" s="6"/>
      <c r="AV64" s="6"/>
      <c r="AW64" s="6"/>
      <c r="AX64" s="6"/>
      <c r="AY64" s="6"/>
      <c r="BL64"/>
      <c r="BM64"/>
      <c r="BN64"/>
      <c r="BO64"/>
      <c r="BP64"/>
    </row>
    <row r="65" spans="1:68" x14ac:dyDescent="0.25">
      <c r="A65"/>
      <c r="B65"/>
      <c r="C65"/>
      <c r="D65"/>
      <c r="E65"/>
      <c r="F65"/>
      <c r="G65"/>
      <c r="H65"/>
      <c r="I65"/>
      <c r="J65"/>
      <c r="K65"/>
      <c r="L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"/>
      <c r="AT65" s="6"/>
      <c r="AU65" s="6"/>
      <c r="AV65" s="6"/>
      <c r="AW65" s="6"/>
      <c r="AX65" s="6"/>
      <c r="AY65" s="6"/>
      <c r="BL65"/>
      <c r="BM65"/>
      <c r="BN65"/>
      <c r="BO65"/>
      <c r="BP65"/>
    </row>
    <row r="66" spans="1:68" x14ac:dyDescent="0.25">
      <c r="A66"/>
      <c r="B66"/>
      <c r="C66"/>
      <c r="D66"/>
      <c r="E66"/>
      <c r="F66"/>
      <c r="G66"/>
      <c r="H66"/>
      <c r="I66"/>
      <c r="J66"/>
      <c r="K66"/>
      <c r="L66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"/>
      <c r="AT66" s="6"/>
      <c r="AU66" s="6"/>
      <c r="AV66" s="6"/>
      <c r="AW66" s="6"/>
      <c r="AX66" s="6"/>
      <c r="AY66" s="6"/>
      <c r="BL66"/>
      <c r="BM66"/>
      <c r="BN66"/>
      <c r="BO66"/>
      <c r="BP66"/>
    </row>
    <row r="67" spans="1:68" x14ac:dyDescent="0.25">
      <c r="A67"/>
      <c r="B67"/>
      <c r="C67"/>
      <c r="D67"/>
      <c r="E67"/>
      <c r="F67"/>
      <c r="G67"/>
      <c r="H67"/>
      <c r="I67"/>
      <c r="J67"/>
      <c r="K67"/>
      <c r="L67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"/>
      <c r="AT67" s="6"/>
      <c r="AU67" s="6"/>
      <c r="AV67" s="6"/>
      <c r="AW67" s="6"/>
      <c r="AX67" s="6"/>
      <c r="AY67" s="6"/>
      <c r="BL67"/>
      <c r="BM67"/>
      <c r="BN67"/>
      <c r="BO67"/>
      <c r="BP67"/>
    </row>
    <row r="68" spans="1:68" x14ac:dyDescent="0.25">
      <c r="A68"/>
      <c r="B68"/>
      <c r="C68"/>
      <c r="D68"/>
      <c r="E68"/>
      <c r="F68"/>
      <c r="G68"/>
      <c r="H68"/>
      <c r="I68"/>
      <c r="J68"/>
      <c r="K68"/>
      <c r="L68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"/>
      <c r="AT68" s="6"/>
      <c r="AU68" s="6"/>
      <c r="AV68" s="6"/>
      <c r="AW68" s="6"/>
      <c r="AX68" s="6"/>
      <c r="AY68" s="6"/>
      <c r="BL68"/>
      <c r="BM68"/>
      <c r="BN68"/>
      <c r="BO68"/>
      <c r="BP68"/>
    </row>
    <row r="69" spans="1:68" x14ac:dyDescent="0.25">
      <c r="A69"/>
      <c r="B69"/>
      <c r="C69"/>
      <c r="D69"/>
      <c r="E69"/>
      <c r="F69"/>
      <c r="G69"/>
      <c r="H69"/>
      <c r="I69"/>
      <c r="J69"/>
      <c r="K69"/>
      <c r="L69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"/>
      <c r="AT69" s="6"/>
      <c r="AU69" s="6"/>
      <c r="AV69" s="6"/>
      <c r="AW69" s="6"/>
      <c r="AX69" s="6"/>
      <c r="AY69" s="6"/>
      <c r="BL69"/>
      <c r="BM69"/>
      <c r="BN69"/>
      <c r="BO69"/>
      <c r="BP69"/>
    </row>
    <row r="70" spans="1:68" x14ac:dyDescent="0.25">
      <c r="A70"/>
      <c r="B70"/>
      <c r="C70"/>
      <c r="D70"/>
      <c r="E70"/>
      <c r="F70"/>
      <c r="G70"/>
      <c r="H70"/>
      <c r="I70"/>
      <c r="J70"/>
      <c r="K70"/>
      <c r="L70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"/>
      <c r="AT70" s="6"/>
      <c r="AU70" s="6"/>
      <c r="AV70" s="6"/>
      <c r="AW70" s="6"/>
      <c r="AX70" s="6"/>
      <c r="AY70" s="6"/>
      <c r="BL70"/>
      <c r="BM70"/>
      <c r="BN70"/>
      <c r="BO70"/>
      <c r="BP70"/>
    </row>
    <row r="71" spans="1:68" x14ac:dyDescent="0.25">
      <c r="A71"/>
      <c r="B71"/>
      <c r="C71"/>
      <c r="D71"/>
      <c r="E71"/>
      <c r="F71"/>
      <c r="G71"/>
      <c r="H71"/>
      <c r="I71"/>
      <c r="J71"/>
      <c r="K71"/>
      <c r="L71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"/>
      <c r="AT71" s="6"/>
      <c r="AU71" s="6"/>
      <c r="AV71" s="6"/>
      <c r="AW71" s="6"/>
      <c r="AX71" s="6"/>
      <c r="AY71" s="6"/>
      <c r="BL71"/>
      <c r="BM71"/>
      <c r="BN71"/>
      <c r="BO71"/>
      <c r="BP71"/>
    </row>
    <row r="72" spans="1:68" x14ac:dyDescent="0.25">
      <c r="A72"/>
      <c r="B72"/>
      <c r="C72"/>
      <c r="D72"/>
      <c r="E72"/>
      <c r="F72"/>
      <c r="G72"/>
      <c r="H72"/>
      <c r="I72"/>
      <c r="J72"/>
      <c r="K72"/>
      <c r="L72"/>
      <c r="BL72"/>
      <c r="BM72"/>
      <c r="BN72"/>
      <c r="BO72"/>
      <c r="BP72"/>
    </row>
    <row r="73" spans="1:68" x14ac:dyDescent="0.25">
      <c r="A73"/>
      <c r="B73"/>
      <c r="C73"/>
      <c r="D73"/>
      <c r="E73"/>
      <c r="F73"/>
      <c r="G73"/>
      <c r="H73"/>
      <c r="I73"/>
      <c r="J73"/>
      <c r="K73"/>
      <c r="L73"/>
      <c r="BL73"/>
      <c r="BM73"/>
      <c r="BN73"/>
      <c r="BO73"/>
      <c r="BP73"/>
    </row>
    <row r="74" spans="1:68" x14ac:dyDescent="0.25">
      <c r="A74"/>
      <c r="B74"/>
      <c r="C74"/>
      <c r="D74"/>
      <c r="E74"/>
      <c r="F74"/>
      <c r="G74"/>
      <c r="H74"/>
      <c r="I74"/>
      <c r="J74"/>
      <c r="K74"/>
      <c r="L74"/>
      <c r="BL74"/>
      <c r="BM74"/>
      <c r="BN74"/>
      <c r="BO74"/>
      <c r="BP74"/>
    </row>
    <row r="75" spans="1:68" x14ac:dyDescent="0.25">
      <c r="A75"/>
      <c r="B75"/>
      <c r="C75"/>
      <c r="D75"/>
      <c r="E75"/>
      <c r="F75"/>
      <c r="G75"/>
      <c r="H75"/>
      <c r="I75"/>
      <c r="J75"/>
      <c r="K75"/>
      <c r="L75"/>
      <c r="BL75"/>
      <c r="BM75"/>
      <c r="BN75"/>
      <c r="BO75"/>
      <c r="BP75"/>
    </row>
    <row r="76" spans="1:68" x14ac:dyDescent="0.25">
      <c r="A76"/>
      <c r="B76"/>
      <c r="C76"/>
      <c r="D76"/>
      <c r="E76"/>
      <c r="F76"/>
      <c r="G76"/>
      <c r="H76"/>
      <c r="I76"/>
      <c r="J76"/>
      <c r="K76"/>
      <c r="L76"/>
      <c r="BL76"/>
      <c r="BM76"/>
      <c r="BN76"/>
      <c r="BO76"/>
      <c r="BP76"/>
    </row>
    <row r="77" spans="1:68" ht="16.5" x14ac:dyDescent="0.3">
      <c r="A77"/>
      <c r="B77"/>
      <c r="C77"/>
      <c r="D77"/>
      <c r="E77"/>
      <c r="F77"/>
      <c r="G77"/>
      <c r="H77"/>
      <c r="I77"/>
      <c r="J77"/>
      <c r="K77"/>
      <c r="L77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BL77"/>
      <c r="BM77"/>
      <c r="BN77"/>
      <c r="BO77"/>
      <c r="BP77"/>
    </row>
    <row r="78" spans="1:68" ht="16.5" x14ac:dyDescent="0.3">
      <c r="A78"/>
      <c r="B78"/>
      <c r="C78"/>
      <c r="D78"/>
      <c r="E78"/>
      <c r="F78"/>
      <c r="G78"/>
      <c r="H78"/>
      <c r="I78"/>
      <c r="J78"/>
      <c r="K78"/>
      <c r="L78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BL78"/>
      <c r="BM78"/>
      <c r="BN78"/>
      <c r="BO78"/>
      <c r="BP78"/>
    </row>
    <row r="79" spans="1:68" ht="16.5" x14ac:dyDescent="0.3">
      <c r="A79"/>
      <c r="B79"/>
      <c r="C79"/>
      <c r="D79"/>
      <c r="E79"/>
      <c r="F79"/>
      <c r="G79"/>
      <c r="H79"/>
      <c r="I79"/>
      <c r="J79"/>
      <c r="K79"/>
      <c r="L79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BL79"/>
      <c r="BM79"/>
      <c r="BN79"/>
      <c r="BO79"/>
      <c r="BP79"/>
    </row>
    <row r="80" spans="1:68" ht="16.5" x14ac:dyDescent="0.3">
      <c r="A80"/>
      <c r="B80"/>
      <c r="C80"/>
      <c r="D80"/>
      <c r="E80"/>
      <c r="F80"/>
      <c r="G80"/>
      <c r="H80"/>
      <c r="I80"/>
      <c r="J80"/>
      <c r="K80"/>
      <c r="L80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BL80"/>
      <c r="BM80"/>
      <c r="BN80"/>
      <c r="BO80"/>
      <c r="BP80"/>
    </row>
    <row r="81" spans="1:68" ht="16.5" x14ac:dyDescent="0.3">
      <c r="A81"/>
      <c r="B81"/>
      <c r="C81"/>
      <c r="D81"/>
      <c r="E81"/>
      <c r="F81"/>
      <c r="G81"/>
      <c r="H81"/>
      <c r="I81"/>
      <c r="J81"/>
      <c r="K81"/>
      <c r="L8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BL81"/>
      <c r="BM81"/>
      <c r="BN81"/>
      <c r="BO81"/>
      <c r="BP81"/>
    </row>
    <row r="82" spans="1:68" ht="16.5" x14ac:dyDescent="0.3">
      <c r="A82"/>
      <c r="B82"/>
      <c r="C82"/>
      <c r="D82"/>
      <c r="E82"/>
      <c r="F82"/>
      <c r="G82"/>
      <c r="H82"/>
      <c r="I82"/>
      <c r="J82"/>
      <c r="K82"/>
      <c r="L82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BL82"/>
      <c r="BM82"/>
      <c r="BN82"/>
      <c r="BO82"/>
      <c r="BP82"/>
    </row>
    <row r="83" spans="1:68" ht="16.5" x14ac:dyDescent="0.3">
      <c r="A83"/>
      <c r="B83"/>
      <c r="C83"/>
      <c r="D83"/>
      <c r="E83"/>
      <c r="F83"/>
      <c r="G83"/>
      <c r="H83"/>
      <c r="I83"/>
      <c r="J83"/>
      <c r="K83"/>
      <c r="L83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BL83"/>
      <c r="BM83"/>
      <c r="BN83"/>
      <c r="BO83"/>
      <c r="BP83"/>
    </row>
    <row r="84" spans="1:68" ht="16.5" x14ac:dyDescent="0.3">
      <c r="A84"/>
      <c r="B84"/>
      <c r="C84"/>
      <c r="D84"/>
      <c r="E84"/>
      <c r="F84"/>
      <c r="G84"/>
      <c r="H84"/>
      <c r="I84"/>
      <c r="J84"/>
      <c r="K84"/>
      <c r="L84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BL84"/>
      <c r="BM84"/>
      <c r="BN84"/>
      <c r="BO84"/>
      <c r="BP84"/>
    </row>
    <row r="85" spans="1:68" ht="16.5" x14ac:dyDescent="0.3">
      <c r="A85"/>
      <c r="B85"/>
      <c r="C85"/>
      <c r="D85"/>
      <c r="E85"/>
      <c r="F85"/>
      <c r="G85"/>
      <c r="H85"/>
      <c r="I85"/>
      <c r="J85"/>
      <c r="K85"/>
      <c r="L85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BL85"/>
      <c r="BM85"/>
      <c r="BN85"/>
      <c r="BO85"/>
      <c r="BP85"/>
    </row>
    <row r="86" spans="1:68" ht="16.5" x14ac:dyDescent="0.3">
      <c r="A86"/>
      <c r="B86"/>
      <c r="C86"/>
      <c r="D86"/>
      <c r="E86"/>
      <c r="F86"/>
      <c r="G86"/>
      <c r="H86"/>
      <c r="I86"/>
      <c r="J86"/>
      <c r="K86"/>
      <c r="L86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</row>
    <row r="87" spans="1:68" ht="16.5" x14ac:dyDescent="0.3">
      <c r="A87"/>
      <c r="B87"/>
      <c r="C87"/>
      <c r="D87"/>
      <c r="E87"/>
      <c r="F87"/>
      <c r="G87"/>
      <c r="H87"/>
      <c r="I87"/>
      <c r="J87"/>
      <c r="K87"/>
      <c r="L87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</row>
    <row r="88" spans="1:68" ht="16.5" x14ac:dyDescent="0.3">
      <c r="A88"/>
      <c r="B88"/>
      <c r="C88"/>
      <c r="D88"/>
      <c r="E88"/>
      <c r="F88"/>
      <c r="G88"/>
      <c r="H88"/>
      <c r="I88"/>
      <c r="J88"/>
      <c r="K88"/>
      <c r="L88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</row>
    <row r="89" spans="1:68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68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68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68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68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68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68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68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5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5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5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5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5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5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5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5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5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5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5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5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5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5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5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5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5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5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5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5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5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5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5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5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5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5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5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5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5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5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5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5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5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5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5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5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5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5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5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5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5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5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5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5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5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5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5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5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5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5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5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5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5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5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5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5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5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5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5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5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5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5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5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5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5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5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5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5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5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5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5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5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5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5">
      <c r="A298"/>
      <c r="B298"/>
      <c r="C298"/>
      <c r="D298"/>
      <c r="E298"/>
      <c r="F298"/>
      <c r="G298"/>
      <c r="H298"/>
      <c r="I298"/>
      <c r="J298"/>
      <c r="K298"/>
      <c r="L298"/>
    </row>
  </sheetData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S135"/>
  <sheetViews>
    <sheetView zoomScale="84" zoomScaleNormal="84" workbookViewId="0">
      <selection activeCell="C7" sqref="C7"/>
    </sheetView>
  </sheetViews>
  <sheetFormatPr defaultColWidth="9.140625" defaultRowHeight="13.5" x14ac:dyDescent="0.25"/>
  <cols>
    <col min="1" max="1" width="6.7109375" style="57" bestFit="1" customWidth="1"/>
    <col min="2" max="2" width="8.140625" style="89" bestFit="1" customWidth="1"/>
    <col min="3" max="3" width="12.140625" style="89" bestFit="1" customWidth="1"/>
    <col min="4" max="4" width="11.5703125" style="89" bestFit="1" customWidth="1"/>
    <col min="5" max="5" width="11.5703125" style="57" bestFit="1" customWidth="1"/>
    <col min="6" max="6" width="9.5703125" style="57" bestFit="1" customWidth="1"/>
    <col min="7" max="7" width="9.7109375" style="57" bestFit="1" customWidth="1"/>
    <col min="8" max="9" width="9.140625" style="57"/>
    <col min="10" max="10" width="9.140625" style="57" customWidth="1"/>
    <col min="11" max="11" width="14.5703125" style="57" bestFit="1" customWidth="1"/>
    <col min="12" max="16384" width="9.140625" style="57"/>
  </cols>
  <sheetData>
    <row r="1" spans="1:19" ht="18.75" x14ac:dyDescent="0.3">
      <c r="C1" s="97" t="s">
        <v>128</v>
      </c>
      <c r="D1" s="97" t="s">
        <v>51</v>
      </c>
      <c r="E1" s="97" t="s">
        <v>53</v>
      </c>
      <c r="F1" s="97" t="s">
        <v>74</v>
      </c>
      <c r="G1" s="97" t="s">
        <v>27</v>
      </c>
      <c r="I1" s="112" t="s">
        <v>88</v>
      </c>
      <c r="J1" s="111"/>
      <c r="K1" s="112" t="s">
        <v>89</v>
      </c>
      <c r="L1" s="112"/>
      <c r="M1" s="112"/>
      <c r="N1" s="112"/>
      <c r="O1" s="112"/>
      <c r="P1" s="111"/>
      <c r="Q1" s="112"/>
      <c r="R1" s="112"/>
      <c r="S1" s="113"/>
    </row>
    <row r="2" spans="1:19" ht="15" x14ac:dyDescent="0.25">
      <c r="C2" s="131">
        <v>4</v>
      </c>
      <c r="D2" s="98">
        <f>INTERCEPT($C$6:$C$29,$A$6:$A$29)</f>
        <v>34.44876811594203</v>
      </c>
      <c r="E2" s="98">
        <f>SLOPE($C$6:$C$29,$A$6:$A$29)</f>
        <v>1.1515217391304349</v>
      </c>
      <c r="F2" s="99">
        <f>RSQ($C$6:$C$76,$A$6:$A$76)</f>
        <v>0.91543364340941924</v>
      </c>
      <c r="G2" s="98">
        <f>STEYX($C$6:$C$76,$A$6:$A$76)</f>
        <v>2.5304344784125266</v>
      </c>
      <c r="I2" s="89" t="s">
        <v>77</v>
      </c>
      <c r="J2" s="89" t="s">
        <v>76</v>
      </c>
      <c r="K2" s="89" t="s">
        <v>78</v>
      </c>
      <c r="L2" s="57" t="s">
        <v>90</v>
      </c>
    </row>
    <row r="3" spans="1:19" x14ac:dyDescent="0.25">
      <c r="A3" s="100" t="str">
        <f>[2]ArdiData!A2</f>
        <v>Per.</v>
      </c>
      <c r="B3" s="78" t="str">
        <f>[2]ArdiData!D2</f>
        <v>Trend&amp;S</v>
      </c>
      <c r="C3" s="89" t="s">
        <v>73</v>
      </c>
      <c r="D3" s="57" t="s">
        <v>75</v>
      </c>
      <c r="E3" s="57" t="s">
        <v>76</v>
      </c>
      <c r="F3" s="57" t="s">
        <v>77</v>
      </c>
      <c r="G3" s="57" t="s">
        <v>79</v>
      </c>
      <c r="I3" s="89">
        <v>1</v>
      </c>
      <c r="J3" s="101">
        <f>AVERAGEIF($F$4:$F$31,I3,$E$4:$E$31)</f>
        <v>0.8269992824632828</v>
      </c>
      <c r="K3" s="89">
        <f>J3/$J$8</f>
        <v>0.82474657896645398</v>
      </c>
      <c r="L3" s="57" t="s">
        <v>91</v>
      </c>
    </row>
    <row r="4" spans="1:19" ht="15" x14ac:dyDescent="0.3">
      <c r="A4" s="100">
        <f>[2]ArdiData!A3</f>
        <v>1</v>
      </c>
      <c r="B4" s="102">
        <f>'0.ArdiData28Fixed'!D3</f>
        <v>33</v>
      </c>
      <c r="D4" s="103">
        <f>$D$2+$E$2*A4</f>
        <v>35.600289855072468</v>
      </c>
      <c r="E4" s="107">
        <f>B4/D4</f>
        <v>0.9269587448400517</v>
      </c>
      <c r="F4" s="130">
        <f>IF(MOD(A4,$C$2)&lt;&gt;0,MOD(A4,$C$2),$C$2)</f>
        <v>1</v>
      </c>
      <c r="G4" s="104">
        <f>VLOOKUP(F4,$I$3:$K$7,3)*D4</f>
        <v>29.361217268185175</v>
      </c>
      <c r="I4" s="89">
        <v>2</v>
      </c>
      <c r="J4" s="101">
        <f t="shared" ref="J4:J6" si="0">AVERAGEIF($F$4:$F$31,I4,$E$4:$E$31)</f>
        <v>1.0407759346705692</v>
      </c>
      <c r="K4" s="89">
        <f t="shared" ref="K4:K6" si="1">J4/$J$8</f>
        <v>1.0379409145718042</v>
      </c>
      <c r="L4" s="57" t="s">
        <v>92</v>
      </c>
    </row>
    <row r="5" spans="1:19" ht="15" x14ac:dyDescent="0.3">
      <c r="A5" s="100">
        <f>[2]ArdiData!A4</f>
        <v>2</v>
      </c>
      <c r="B5" s="102">
        <f>'0.ArdiData28Fixed'!D4</f>
        <v>35</v>
      </c>
      <c r="D5" s="103">
        <f t="shared" ref="D5:D31" si="2">$D$2+$E$2*A5</f>
        <v>36.751811594202898</v>
      </c>
      <c r="E5" s="107">
        <f t="shared" ref="E5:E31" si="3">B5/D5</f>
        <v>0.95233400699955639</v>
      </c>
      <c r="F5" s="130">
        <f t="shared" ref="F5:F31" si="4">IF(MOD(A5,$C$2)&lt;&gt;0,MOD(A5,$C$2),$C$2)</f>
        <v>2</v>
      </c>
      <c r="G5" s="104">
        <f t="shared" ref="G5:G31" si="5">VLOOKUP(F5,$I$3:$K$7,3)*D5</f>
        <v>38.146208938257594</v>
      </c>
      <c r="I5" s="89">
        <v>3</v>
      </c>
      <c r="J5" s="101">
        <f t="shared" si="0"/>
        <v>1.3244598779444963</v>
      </c>
      <c r="K5" s="89">
        <f t="shared" si="1"/>
        <v>1.3208521173796164</v>
      </c>
      <c r="L5" s="57" t="s">
        <v>93</v>
      </c>
    </row>
    <row r="6" spans="1:19" ht="15" x14ac:dyDescent="0.3">
      <c r="A6" s="100">
        <f>[2]ArdiData!A5</f>
        <v>3</v>
      </c>
      <c r="B6" s="102">
        <f>'0.ArdiData28Fixed'!D5</f>
        <v>48</v>
      </c>
      <c r="C6" s="105">
        <f>(AVERAGE(B4:B7)+AVERAGE(B5:B8))/2</f>
        <v>35</v>
      </c>
      <c r="D6" s="103">
        <f t="shared" si="2"/>
        <v>37.903333333333336</v>
      </c>
      <c r="E6" s="107">
        <f t="shared" si="3"/>
        <v>1.2663793861577697</v>
      </c>
      <c r="F6" s="130">
        <f t="shared" si="4"/>
        <v>3</v>
      </c>
      <c r="G6" s="104">
        <f t="shared" si="5"/>
        <v>50.064698089078732</v>
      </c>
      <c r="I6" s="89">
        <v>4</v>
      </c>
      <c r="J6" s="101">
        <f t="shared" si="0"/>
        <v>0.81869045977343069</v>
      </c>
      <c r="K6" s="89">
        <f t="shared" si="1"/>
        <v>0.81646038908212526</v>
      </c>
      <c r="L6" s="57" t="s">
        <v>94</v>
      </c>
    </row>
    <row r="7" spans="1:19" ht="15" x14ac:dyDescent="0.3">
      <c r="A7" s="100">
        <f>[2]ArdiData!A6</f>
        <v>4</v>
      </c>
      <c r="B7" s="102">
        <f>'0.ArdiData28Fixed'!D6</f>
        <v>28</v>
      </c>
      <c r="C7" s="105">
        <f t="shared" ref="C7:C28" si="6">(AVERAGE(B5:B8)+AVERAGE(B6:B9))/2</f>
        <v>36.25</v>
      </c>
      <c r="D7" s="103">
        <f t="shared" si="2"/>
        <v>39.054855072463766</v>
      </c>
      <c r="E7" s="107">
        <f t="shared" si="3"/>
        <v>0.71694031249246237</v>
      </c>
      <c r="F7" s="130">
        <f t="shared" si="4"/>
        <v>4</v>
      </c>
      <c r="G7" s="104">
        <f t="shared" si="5"/>
        <v>31.886742168009778</v>
      </c>
      <c r="I7" s="89"/>
      <c r="J7" s="101"/>
      <c r="K7" s="89"/>
      <c r="L7" s="57" t="s">
        <v>95</v>
      </c>
    </row>
    <row r="8" spans="1:19" ht="15" x14ac:dyDescent="0.3">
      <c r="A8" s="100">
        <f>[2]ArdiData!A7</f>
        <v>5</v>
      </c>
      <c r="B8" s="102">
        <f>'0.ArdiData28Fixed'!D7</f>
        <v>25</v>
      </c>
      <c r="C8" s="105">
        <f t="shared" si="6"/>
        <v>38.75</v>
      </c>
      <c r="D8" s="103">
        <f t="shared" si="2"/>
        <v>40.206376811594204</v>
      </c>
      <c r="E8" s="107">
        <f t="shared" si="3"/>
        <v>0.62179191418190205</v>
      </c>
      <c r="F8" s="130">
        <f t="shared" si="4"/>
        <v>1</v>
      </c>
      <c r="G8" s="104">
        <f t="shared" si="5"/>
        <v>33.160071727998485</v>
      </c>
      <c r="I8" s="89"/>
      <c r="J8" s="106">
        <f>AVERAGE(J3:J6)</f>
        <v>1.0027313887129448</v>
      </c>
      <c r="K8" s="106">
        <f>AVERAGE(K3:K7)</f>
        <v>0.99999999999999989</v>
      </c>
    </row>
    <row r="9" spans="1:19" ht="15" x14ac:dyDescent="0.3">
      <c r="A9" s="100">
        <f>[2]ArdiData!A8</f>
        <v>6</v>
      </c>
      <c r="B9" s="102">
        <f>'0.ArdiData28Fixed'!D8</f>
        <v>53</v>
      </c>
      <c r="C9" s="105">
        <f t="shared" si="6"/>
        <v>40.75</v>
      </c>
      <c r="D9" s="103">
        <f t="shared" si="2"/>
        <v>41.357898550724641</v>
      </c>
      <c r="E9" s="107">
        <f t="shared" si="3"/>
        <v>1.2814964458360125</v>
      </c>
      <c r="F9" s="130">
        <f t="shared" si="4"/>
        <v>2</v>
      </c>
      <c r="G9" s="104">
        <f t="shared" si="5"/>
        <v>42.927055046507029</v>
      </c>
    </row>
    <row r="10" spans="1:19" ht="15" x14ac:dyDescent="0.3">
      <c r="A10" s="100">
        <f>[2]ArdiData!A9</f>
        <v>7</v>
      </c>
      <c r="B10" s="102">
        <f>'0.ArdiData28Fixed'!D9</f>
        <v>50</v>
      </c>
      <c r="C10" s="105">
        <f t="shared" si="6"/>
        <v>44.375</v>
      </c>
      <c r="D10" s="103">
        <f t="shared" si="2"/>
        <v>42.509420289855072</v>
      </c>
      <c r="E10" s="107">
        <f t="shared" si="3"/>
        <v>1.1762098767536608</v>
      </c>
      <c r="F10" s="130">
        <f t="shared" si="4"/>
        <v>3</v>
      </c>
      <c r="G10" s="104">
        <f t="shared" si="5"/>
        <v>56.148657798435096</v>
      </c>
    </row>
    <row r="11" spans="1:19" ht="15" x14ac:dyDescent="0.3">
      <c r="A11" s="100">
        <f>[2]ArdiData!A10</f>
        <v>8</v>
      </c>
      <c r="B11" s="102">
        <f>'0.ArdiData28Fixed'!D10</f>
        <v>42</v>
      </c>
      <c r="C11" s="105">
        <f t="shared" si="6"/>
        <v>45.375</v>
      </c>
      <c r="D11" s="103">
        <f t="shared" si="2"/>
        <v>43.660942028985509</v>
      </c>
      <c r="E11" s="107">
        <f t="shared" si="3"/>
        <v>0.96195817241224779</v>
      </c>
      <c r="F11" s="130">
        <f t="shared" si="4"/>
        <v>4</v>
      </c>
      <c r="G11" s="104">
        <f t="shared" si="5"/>
        <v>35.647429716677621</v>
      </c>
    </row>
    <row r="12" spans="1:19" ht="15" x14ac:dyDescent="0.3">
      <c r="A12" s="100">
        <f>[2]ArdiData!A11</f>
        <v>9</v>
      </c>
      <c r="B12" s="102">
        <f>'0.ArdiData28Fixed'!D11</f>
        <v>40</v>
      </c>
      <c r="C12" s="105">
        <f t="shared" si="6"/>
        <v>47.25</v>
      </c>
      <c r="D12" s="103">
        <f t="shared" si="2"/>
        <v>44.812463768115947</v>
      </c>
      <c r="E12" s="107">
        <f t="shared" si="3"/>
        <v>0.89260881095450917</v>
      </c>
      <c r="F12" s="130">
        <f t="shared" si="4"/>
        <v>1</v>
      </c>
      <c r="G12" s="104">
        <f t="shared" si="5"/>
        <v>36.958926187811798</v>
      </c>
    </row>
    <row r="13" spans="1:19" ht="15" x14ac:dyDescent="0.3">
      <c r="A13" s="100">
        <f>[2]ArdiData!A12</f>
        <v>10</v>
      </c>
      <c r="B13" s="102">
        <f>'0.ArdiData28Fixed'!D12</f>
        <v>46</v>
      </c>
      <c r="C13" s="105">
        <f t="shared" si="6"/>
        <v>48.625</v>
      </c>
      <c r="D13" s="103">
        <f t="shared" si="2"/>
        <v>45.963985507246377</v>
      </c>
      <c r="E13" s="107">
        <f t="shared" si="3"/>
        <v>1.000783537205405</v>
      </c>
      <c r="F13" s="130">
        <f t="shared" si="4"/>
        <v>2</v>
      </c>
      <c r="G13" s="104">
        <f t="shared" si="5"/>
        <v>47.707901154756456</v>
      </c>
    </row>
    <row r="14" spans="1:19" ht="15" x14ac:dyDescent="0.3">
      <c r="A14" s="100">
        <f>[2]ArdiData!A13</f>
        <v>11</v>
      </c>
      <c r="B14" s="102">
        <f>'0.ArdiData28Fixed'!D13</f>
        <v>72</v>
      </c>
      <c r="C14" s="105">
        <f t="shared" si="6"/>
        <v>47.75</v>
      </c>
      <c r="D14" s="103">
        <f t="shared" si="2"/>
        <v>47.115507246376815</v>
      </c>
      <c r="E14" s="107">
        <f t="shared" si="3"/>
        <v>1.5281592878433206</v>
      </c>
      <c r="F14" s="130">
        <f t="shared" si="4"/>
        <v>3</v>
      </c>
      <c r="G14" s="104">
        <f t="shared" si="5"/>
        <v>62.232617507791474</v>
      </c>
    </row>
    <row r="15" spans="1:19" ht="15" x14ac:dyDescent="0.3">
      <c r="A15" s="100">
        <f>[2]ArdiData!A14</f>
        <v>12</v>
      </c>
      <c r="B15" s="102">
        <f>'0.ArdiData28Fixed'!D14</f>
        <v>31</v>
      </c>
      <c r="C15" s="105">
        <f t="shared" si="6"/>
        <v>47.375</v>
      </c>
      <c r="D15" s="103">
        <f t="shared" si="2"/>
        <v>48.267028985507253</v>
      </c>
      <c r="E15" s="107">
        <f t="shared" si="3"/>
        <v>0.64226037217472232</v>
      </c>
      <c r="F15" s="130">
        <f t="shared" si="4"/>
        <v>4</v>
      </c>
      <c r="G15" s="104">
        <f t="shared" si="5"/>
        <v>39.408117265345467</v>
      </c>
    </row>
    <row r="16" spans="1:19" ht="15" x14ac:dyDescent="0.3">
      <c r="A16" s="100">
        <f>[2]ArdiData!A15</f>
        <v>13</v>
      </c>
      <c r="B16" s="102">
        <f>'0.ArdiData28Fixed'!D15</f>
        <v>44</v>
      </c>
      <c r="C16" s="105">
        <f t="shared" si="6"/>
        <v>46.5</v>
      </c>
      <c r="D16" s="103">
        <f t="shared" si="2"/>
        <v>49.418550724637683</v>
      </c>
      <c r="E16" s="107">
        <f t="shared" si="3"/>
        <v>0.89035391274766262</v>
      </c>
      <c r="F16" s="130">
        <f t="shared" si="4"/>
        <v>1</v>
      </c>
      <c r="G16" s="104">
        <f t="shared" si="5"/>
        <v>40.757780647625104</v>
      </c>
    </row>
    <row r="17" spans="1:11" ht="15" x14ac:dyDescent="0.3">
      <c r="A17" s="100">
        <f>[2]ArdiData!A16</f>
        <v>14</v>
      </c>
      <c r="B17" s="102">
        <f>'0.ArdiData28Fixed'!D16</f>
        <v>39</v>
      </c>
      <c r="C17" s="105">
        <f t="shared" si="6"/>
        <v>49</v>
      </c>
      <c r="D17" s="103">
        <f t="shared" si="2"/>
        <v>50.57007246376812</v>
      </c>
      <c r="E17" s="107">
        <f t="shared" si="3"/>
        <v>0.77120712112766465</v>
      </c>
      <c r="F17" s="130">
        <f t="shared" si="4"/>
        <v>2</v>
      </c>
      <c r="G17" s="104">
        <f t="shared" si="5"/>
        <v>52.488747263005891</v>
      </c>
    </row>
    <row r="18" spans="1:11" ht="15" x14ac:dyDescent="0.3">
      <c r="A18" s="100">
        <f>[2]ArdiData!A17</f>
        <v>15</v>
      </c>
      <c r="B18" s="102">
        <f>'0.ArdiData28Fixed'!D17</f>
        <v>72</v>
      </c>
      <c r="C18" s="105">
        <f t="shared" si="6"/>
        <v>51.125</v>
      </c>
      <c r="D18" s="103">
        <f t="shared" si="2"/>
        <v>51.721594202898558</v>
      </c>
      <c r="E18" s="107">
        <f t="shared" si="3"/>
        <v>1.3920684601783795</v>
      </c>
      <c r="F18" s="130">
        <f t="shared" si="4"/>
        <v>3</v>
      </c>
      <c r="G18" s="104">
        <f t="shared" si="5"/>
        <v>68.316577217147852</v>
      </c>
    </row>
    <row r="19" spans="1:11" ht="15" x14ac:dyDescent="0.3">
      <c r="A19" s="100">
        <f>[2]ArdiData!A18</f>
        <v>16</v>
      </c>
      <c r="B19" s="102">
        <f>'0.ArdiData28Fixed'!D18</f>
        <v>51</v>
      </c>
      <c r="C19" s="105">
        <f t="shared" si="6"/>
        <v>54</v>
      </c>
      <c r="D19" s="103">
        <f t="shared" si="2"/>
        <v>52.873115942028988</v>
      </c>
      <c r="E19" s="107">
        <f t="shared" si="3"/>
        <v>0.96457337706212165</v>
      </c>
      <c r="F19" s="130">
        <f t="shared" si="4"/>
        <v>4</v>
      </c>
      <c r="G19" s="104">
        <f t="shared" si="5"/>
        <v>43.168804814013306</v>
      </c>
    </row>
    <row r="20" spans="1:11" ht="15" x14ac:dyDescent="0.3">
      <c r="A20" s="100">
        <f>[2]ArdiData!A19</f>
        <v>17</v>
      </c>
      <c r="B20" s="102">
        <f>'0.ArdiData28Fixed'!D19</f>
        <v>41</v>
      </c>
      <c r="C20" s="105">
        <f t="shared" si="6"/>
        <v>56.625</v>
      </c>
      <c r="D20" s="103">
        <f t="shared" si="2"/>
        <v>54.024637681159419</v>
      </c>
      <c r="E20" s="107">
        <f t="shared" si="3"/>
        <v>0.75891300265579309</v>
      </c>
      <c r="F20" s="130">
        <f t="shared" si="4"/>
        <v>1</v>
      </c>
      <c r="G20" s="104">
        <f t="shared" si="5"/>
        <v>44.55663510743841</v>
      </c>
    </row>
    <row r="21" spans="1:11" ht="15" x14ac:dyDescent="0.3">
      <c r="A21" s="100">
        <f>[2]ArdiData!A20</f>
        <v>18</v>
      </c>
      <c r="B21" s="102">
        <f>'0.ArdiData28Fixed'!D20</f>
        <v>65</v>
      </c>
      <c r="C21" s="105">
        <f t="shared" si="6"/>
        <v>56</v>
      </c>
      <c r="D21" s="103">
        <f t="shared" si="2"/>
        <v>55.176159420289856</v>
      </c>
      <c r="E21" s="107">
        <f t="shared" si="3"/>
        <v>1.1780450231209394</v>
      </c>
      <c r="F21" s="130">
        <f t="shared" si="4"/>
        <v>2</v>
      </c>
      <c r="G21" s="104">
        <f t="shared" si="5"/>
        <v>57.269593371255318</v>
      </c>
    </row>
    <row r="22" spans="1:11" ht="15" x14ac:dyDescent="0.3">
      <c r="A22" s="100">
        <f>[2]ArdiData!A21</f>
        <v>19</v>
      </c>
      <c r="B22" s="102">
        <f>'0.ArdiData28Fixed'!D21</f>
        <v>67</v>
      </c>
      <c r="C22" s="105">
        <f t="shared" si="6"/>
        <v>57.875</v>
      </c>
      <c r="D22" s="103">
        <f t="shared" si="2"/>
        <v>56.327681159420294</v>
      </c>
      <c r="E22" s="107">
        <f t="shared" si="3"/>
        <v>1.1894684570872815</v>
      </c>
      <c r="F22" s="130">
        <f t="shared" si="4"/>
        <v>3</v>
      </c>
      <c r="G22" s="104">
        <f t="shared" si="5"/>
        <v>74.400536926504216</v>
      </c>
    </row>
    <row r="23" spans="1:11" ht="15" x14ac:dyDescent="0.3">
      <c r="A23" s="100">
        <f>[2]ArdiData!A22</f>
        <v>20</v>
      </c>
      <c r="B23" s="102">
        <f>'0.ArdiData28Fixed'!D22</f>
        <v>51</v>
      </c>
      <c r="C23" s="105">
        <f t="shared" si="6"/>
        <v>60.25</v>
      </c>
      <c r="D23" s="103">
        <f t="shared" si="2"/>
        <v>57.479202898550724</v>
      </c>
      <c r="E23" s="107">
        <f t="shared" si="3"/>
        <v>0.88727743998144259</v>
      </c>
      <c r="F23" s="130">
        <f t="shared" si="4"/>
        <v>4</v>
      </c>
      <c r="G23" s="104">
        <f t="shared" si="5"/>
        <v>46.929492362681145</v>
      </c>
    </row>
    <row r="24" spans="1:11" ht="15" x14ac:dyDescent="0.3">
      <c r="A24" s="100">
        <f>[2]ArdiData!A23</f>
        <v>21</v>
      </c>
      <c r="B24" s="102">
        <f>'0.ArdiData28Fixed'!D23</f>
        <v>56</v>
      </c>
      <c r="C24" s="105">
        <f t="shared" si="6"/>
        <v>62.625</v>
      </c>
      <c r="D24" s="103">
        <f t="shared" si="2"/>
        <v>58.630724637681162</v>
      </c>
      <c r="E24" s="107">
        <f t="shared" si="3"/>
        <v>0.9551306136170381</v>
      </c>
      <c r="F24" s="130">
        <f t="shared" si="4"/>
        <v>1</v>
      </c>
      <c r="G24" s="104">
        <f t="shared" si="5"/>
        <v>48.355489567251723</v>
      </c>
    </row>
    <row r="25" spans="1:11" ht="15" x14ac:dyDescent="0.3">
      <c r="A25" s="100">
        <f>[2]ArdiData!A24</f>
        <v>22</v>
      </c>
      <c r="B25" s="102">
        <f>'0.ArdiData28Fixed'!D24</f>
        <v>69</v>
      </c>
      <c r="C25" s="105">
        <f t="shared" si="6"/>
        <v>63</v>
      </c>
      <c r="D25" s="103">
        <f t="shared" si="2"/>
        <v>59.782246376811599</v>
      </c>
      <c r="E25" s="107">
        <f t="shared" si="3"/>
        <v>1.1541888132655349</v>
      </c>
      <c r="F25" s="130">
        <f t="shared" si="4"/>
        <v>2</v>
      </c>
      <c r="G25" s="104">
        <f t="shared" si="5"/>
        <v>62.050439479504753</v>
      </c>
    </row>
    <row r="26" spans="1:11" ht="15" x14ac:dyDescent="0.3">
      <c r="A26" s="100">
        <f>[2]ArdiData!A25</f>
        <v>23</v>
      </c>
      <c r="B26" s="102">
        <f>'0.ArdiData28Fixed'!D25</f>
        <v>82</v>
      </c>
      <c r="C26" s="105">
        <f t="shared" si="6"/>
        <v>60.375</v>
      </c>
      <c r="D26" s="103">
        <f t="shared" si="2"/>
        <v>60.93376811594203</v>
      </c>
      <c r="E26" s="107">
        <f t="shared" si="3"/>
        <v>1.3457234393247122</v>
      </c>
      <c r="F26" s="130">
        <f t="shared" si="4"/>
        <v>3</v>
      </c>
      <c r="G26" s="104">
        <f t="shared" si="5"/>
        <v>80.484496635860594</v>
      </c>
    </row>
    <row r="27" spans="1:11" ht="15" x14ac:dyDescent="0.3">
      <c r="A27" s="100">
        <f>[2]ArdiData!A26</f>
        <v>24</v>
      </c>
      <c r="B27" s="102">
        <f>'0.ArdiData28Fixed'!D26</f>
        <v>39</v>
      </c>
      <c r="C27" s="105">
        <f t="shared" si="6"/>
        <v>58.25</v>
      </c>
      <c r="D27" s="103">
        <f t="shared" si="2"/>
        <v>62.085289855072467</v>
      </c>
      <c r="E27" s="107">
        <f t="shared" si="3"/>
        <v>0.62816812309387382</v>
      </c>
      <c r="F27" s="130">
        <f t="shared" si="4"/>
        <v>4</v>
      </c>
      <c r="G27" s="104">
        <f t="shared" si="5"/>
        <v>50.690179911348991</v>
      </c>
    </row>
    <row r="28" spans="1:11" ht="15" x14ac:dyDescent="0.3">
      <c r="A28" s="100">
        <f>[2]ArdiData!A27</f>
        <v>25</v>
      </c>
      <c r="B28" s="102">
        <f>'0.ArdiData28Fixed'!D27</f>
        <v>47</v>
      </c>
      <c r="C28" s="105">
        <f t="shared" si="6"/>
        <v>58.25</v>
      </c>
      <c r="D28" s="103">
        <f t="shared" si="2"/>
        <v>63.236811594202905</v>
      </c>
      <c r="E28" s="107">
        <f t="shared" si="3"/>
        <v>0.74323797824602245</v>
      </c>
      <c r="F28" s="130">
        <f t="shared" si="4"/>
        <v>1</v>
      </c>
      <c r="G28" s="104">
        <f t="shared" si="5"/>
        <v>52.154344027065036</v>
      </c>
    </row>
    <row r="29" spans="1:11" ht="15" x14ac:dyDescent="0.3">
      <c r="A29" s="100">
        <f>[2]ArdiData!A28</f>
        <v>26</v>
      </c>
      <c r="B29" s="102">
        <f>'0.ArdiData28Fixed'!D28</f>
        <v>61</v>
      </c>
      <c r="C29" s="105">
        <f>(AVERAGE(B27:B30)+AVERAGE(B28:B31))/2</f>
        <v>62.125</v>
      </c>
      <c r="D29" s="103">
        <f t="shared" si="2"/>
        <v>64.388333333333335</v>
      </c>
      <c r="E29" s="107">
        <f t="shared" si="3"/>
        <v>0.94737659513887085</v>
      </c>
      <c r="F29" s="130">
        <f t="shared" si="4"/>
        <v>2</v>
      </c>
      <c r="G29" s="104">
        <f t="shared" si="5"/>
        <v>66.831285587754181</v>
      </c>
    </row>
    <row r="30" spans="1:11" ht="15.75" x14ac:dyDescent="0.3">
      <c r="A30" s="100">
        <f>[2]ArdiData!A29</f>
        <v>27</v>
      </c>
      <c r="B30" s="102">
        <f>'0.ArdiData28Fixed'!D29</f>
        <v>90</v>
      </c>
      <c r="C30"/>
      <c r="D30" s="103">
        <f t="shared" si="2"/>
        <v>65.53985507246378</v>
      </c>
      <c r="E30" s="107">
        <f t="shared" si="3"/>
        <v>1.3732102382663494</v>
      </c>
      <c r="F30" s="130">
        <f t="shared" si="4"/>
        <v>3</v>
      </c>
      <c r="G30" s="104">
        <f t="shared" si="5"/>
        <v>86.568456345216973</v>
      </c>
    </row>
    <row r="31" spans="1:11" ht="15.75" x14ac:dyDescent="0.3">
      <c r="A31" s="100">
        <f>[2]ArdiData!A30</f>
        <v>28</v>
      </c>
      <c r="B31" s="102">
        <f>'0.ArdiData28Fixed'!D30</f>
        <v>62</v>
      </c>
      <c r="C31"/>
      <c r="D31" s="103">
        <f t="shared" si="2"/>
        <v>66.69137681159421</v>
      </c>
      <c r="E31" s="107">
        <f t="shared" si="3"/>
        <v>0.92965542119714317</v>
      </c>
      <c r="F31" s="130">
        <f t="shared" si="4"/>
        <v>4</v>
      </c>
      <c r="G31" s="104">
        <f t="shared" si="5"/>
        <v>54.450867460016838</v>
      </c>
    </row>
    <row r="32" spans="1:11" ht="15" x14ac:dyDescent="0.25">
      <c r="A32"/>
      <c r="B32"/>
      <c r="C32"/>
      <c r="D32"/>
      <c r="E32"/>
      <c r="F32"/>
      <c r="G32"/>
      <c r="H32"/>
      <c r="I32"/>
      <c r="J32"/>
      <c r="K32"/>
    </row>
    <row r="33" spans="1:11" ht="15" x14ac:dyDescent="0.25">
      <c r="A33"/>
      <c r="B33"/>
      <c r="C33"/>
      <c r="D33"/>
      <c r="E33"/>
      <c r="F33"/>
      <c r="G33"/>
      <c r="H33"/>
      <c r="I33"/>
      <c r="J33"/>
      <c r="K33"/>
    </row>
    <row r="34" spans="1:11" ht="15" x14ac:dyDescent="0.25">
      <c r="A34"/>
      <c r="B34"/>
      <c r="C34"/>
      <c r="D34"/>
      <c r="E34"/>
      <c r="F34"/>
      <c r="G34"/>
      <c r="H34"/>
      <c r="I34"/>
      <c r="J34"/>
      <c r="K34"/>
    </row>
    <row r="35" spans="1:11" ht="15" x14ac:dyDescent="0.25">
      <c r="A35"/>
      <c r="B35"/>
      <c r="C35"/>
      <c r="D35"/>
      <c r="E35"/>
      <c r="F35"/>
      <c r="G35"/>
      <c r="H35"/>
      <c r="I35"/>
      <c r="J35"/>
      <c r="K35"/>
    </row>
    <row r="36" spans="1:11" ht="15" x14ac:dyDescent="0.25">
      <c r="A36"/>
      <c r="B36"/>
      <c r="C36"/>
      <c r="D36"/>
      <c r="E36"/>
      <c r="F36"/>
      <c r="G36"/>
      <c r="H36"/>
      <c r="I36"/>
      <c r="J36"/>
      <c r="K36"/>
    </row>
    <row r="37" spans="1:11" ht="15" x14ac:dyDescent="0.25">
      <c r="A37"/>
      <c r="B37"/>
      <c r="C37"/>
      <c r="D37"/>
      <c r="E37"/>
      <c r="F37"/>
      <c r="G37"/>
      <c r="H37"/>
      <c r="I37"/>
      <c r="J37"/>
      <c r="K37"/>
    </row>
    <row r="38" spans="1:11" ht="15" x14ac:dyDescent="0.25">
      <c r="A38"/>
      <c r="B38"/>
      <c r="C38"/>
      <c r="D38"/>
      <c r="E38"/>
      <c r="F38"/>
      <c r="G38"/>
      <c r="H38"/>
      <c r="I38"/>
      <c r="J38"/>
      <c r="K38"/>
    </row>
    <row r="39" spans="1:11" ht="15" x14ac:dyDescent="0.25">
      <c r="A39"/>
      <c r="B39"/>
      <c r="C39"/>
      <c r="D39"/>
      <c r="E39"/>
      <c r="F39"/>
      <c r="G39"/>
      <c r="H39"/>
      <c r="I39"/>
      <c r="J39"/>
      <c r="K39"/>
    </row>
    <row r="40" spans="1:11" ht="15" x14ac:dyDescent="0.25">
      <c r="A40"/>
      <c r="B40"/>
      <c r="C40"/>
      <c r="D40"/>
      <c r="E40"/>
      <c r="F40"/>
      <c r="G40"/>
      <c r="H40"/>
      <c r="I40"/>
      <c r="J40"/>
      <c r="K40"/>
    </row>
    <row r="41" spans="1:11" ht="15" x14ac:dyDescent="0.25">
      <c r="A41"/>
      <c r="B41"/>
      <c r="C41"/>
      <c r="D41"/>
      <c r="E41"/>
      <c r="F41"/>
      <c r="G41"/>
      <c r="H41"/>
      <c r="I41"/>
      <c r="J41"/>
      <c r="K41"/>
    </row>
    <row r="42" spans="1:11" ht="15" x14ac:dyDescent="0.25">
      <c r="A42"/>
      <c r="B42"/>
      <c r="C42"/>
      <c r="D42"/>
      <c r="E42"/>
      <c r="F42"/>
      <c r="G42"/>
      <c r="H42"/>
      <c r="I42"/>
      <c r="J42"/>
      <c r="K42"/>
    </row>
    <row r="43" spans="1:11" ht="15" x14ac:dyDescent="0.25">
      <c r="A43"/>
      <c r="B43"/>
      <c r="C43"/>
      <c r="D43"/>
      <c r="E43"/>
      <c r="F43"/>
      <c r="G43"/>
      <c r="H43"/>
      <c r="I43"/>
      <c r="J43"/>
      <c r="K43"/>
    </row>
    <row r="44" spans="1:11" ht="15" x14ac:dyDescent="0.25">
      <c r="A44"/>
      <c r="B44"/>
      <c r="C44"/>
      <c r="D44"/>
      <c r="E44"/>
      <c r="F44"/>
      <c r="G44"/>
      <c r="H44"/>
      <c r="I44"/>
      <c r="J44"/>
      <c r="K44"/>
    </row>
    <row r="45" spans="1:11" ht="15" x14ac:dyDescent="0.25">
      <c r="A45"/>
      <c r="B45"/>
      <c r="C45"/>
      <c r="D45"/>
      <c r="E45"/>
      <c r="F45"/>
      <c r="G45"/>
      <c r="H45"/>
      <c r="I45"/>
      <c r="J45"/>
      <c r="K45"/>
    </row>
    <row r="46" spans="1:11" ht="15" x14ac:dyDescent="0.25">
      <c r="A46"/>
      <c r="B46"/>
      <c r="C46"/>
      <c r="D46"/>
      <c r="E46"/>
      <c r="F46"/>
      <c r="G46"/>
      <c r="H46"/>
      <c r="I46"/>
      <c r="J46"/>
      <c r="K46"/>
    </row>
    <row r="47" spans="1:11" ht="15" x14ac:dyDescent="0.25">
      <c r="A47"/>
      <c r="B47"/>
      <c r="C47"/>
      <c r="D47"/>
      <c r="E47"/>
      <c r="F47"/>
      <c r="G47"/>
      <c r="H47"/>
      <c r="I47"/>
      <c r="J47"/>
      <c r="K47"/>
    </row>
    <row r="48" spans="1:11" ht="15" x14ac:dyDescent="0.25">
      <c r="A48"/>
      <c r="B48"/>
      <c r="C48"/>
      <c r="D48"/>
      <c r="E48"/>
      <c r="F48"/>
      <c r="G48"/>
      <c r="H48"/>
      <c r="I48"/>
      <c r="J48"/>
      <c r="K48"/>
    </row>
    <row r="49" spans="1:11" ht="15" x14ac:dyDescent="0.25">
      <c r="A49"/>
      <c r="B49"/>
      <c r="C49"/>
      <c r="D49"/>
      <c r="E49"/>
      <c r="F49"/>
      <c r="G49"/>
      <c r="H49"/>
      <c r="I49"/>
      <c r="J49"/>
      <c r="K49"/>
    </row>
    <row r="50" spans="1:11" ht="15" x14ac:dyDescent="0.25">
      <c r="A50"/>
      <c r="B50"/>
      <c r="C50"/>
      <c r="D50"/>
      <c r="E50"/>
      <c r="F50"/>
      <c r="G50"/>
      <c r="H50"/>
      <c r="I50"/>
      <c r="J50"/>
      <c r="K50"/>
    </row>
    <row r="51" spans="1:11" ht="15" x14ac:dyDescent="0.25">
      <c r="A51"/>
      <c r="B51"/>
      <c r="C51"/>
      <c r="D51"/>
      <c r="E51"/>
      <c r="F51"/>
      <c r="G51"/>
      <c r="H51"/>
      <c r="I51"/>
      <c r="J51"/>
      <c r="K51"/>
    </row>
    <row r="52" spans="1:11" ht="15" x14ac:dyDescent="0.25">
      <c r="A52"/>
      <c r="B52"/>
      <c r="C52"/>
      <c r="D52"/>
      <c r="E52"/>
      <c r="F52"/>
      <c r="G52"/>
      <c r="H52"/>
      <c r="I52"/>
      <c r="J52"/>
      <c r="K52"/>
    </row>
    <row r="53" spans="1:11" ht="15" x14ac:dyDescent="0.25">
      <c r="A53"/>
      <c r="B53"/>
      <c r="C53"/>
      <c r="D53"/>
      <c r="E53"/>
      <c r="F53"/>
      <c r="G53"/>
      <c r="H53"/>
      <c r="I53"/>
      <c r="J53"/>
      <c r="K53"/>
    </row>
    <row r="54" spans="1:11" ht="15" x14ac:dyDescent="0.25">
      <c r="A54"/>
      <c r="B54"/>
      <c r="C54"/>
      <c r="D54"/>
      <c r="E54"/>
      <c r="F54"/>
      <c r="G54"/>
      <c r="H54"/>
      <c r="I54"/>
      <c r="J54"/>
      <c r="K54"/>
    </row>
    <row r="55" spans="1:11" ht="15" x14ac:dyDescent="0.25">
      <c r="A55"/>
      <c r="B55"/>
      <c r="C55"/>
      <c r="D55"/>
      <c r="E55"/>
      <c r="F55"/>
      <c r="G55"/>
      <c r="H55"/>
      <c r="I55"/>
      <c r="J55"/>
      <c r="K55"/>
    </row>
    <row r="56" spans="1:11" ht="15" x14ac:dyDescent="0.25">
      <c r="A56"/>
      <c r="B56"/>
      <c r="C56"/>
      <c r="D56"/>
      <c r="E56"/>
      <c r="F56"/>
      <c r="G56"/>
      <c r="H56"/>
      <c r="I56"/>
      <c r="J56"/>
      <c r="K56"/>
    </row>
    <row r="57" spans="1:11" ht="15" x14ac:dyDescent="0.25">
      <c r="A57"/>
      <c r="B57"/>
      <c r="C57"/>
      <c r="D57"/>
      <c r="E57"/>
      <c r="F57"/>
      <c r="G57"/>
      <c r="H57"/>
      <c r="I57"/>
      <c r="J57"/>
      <c r="K57"/>
    </row>
    <row r="58" spans="1:11" ht="15" x14ac:dyDescent="0.25">
      <c r="A58"/>
      <c r="B58"/>
      <c r="C58"/>
      <c r="D58"/>
      <c r="E58"/>
      <c r="F58"/>
      <c r="G58"/>
      <c r="H58"/>
      <c r="I58"/>
      <c r="J58"/>
      <c r="K58"/>
    </row>
    <row r="59" spans="1:11" ht="15" x14ac:dyDescent="0.25">
      <c r="A59"/>
      <c r="B59"/>
      <c r="C59"/>
      <c r="D59"/>
      <c r="E59"/>
      <c r="F59"/>
      <c r="G59"/>
      <c r="H59"/>
      <c r="I59"/>
      <c r="J59"/>
      <c r="K59"/>
    </row>
    <row r="60" spans="1:11" ht="15" x14ac:dyDescent="0.25">
      <c r="A60"/>
      <c r="B60"/>
      <c r="C60"/>
      <c r="D60"/>
      <c r="E60"/>
      <c r="F60"/>
      <c r="G60"/>
      <c r="H60"/>
      <c r="I60"/>
      <c r="J60"/>
      <c r="K60"/>
    </row>
    <row r="61" spans="1:11" ht="15" x14ac:dyDescent="0.25">
      <c r="A61"/>
      <c r="B61"/>
      <c r="C61"/>
      <c r="D61"/>
      <c r="E61"/>
      <c r="F61"/>
      <c r="G61"/>
      <c r="H61"/>
      <c r="I61"/>
      <c r="J61"/>
      <c r="K61"/>
    </row>
    <row r="62" spans="1:11" ht="15" x14ac:dyDescent="0.25">
      <c r="A62"/>
      <c r="B62"/>
      <c r="C62"/>
      <c r="D62"/>
      <c r="E62"/>
      <c r="F62"/>
      <c r="G62"/>
      <c r="H62"/>
      <c r="I62"/>
      <c r="J62"/>
      <c r="K62"/>
    </row>
    <row r="63" spans="1:11" ht="15" x14ac:dyDescent="0.25">
      <c r="A63"/>
      <c r="B63"/>
      <c r="C63"/>
      <c r="D63"/>
      <c r="E63"/>
      <c r="F63"/>
      <c r="G63"/>
      <c r="H63"/>
      <c r="I63"/>
      <c r="J63"/>
      <c r="K63"/>
    </row>
    <row r="64" spans="1:11" ht="15" x14ac:dyDescent="0.25">
      <c r="A64"/>
      <c r="B64"/>
      <c r="C64"/>
      <c r="D64"/>
      <c r="E64"/>
      <c r="F64"/>
      <c r="G64"/>
      <c r="H64"/>
      <c r="I64"/>
      <c r="J64"/>
      <c r="K64"/>
    </row>
    <row r="65" spans="1:11" ht="15" x14ac:dyDescent="0.25">
      <c r="A65"/>
      <c r="B65"/>
      <c r="C65"/>
      <c r="D65"/>
      <c r="E65"/>
      <c r="F65"/>
      <c r="G65"/>
      <c r="H65"/>
      <c r="I65"/>
      <c r="J65"/>
      <c r="K65"/>
    </row>
    <row r="66" spans="1:11" ht="15" x14ac:dyDescent="0.25">
      <c r="A66"/>
      <c r="B66"/>
      <c r="C66"/>
      <c r="D66"/>
      <c r="E66"/>
      <c r="F66"/>
      <c r="G66"/>
      <c r="H66"/>
      <c r="I66"/>
      <c r="J66"/>
      <c r="K66"/>
    </row>
    <row r="67" spans="1:11" ht="15" x14ac:dyDescent="0.25">
      <c r="A67"/>
      <c r="B67"/>
      <c r="C67"/>
      <c r="D67"/>
      <c r="E67"/>
      <c r="F67"/>
      <c r="G67"/>
      <c r="H67"/>
      <c r="I67"/>
      <c r="J67"/>
      <c r="K67"/>
    </row>
    <row r="68" spans="1:11" ht="15" x14ac:dyDescent="0.25">
      <c r="A68"/>
      <c r="B68"/>
      <c r="C68"/>
      <c r="D68"/>
      <c r="E68"/>
      <c r="F68"/>
      <c r="G68"/>
      <c r="H68"/>
      <c r="I68"/>
      <c r="J68"/>
      <c r="K68"/>
    </row>
    <row r="69" spans="1:11" ht="15" x14ac:dyDescent="0.25">
      <c r="A69"/>
      <c r="B69"/>
      <c r="C69"/>
      <c r="D69"/>
      <c r="E69"/>
      <c r="F69"/>
      <c r="G69"/>
      <c r="H69"/>
      <c r="I69"/>
      <c r="J69"/>
      <c r="K69"/>
    </row>
    <row r="70" spans="1:11" ht="15" x14ac:dyDescent="0.25">
      <c r="A70"/>
      <c r="B70"/>
      <c r="C70"/>
      <c r="D70"/>
      <c r="E70"/>
      <c r="F70"/>
      <c r="G70"/>
      <c r="H70"/>
      <c r="I70"/>
      <c r="J70"/>
      <c r="K70"/>
    </row>
    <row r="71" spans="1:11" ht="15" x14ac:dyDescent="0.25">
      <c r="A71"/>
      <c r="B71"/>
      <c r="C71"/>
      <c r="D71"/>
      <c r="E71"/>
      <c r="F71"/>
      <c r="G71"/>
      <c r="H71"/>
      <c r="I71"/>
      <c r="J71"/>
      <c r="K71"/>
    </row>
    <row r="72" spans="1:11" ht="15" x14ac:dyDescent="0.25">
      <c r="A72"/>
      <c r="B72"/>
      <c r="C72"/>
      <c r="D72"/>
      <c r="E72"/>
      <c r="F72"/>
      <c r="G72"/>
      <c r="H72"/>
      <c r="I72"/>
      <c r="J72"/>
      <c r="K72"/>
    </row>
    <row r="73" spans="1:11" ht="15" x14ac:dyDescent="0.25">
      <c r="A73"/>
      <c r="B73"/>
      <c r="C73"/>
      <c r="D73"/>
      <c r="E73"/>
      <c r="F73"/>
      <c r="G73"/>
      <c r="H73"/>
      <c r="I73"/>
      <c r="J73"/>
      <c r="K73"/>
    </row>
    <row r="74" spans="1:11" ht="15" x14ac:dyDescent="0.25">
      <c r="A74"/>
      <c r="B74"/>
      <c r="C74"/>
      <c r="D74"/>
      <c r="E74"/>
      <c r="F74"/>
      <c r="G74"/>
      <c r="H74"/>
      <c r="I74"/>
      <c r="J74"/>
      <c r="K74"/>
    </row>
    <row r="75" spans="1:11" ht="15" x14ac:dyDescent="0.25">
      <c r="A75"/>
      <c r="B75"/>
      <c r="C75"/>
      <c r="D75"/>
      <c r="E75"/>
      <c r="F75"/>
      <c r="G75"/>
      <c r="H75"/>
      <c r="I75"/>
      <c r="J75"/>
      <c r="K75"/>
    </row>
    <row r="76" spans="1:11" ht="15" x14ac:dyDescent="0.25">
      <c r="A76"/>
      <c r="B76"/>
      <c r="C76"/>
      <c r="D76"/>
      <c r="E76"/>
      <c r="F76"/>
      <c r="G76"/>
      <c r="H76"/>
      <c r="I76"/>
      <c r="J76"/>
      <c r="K76"/>
    </row>
    <row r="77" spans="1:11" ht="15" x14ac:dyDescent="0.25">
      <c r="A77"/>
      <c r="B77"/>
      <c r="C77"/>
      <c r="D77"/>
      <c r="E77"/>
      <c r="F77"/>
      <c r="G77"/>
      <c r="H77"/>
      <c r="I77"/>
      <c r="J77"/>
      <c r="K77"/>
    </row>
    <row r="78" spans="1:11" ht="15" x14ac:dyDescent="0.25">
      <c r="A78"/>
      <c r="B78"/>
      <c r="C78"/>
      <c r="D78"/>
      <c r="E78"/>
      <c r="F78"/>
      <c r="G78"/>
      <c r="H78"/>
      <c r="I78"/>
      <c r="J78"/>
      <c r="K78"/>
    </row>
    <row r="79" spans="1:11" ht="15" x14ac:dyDescent="0.25">
      <c r="A79"/>
      <c r="B79"/>
      <c r="C79"/>
      <c r="D79"/>
      <c r="E79"/>
      <c r="F79"/>
      <c r="G79"/>
      <c r="H79"/>
      <c r="I79"/>
      <c r="J79"/>
      <c r="K79"/>
    </row>
    <row r="80" spans="1:11" ht="15" x14ac:dyDescent="0.25">
      <c r="A80"/>
      <c r="B80"/>
      <c r="C80"/>
      <c r="D80"/>
      <c r="E80"/>
      <c r="F80"/>
      <c r="G80"/>
      <c r="H80"/>
      <c r="I80"/>
      <c r="J80"/>
      <c r="K80"/>
    </row>
    <row r="81" spans="1:11" ht="15" x14ac:dyDescent="0.25">
      <c r="A81"/>
      <c r="B81"/>
      <c r="C81"/>
      <c r="D81"/>
      <c r="E81"/>
      <c r="F81"/>
      <c r="G81"/>
      <c r="H81"/>
      <c r="I81"/>
      <c r="J81"/>
      <c r="K81"/>
    </row>
    <row r="82" spans="1:11" ht="15" x14ac:dyDescent="0.25">
      <c r="A82"/>
      <c r="B82"/>
      <c r="C82"/>
      <c r="D82"/>
      <c r="E82"/>
      <c r="F82"/>
      <c r="G82"/>
      <c r="H82"/>
      <c r="I82"/>
      <c r="J82"/>
      <c r="K82"/>
    </row>
    <row r="83" spans="1:11" ht="15" x14ac:dyDescent="0.25">
      <c r="A83"/>
      <c r="B83"/>
      <c r="C83"/>
      <c r="D83"/>
      <c r="E83"/>
      <c r="F83"/>
      <c r="G83"/>
      <c r="H83"/>
      <c r="I83"/>
      <c r="J83"/>
      <c r="K83"/>
    </row>
    <row r="84" spans="1:11" ht="15" x14ac:dyDescent="0.25">
      <c r="A84"/>
      <c r="B84"/>
      <c r="C84"/>
      <c r="D84"/>
      <c r="E84"/>
      <c r="F84"/>
      <c r="G84"/>
      <c r="H84"/>
      <c r="I84"/>
      <c r="J84"/>
      <c r="K84"/>
    </row>
    <row r="85" spans="1:11" ht="15" x14ac:dyDescent="0.25">
      <c r="A85"/>
      <c r="B85"/>
      <c r="C85"/>
      <c r="D85"/>
      <c r="E85"/>
      <c r="F85"/>
      <c r="G85"/>
      <c r="H85"/>
      <c r="I85"/>
      <c r="J85"/>
      <c r="K85"/>
    </row>
    <row r="86" spans="1:11" ht="15" x14ac:dyDescent="0.25">
      <c r="A86"/>
      <c r="B86"/>
      <c r="C86"/>
      <c r="D86"/>
      <c r="E86"/>
      <c r="F86"/>
      <c r="G86"/>
      <c r="H86"/>
      <c r="I86"/>
      <c r="J86"/>
      <c r="K86"/>
    </row>
    <row r="87" spans="1:11" ht="15" x14ac:dyDescent="0.25">
      <c r="A87"/>
      <c r="B87"/>
      <c r="C87"/>
      <c r="D87"/>
      <c r="E87"/>
      <c r="F87"/>
      <c r="G87"/>
      <c r="H87"/>
      <c r="I87"/>
      <c r="J87"/>
      <c r="K87"/>
    </row>
    <row r="88" spans="1:11" ht="15" x14ac:dyDescent="0.25">
      <c r="A88"/>
      <c r="B88"/>
      <c r="C88"/>
      <c r="D88"/>
      <c r="E88"/>
      <c r="F88"/>
      <c r="G88"/>
      <c r="H88"/>
      <c r="I88"/>
      <c r="J88"/>
      <c r="K88"/>
    </row>
    <row r="89" spans="1:11" ht="15" x14ac:dyDescent="0.25">
      <c r="A89"/>
      <c r="B89"/>
      <c r="C89"/>
      <c r="D89"/>
      <c r="E89"/>
      <c r="F89"/>
      <c r="G89"/>
      <c r="H89"/>
      <c r="I89"/>
      <c r="J89"/>
      <c r="K89"/>
    </row>
    <row r="90" spans="1:11" ht="15" x14ac:dyDescent="0.25">
      <c r="A90"/>
      <c r="B90"/>
      <c r="C90"/>
      <c r="D90"/>
      <c r="E90"/>
      <c r="F90"/>
      <c r="G90"/>
      <c r="H90"/>
      <c r="I90"/>
      <c r="J90"/>
      <c r="K90"/>
    </row>
    <row r="91" spans="1:11" ht="15" x14ac:dyDescent="0.25">
      <c r="A91"/>
      <c r="B91"/>
      <c r="C91"/>
      <c r="D91"/>
      <c r="E91"/>
      <c r="F91"/>
      <c r="G91"/>
      <c r="H91"/>
      <c r="I91"/>
      <c r="J91"/>
      <c r="K91"/>
    </row>
    <row r="92" spans="1:11" ht="15" x14ac:dyDescent="0.25">
      <c r="A92"/>
      <c r="B92"/>
      <c r="C92"/>
      <c r="D92"/>
      <c r="E92"/>
      <c r="F92"/>
      <c r="G92"/>
      <c r="H92"/>
      <c r="I92"/>
      <c r="J92"/>
      <c r="K92"/>
    </row>
    <row r="93" spans="1:11" ht="15" x14ac:dyDescent="0.25">
      <c r="A93"/>
      <c r="B93"/>
      <c r="C93"/>
      <c r="D93"/>
      <c r="E93"/>
      <c r="F93"/>
      <c r="G93"/>
      <c r="H93"/>
      <c r="I93"/>
      <c r="J93"/>
      <c r="K93"/>
    </row>
    <row r="94" spans="1:11" ht="15" x14ac:dyDescent="0.25">
      <c r="A94"/>
      <c r="B94"/>
      <c r="C94"/>
      <c r="D94"/>
      <c r="E94"/>
      <c r="F94"/>
      <c r="G94"/>
      <c r="H94"/>
      <c r="I94"/>
      <c r="J94"/>
      <c r="K94"/>
    </row>
    <row r="95" spans="1:11" ht="15" x14ac:dyDescent="0.25">
      <c r="A95"/>
      <c r="B95"/>
      <c r="C95"/>
      <c r="D95"/>
      <c r="E95"/>
      <c r="F95"/>
      <c r="G95"/>
      <c r="H95"/>
      <c r="I95"/>
      <c r="J95"/>
      <c r="K95"/>
    </row>
    <row r="96" spans="1:11" ht="15" x14ac:dyDescent="0.25">
      <c r="A96"/>
      <c r="B96"/>
      <c r="C96"/>
      <c r="D96"/>
      <c r="E96"/>
      <c r="F96"/>
      <c r="G96"/>
      <c r="H96"/>
      <c r="I96"/>
      <c r="J96"/>
      <c r="K96"/>
    </row>
    <row r="97" spans="1:11" ht="15" x14ac:dyDescent="0.25">
      <c r="A97"/>
      <c r="B97"/>
      <c r="C97"/>
      <c r="D97"/>
      <c r="E97"/>
      <c r="F97"/>
      <c r="G97"/>
      <c r="H97"/>
      <c r="I97"/>
      <c r="J97"/>
      <c r="K97"/>
    </row>
    <row r="98" spans="1:11" ht="15" x14ac:dyDescent="0.25">
      <c r="A98"/>
      <c r="B98"/>
      <c r="C98"/>
      <c r="D98"/>
      <c r="E98"/>
      <c r="F98"/>
      <c r="G98"/>
      <c r="H98"/>
      <c r="I98"/>
      <c r="J98"/>
      <c r="K98"/>
    </row>
    <row r="99" spans="1:11" ht="15" x14ac:dyDescent="0.25">
      <c r="A99"/>
      <c r="B99"/>
      <c r="C99"/>
      <c r="D99"/>
      <c r="E99"/>
      <c r="F99"/>
      <c r="G99"/>
      <c r="H99"/>
      <c r="I99"/>
      <c r="J99"/>
      <c r="K99"/>
    </row>
    <row r="100" spans="1:11" ht="15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ht="15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ht="15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ht="15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ht="15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ht="15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ht="15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ht="15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ht="15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ht="15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ht="15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ht="15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ht="15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ht="15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ht="15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ht="15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ht="15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ht="15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ht="15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ht="15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ht="15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ht="15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ht="15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ht="15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ht="15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ht="15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ht="15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ht="15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ht="15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ht="15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ht="15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ht="15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ht="15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ht="15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ht="15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ht="15" x14ac:dyDescent="0.25">
      <c r="A135"/>
      <c r="B135"/>
      <c r="C135"/>
      <c r="D135"/>
      <c r="E135"/>
      <c r="F135"/>
      <c r="G135"/>
      <c r="H135"/>
      <c r="I135"/>
      <c r="J135"/>
      <c r="K135"/>
    </row>
  </sheetData>
  <conditionalFormatting sqref="F4:F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:F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:E3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00621-FBC4-4BE5-8038-616336597D92}">
  <dimension ref="A1:BJ300"/>
  <sheetViews>
    <sheetView zoomScale="96" zoomScaleNormal="96" workbookViewId="0">
      <selection activeCell="G8" sqref="G8"/>
    </sheetView>
  </sheetViews>
  <sheetFormatPr defaultColWidth="9.140625" defaultRowHeight="15" x14ac:dyDescent="0.25"/>
  <cols>
    <col min="1" max="1" width="4.5703125" style="57" bestFit="1" customWidth="1"/>
    <col min="2" max="2" width="12.42578125" style="57" customWidth="1"/>
    <col min="3" max="6" width="9.7109375" style="57" customWidth="1"/>
    <col min="7" max="7" width="12.42578125" style="57" bestFit="1" customWidth="1"/>
    <col min="8" max="10" width="9.7109375" style="57" customWidth="1"/>
    <col min="11" max="11" width="9.140625" style="57"/>
    <col min="12" max="12" width="12.140625" style="57" bestFit="1" customWidth="1"/>
    <col min="13" max="13" width="13.85546875" style="57" bestFit="1" customWidth="1"/>
    <col min="14" max="14" width="12.42578125" style="57" bestFit="1" customWidth="1"/>
    <col min="15" max="15" width="12.42578125" style="57" customWidth="1"/>
    <col min="16" max="16" width="12.140625" style="57" bestFit="1" customWidth="1"/>
    <col min="17" max="20" width="9.28515625" style="57" bestFit="1" customWidth="1"/>
    <col min="21" max="22" width="9.140625" style="57"/>
    <col min="23" max="23" width="9.28515625" style="57" bestFit="1" customWidth="1"/>
    <col min="24" max="34" width="9.140625" style="57"/>
    <col min="35" max="35" width="9.140625" style="57" customWidth="1"/>
    <col min="36" max="38" width="9.140625" style="57"/>
    <col min="39" max="39" width="9.28515625" bestFit="1" customWidth="1"/>
    <col min="40" max="40" width="14" customWidth="1"/>
    <col min="41" max="41" width="12.28515625" customWidth="1"/>
    <col min="42" max="42" width="10.140625" bestFit="1" customWidth="1"/>
    <col min="43" max="43" width="10.140625" customWidth="1"/>
    <col min="44" max="46" width="9.28515625" customWidth="1"/>
    <col min="47" max="47" width="9.28515625" bestFit="1" customWidth="1"/>
    <col min="48" max="48" width="12.28515625" bestFit="1" customWidth="1"/>
    <col min="58" max="16384" width="9.140625" style="57"/>
  </cols>
  <sheetData>
    <row r="1" spans="1:62" ht="15.75" thickBot="1" x14ac:dyDescent="0.3">
      <c r="C1" s="57">
        <v>4</v>
      </c>
      <c r="K1" s="122"/>
      <c r="L1" s="123"/>
      <c r="M1" s="122"/>
      <c r="N1" s="7"/>
      <c r="O1" s="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62" customFormat="1" ht="17.25" thickBot="1" x14ac:dyDescent="0.35">
      <c r="A2" s="132" t="s">
        <v>4</v>
      </c>
      <c r="B2" s="134">
        <v>1</v>
      </c>
      <c r="C2" s="134">
        <v>2</v>
      </c>
      <c r="D2" s="134">
        <v>3</v>
      </c>
      <c r="E2" s="134">
        <v>4</v>
      </c>
      <c r="F2" s="57"/>
      <c r="G2" s="1"/>
      <c r="H2" s="57"/>
      <c r="I2" s="1"/>
      <c r="J2" s="1"/>
      <c r="K2" s="1"/>
      <c r="L2" s="57"/>
      <c r="M2" s="57"/>
      <c r="N2" s="57"/>
      <c r="O2" s="57"/>
    </row>
    <row r="3" spans="1:62" customFormat="1" x14ac:dyDescent="0.25">
      <c r="A3" s="65" t="s">
        <v>169</v>
      </c>
      <c r="B3" s="109" t="s">
        <v>165</v>
      </c>
      <c r="C3" s="109" t="s">
        <v>166</v>
      </c>
      <c r="D3" s="109" t="s">
        <v>167</v>
      </c>
      <c r="E3" s="109" t="s">
        <v>168</v>
      </c>
      <c r="F3" s="89" t="s">
        <v>0</v>
      </c>
      <c r="G3" s="89" t="s">
        <v>108</v>
      </c>
      <c r="H3" s="57"/>
      <c r="I3" s="89"/>
      <c r="J3" t="s">
        <v>28</v>
      </c>
      <c r="AJ3" s="57"/>
      <c r="AK3" s="57"/>
      <c r="AL3" s="57"/>
      <c r="BF3" s="57"/>
      <c r="BG3" s="57"/>
      <c r="BH3" s="57"/>
      <c r="BI3" s="57"/>
      <c r="BJ3" s="57"/>
    </row>
    <row r="4" spans="1:62" customFormat="1" ht="17.25" thickBot="1" x14ac:dyDescent="0.35">
      <c r="A4" s="74">
        <v>1</v>
      </c>
      <c r="B4" s="135">
        <f t="shared" ref="B4:E31" si="0">IF(MOD($A4,$C$1)=B$2,1,0)</f>
        <v>1</v>
      </c>
      <c r="C4" s="135">
        <f t="shared" si="0"/>
        <v>0</v>
      </c>
      <c r="D4" s="135">
        <f t="shared" si="0"/>
        <v>0</v>
      </c>
      <c r="E4" s="135">
        <f t="shared" si="0"/>
        <v>0</v>
      </c>
      <c r="F4" s="74">
        <f>'0.ArdiData28Fixed'!D3</f>
        <v>33</v>
      </c>
      <c r="G4" s="145">
        <f>$K$19+$K$20*A4+$K$21*B4+$K$22*C4+$K$23*D4</f>
        <v>26.526785714285719</v>
      </c>
      <c r="H4" s="57"/>
      <c r="I4" s="57"/>
      <c r="AJ4" s="57"/>
      <c r="AK4" s="57"/>
      <c r="AL4" s="57"/>
      <c r="BF4" s="57"/>
      <c r="BG4" s="57"/>
      <c r="BH4" s="57"/>
      <c r="BI4" s="57"/>
      <c r="BJ4" s="57"/>
    </row>
    <row r="5" spans="1:62" customFormat="1" ht="16.5" x14ac:dyDescent="0.3">
      <c r="A5" s="74">
        <v>2</v>
      </c>
      <c r="B5" s="135">
        <f t="shared" si="0"/>
        <v>0</v>
      </c>
      <c r="C5" s="135">
        <f t="shared" si="0"/>
        <v>1</v>
      </c>
      <c r="D5" s="135">
        <f t="shared" si="0"/>
        <v>0</v>
      </c>
      <c r="E5" s="135">
        <f t="shared" si="0"/>
        <v>0</v>
      </c>
      <c r="F5" s="74">
        <f>'0.ArdiData28Fixed'!D4</f>
        <v>35</v>
      </c>
      <c r="G5" s="145">
        <f t="shared" ref="G5:G31" si="1">$K$19+$K$20*A5+$K$21*B5+$K$22*C5+$K$23*D5</f>
        <v>38.241071428571431</v>
      </c>
      <c r="H5" s="57"/>
      <c r="I5" s="57"/>
      <c r="J5" s="8" t="s">
        <v>29</v>
      </c>
      <c r="K5" s="8"/>
      <c r="AJ5" s="57"/>
      <c r="AK5" s="57"/>
      <c r="AL5" s="57"/>
      <c r="BF5" s="57"/>
      <c r="BG5" s="57"/>
      <c r="BH5" s="57"/>
      <c r="BI5" s="57"/>
      <c r="BJ5" s="57"/>
    </row>
    <row r="6" spans="1:62" customFormat="1" ht="16.5" x14ac:dyDescent="0.3">
      <c r="A6" s="74">
        <v>3</v>
      </c>
      <c r="B6" s="135">
        <f t="shared" si="0"/>
        <v>0</v>
      </c>
      <c r="C6" s="135">
        <f t="shared" si="0"/>
        <v>0</v>
      </c>
      <c r="D6" s="135">
        <f t="shared" si="0"/>
        <v>1</v>
      </c>
      <c r="E6" s="135">
        <f t="shared" si="0"/>
        <v>0</v>
      </c>
      <c r="F6" s="74">
        <f>'0.ArdiData28Fixed'!D5</f>
        <v>48</v>
      </c>
      <c r="G6" s="145">
        <f t="shared" si="1"/>
        <v>54.383928571428562</v>
      </c>
      <c r="H6" s="57"/>
      <c r="I6" s="57"/>
      <c r="J6" s="13" t="s">
        <v>31</v>
      </c>
      <c r="K6" s="13">
        <v>0.90441186797355999</v>
      </c>
      <c r="AJ6" s="57"/>
      <c r="AK6" s="57"/>
      <c r="AL6" s="57"/>
      <c r="BF6" s="57"/>
      <c r="BG6" s="57"/>
      <c r="BH6" s="57"/>
      <c r="BI6" s="57"/>
      <c r="BJ6" s="57"/>
    </row>
    <row r="7" spans="1:62" customFormat="1" ht="16.5" x14ac:dyDescent="0.3">
      <c r="A7" s="74">
        <v>4</v>
      </c>
      <c r="B7" s="135">
        <f t="shared" si="0"/>
        <v>0</v>
      </c>
      <c r="C7" s="135">
        <f t="shared" si="0"/>
        <v>0</v>
      </c>
      <c r="D7" s="135">
        <f t="shared" si="0"/>
        <v>0</v>
      </c>
      <c r="E7" s="135">
        <f t="shared" si="0"/>
        <v>0</v>
      </c>
      <c r="F7" s="74">
        <f>'0.ArdiData28Fixed'!D6</f>
        <v>28</v>
      </c>
      <c r="G7" s="145">
        <f t="shared" si="1"/>
        <v>29.098214285714285</v>
      </c>
      <c r="H7" s="57"/>
      <c r="I7" s="57"/>
      <c r="J7" s="13" t="s">
        <v>33</v>
      </c>
      <c r="K7" s="13">
        <v>0.81796082693142413</v>
      </c>
      <c r="AJ7" s="57"/>
      <c r="AK7" s="57"/>
      <c r="AL7" s="57"/>
      <c r="BF7" s="57"/>
      <c r="BG7" s="57"/>
      <c r="BH7" s="57"/>
      <c r="BI7" s="57"/>
      <c r="BJ7" s="57"/>
    </row>
    <row r="8" spans="1:62" customFormat="1" ht="16.5" x14ac:dyDescent="0.3">
      <c r="A8" s="74">
        <v>5</v>
      </c>
      <c r="B8" s="135">
        <f t="shared" si="0"/>
        <v>1</v>
      </c>
      <c r="C8" s="135">
        <f t="shared" si="0"/>
        <v>0</v>
      </c>
      <c r="D8" s="135">
        <f t="shared" si="0"/>
        <v>0</v>
      </c>
      <c r="E8" s="135">
        <f t="shared" si="0"/>
        <v>0</v>
      </c>
      <c r="F8" s="74">
        <f>'0.ArdiData28Fixed'!D7</f>
        <v>25</v>
      </c>
      <c r="G8" s="145">
        <f t="shared" si="1"/>
        <v>31.303571428571434</v>
      </c>
      <c r="H8" s="57"/>
      <c r="I8" s="57"/>
      <c r="J8" s="13" t="s">
        <v>34</v>
      </c>
      <c r="K8" s="13">
        <v>0.77658828759765686</v>
      </c>
      <c r="AJ8" s="57"/>
      <c r="AK8" s="57"/>
      <c r="AL8" s="57"/>
      <c r="BF8" s="57"/>
      <c r="BG8" s="57"/>
      <c r="BH8" s="57"/>
      <c r="BI8" s="57"/>
      <c r="BJ8" s="57"/>
    </row>
    <row r="9" spans="1:62" customFormat="1" ht="16.5" x14ac:dyDescent="0.3">
      <c r="A9" s="74">
        <v>6</v>
      </c>
      <c r="B9" s="135">
        <f t="shared" si="0"/>
        <v>0</v>
      </c>
      <c r="C9" s="135">
        <f t="shared" si="0"/>
        <v>1</v>
      </c>
      <c r="D9" s="135">
        <f t="shared" si="0"/>
        <v>0</v>
      </c>
      <c r="E9" s="135">
        <f t="shared" si="0"/>
        <v>0</v>
      </c>
      <c r="F9" s="74">
        <f>'0.ArdiData28Fixed'!D8</f>
        <v>53</v>
      </c>
      <c r="G9" s="145">
        <f t="shared" si="1"/>
        <v>43.017857142857139</v>
      </c>
      <c r="H9" s="57"/>
      <c r="I9" s="57"/>
      <c r="J9" s="13" t="s">
        <v>35</v>
      </c>
      <c r="K9" s="13">
        <v>7.751034895886737</v>
      </c>
      <c r="AJ9" s="57"/>
      <c r="AK9" s="57"/>
      <c r="AL9" s="57"/>
      <c r="BF9" s="57"/>
      <c r="BG9" s="57"/>
      <c r="BH9" s="57"/>
      <c r="BI9" s="57"/>
      <c r="BJ9" s="57"/>
    </row>
    <row r="10" spans="1:62" customFormat="1" ht="17.25" thickBot="1" x14ac:dyDescent="0.35">
      <c r="A10" s="74">
        <v>7</v>
      </c>
      <c r="B10" s="135">
        <f t="shared" si="0"/>
        <v>0</v>
      </c>
      <c r="C10" s="135">
        <f t="shared" si="0"/>
        <v>0</v>
      </c>
      <c r="D10" s="135">
        <f t="shared" si="0"/>
        <v>1</v>
      </c>
      <c r="E10" s="135">
        <f t="shared" si="0"/>
        <v>0</v>
      </c>
      <c r="F10" s="74">
        <f>'0.ArdiData28Fixed'!D9</f>
        <v>50</v>
      </c>
      <c r="G10" s="145">
        <f t="shared" si="1"/>
        <v>59.160714285714278</v>
      </c>
      <c r="H10" s="57"/>
      <c r="I10" s="57"/>
      <c r="J10" s="17" t="s">
        <v>36</v>
      </c>
      <c r="K10" s="17">
        <v>28</v>
      </c>
      <c r="AJ10" s="57"/>
      <c r="AK10" s="57"/>
      <c r="AL10" s="57"/>
      <c r="BF10" s="57"/>
      <c r="BG10" s="57"/>
      <c r="BH10" s="57"/>
      <c r="BI10" s="57"/>
      <c r="BJ10" s="57"/>
    </row>
    <row r="11" spans="1:62" customFormat="1" ht="16.5" x14ac:dyDescent="0.3">
      <c r="A11" s="74">
        <v>8</v>
      </c>
      <c r="B11" s="135">
        <f t="shared" si="0"/>
        <v>0</v>
      </c>
      <c r="C11" s="135">
        <f t="shared" si="0"/>
        <v>0</v>
      </c>
      <c r="D11" s="135">
        <f t="shared" si="0"/>
        <v>0</v>
      </c>
      <c r="E11" s="135">
        <f t="shared" si="0"/>
        <v>0</v>
      </c>
      <c r="F11" s="74">
        <f>'0.ArdiData28Fixed'!D10</f>
        <v>42</v>
      </c>
      <c r="G11" s="145">
        <f t="shared" si="1"/>
        <v>33.875</v>
      </c>
      <c r="H11" s="57"/>
      <c r="I11" s="57"/>
      <c r="AJ11" s="57"/>
      <c r="AK11" s="57"/>
      <c r="AL11" s="57"/>
      <c r="BF11" s="57"/>
      <c r="BG11" s="57"/>
      <c r="BH11" s="57"/>
      <c r="BI11" s="57"/>
      <c r="BJ11" s="57"/>
    </row>
    <row r="12" spans="1:62" customFormat="1" ht="17.25" thickBot="1" x14ac:dyDescent="0.35">
      <c r="A12" s="74">
        <v>9</v>
      </c>
      <c r="B12" s="135">
        <f t="shared" si="0"/>
        <v>1</v>
      </c>
      <c r="C12" s="135">
        <f t="shared" si="0"/>
        <v>0</v>
      </c>
      <c r="D12" s="135">
        <f t="shared" si="0"/>
        <v>0</v>
      </c>
      <c r="E12" s="135">
        <f t="shared" si="0"/>
        <v>0</v>
      </c>
      <c r="F12" s="74">
        <f>'0.ArdiData28Fixed'!D11</f>
        <v>40</v>
      </c>
      <c r="G12" s="145">
        <f t="shared" si="1"/>
        <v>36.080357142857146</v>
      </c>
      <c r="H12" s="57"/>
      <c r="I12" s="57"/>
      <c r="J12" t="s">
        <v>37</v>
      </c>
      <c r="AJ12" s="57"/>
      <c r="AK12" s="57"/>
      <c r="AL12" s="57"/>
      <c r="BF12" s="57"/>
      <c r="BG12" s="57"/>
      <c r="BH12" s="57"/>
      <c r="BI12" s="57"/>
      <c r="BJ12" s="57"/>
    </row>
    <row r="13" spans="1:62" customFormat="1" ht="16.5" x14ac:dyDescent="0.3">
      <c r="A13" s="74">
        <v>10</v>
      </c>
      <c r="B13" s="135">
        <f t="shared" si="0"/>
        <v>0</v>
      </c>
      <c r="C13" s="135">
        <f t="shared" si="0"/>
        <v>1</v>
      </c>
      <c r="D13" s="135">
        <f t="shared" si="0"/>
        <v>0</v>
      </c>
      <c r="E13" s="135">
        <f t="shared" si="0"/>
        <v>0</v>
      </c>
      <c r="F13" s="74">
        <f>'0.ArdiData28Fixed'!D12</f>
        <v>46</v>
      </c>
      <c r="G13" s="145">
        <f t="shared" si="1"/>
        <v>47.794642857142861</v>
      </c>
      <c r="H13" s="57"/>
      <c r="I13" s="57"/>
      <c r="J13" s="16"/>
      <c r="K13" s="16" t="s">
        <v>38</v>
      </c>
      <c r="L13" s="16" t="s">
        <v>39</v>
      </c>
      <c r="M13" s="16" t="s">
        <v>40</v>
      </c>
      <c r="N13" s="16" t="s">
        <v>41</v>
      </c>
      <c r="O13" s="16" t="s">
        <v>42</v>
      </c>
      <c r="AJ13" s="57"/>
      <c r="AK13" s="57"/>
      <c r="AL13" s="57"/>
      <c r="BF13" s="57"/>
      <c r="BG13" s="57"/>
      <c r="BH13" s="57"/>
      <c r="BI13" s="57"/>
      <c r="BJ13" s="57"/>
    </row>
    <row r="14" spans="1:62" customFormat="1" ht="16.5" x14ac:dyDescent="0.3">
      <c r="A14" s="74">
        <v>11</v>
      </c>
      <c r="B14" s="135">
        <f t="shared" si="0"/>
        <v>0</v>
      </c>
      <c r="C14" s="135">
        <f t="shared" si="0"/>
        <v>0</v>
      </c>
      <c r="D14" s="135">
        <f t="shared" si="0"/>
        <v>1</v>
      </c>
      <c r="E14" s="135">
        <f t="shared" si="0"/>
        <v>0</v>
      </c>
      <c r="F14" s="74">
        <f>'0.ArdiData28Fixed'!D13</f>
        <v>72</v>
      </c>
      <c r="G14" s="145">
        <f t="shared" si="1"/>
        <v>63.937499999999986</v>
      </c>
      <c r="H14" s="57"/>
      <c r="I14" s="57"/>
      <c r="J14" s="13" t="s">
        <v>43</v>
      </c>
      <c r="K14" s="13">
        <v>5</v>
      </c>
      <c r="L14" s="13">
        <v>5938.9506483689865</v>
      </c>
      <c r="M14" s="13">
        <v>1187.7901296737973</v>
      </c>
      <c r="N14" s="13">
        <v>19.770621772394442</v>
      </c>
      <c r="O14" s="13">
        <v>1.7834891881261903E-7</v>
      </c>
      <c r="AJ14" s="57"/>
      <c r="AK14" s="57"/>
      <c r="AL14" s="57"/>
      <c r="BF14" s="57"/>
      <c r="BG14" s="57"/>
      <c r="BH14" s="57"/>
      <c r="BI14" s="57"/>
      <c r="BJ14" s="57"/>
    </row>
    <row r="15" spans="1:62" customFormat="1" ht="16.5" x14ac:dyDescent="0.3">
      <c r="A15" s="74">
        <v>12</v>
      </c>
      <c r="B15" s="135">
        <f t="shared" si="0"/>
        <v>0</v>
      </c>
      <c r="C15" s="135">
        <f t="shared" si="0"/>
        <v>0</v>
      </c>
      <c r="D15" s="135">
        <f t="shared" si="0"/>
        <v>0</v>
      </c>
      <c r="E15" s="135">
        <f t="shared" si="0"/>
        <v>0</v>
      </c>
      <c r="F15" s="74">
        <f>'0.ArdiData28Fixed'!D14</f>
        <v>31</v>
      </c>
      <c r="G15" s="145">
        <f t="shared" si="1"/>
        <v>38.651785714285715</v>
      </c>
      <c r="H15" s="57"/>
      <c r="I15" s="57"/>
      <c r="J15" s="13" t="s">
        <v>44</v>
      </c>
      <c r="K15" s="13">
        <v>22</v>
      </c>
      <c r="L15" s="13">
        <v>1321.7279230595861</v>
      </c>
      <c r="M15" s="13">
        <v>60.078541957253918</v>
      </c>
      <c r="N15" s="13"/>
      <c r="O15" s="13"/>
      <c r="AJ15" s="57"/>
      <c r="AK15" s="57"/>
      <c r="AL15" s="57"/>
      <c r="BF15" s="57"/>
      <c r="BG15" s="57"/>
      <c r="BH15" s="57"/>
      <c r="BI15" s="57"/>
      <c r="BJ15" s="57"/>
    </row>
    <row r="16" spans="1:62" customFormat="1" ht="17.25" thickBot="1" x14ac:dyDescent="0.35">
      <c r="A16" s="74">
        <v>13</v>
      </c>
      <c r="B16" s="135">
        <f t="shared" si="0"/>
        <v>1</v>
      </c>
      <c r="C16" s="135">
        <f t="shared" si="0"/>
        <v>0</v>
      </c>
      <c r="D16" s="135">
        <f t="shared" si="0"/>
        <v>0</v>
      </c>
      <c r="E16" s="135">
        <f t="shared" si="0"/>
        <v>0</v>
      </c>
      <c r="F16" s="74">
        <f>'0.ArdiData28Fixed'!D15</f>
        <v>44</v>
      </c>
      <c r="G16" s="145">
        <f t="shared" si="1"/>
        <v>40.857142857142854</v>
      </c>
      <c r="H16" s="57"/>
      <c r="I16" s="57"/>
      <c r="J16" s="17" t="s">
        <v>45</v>
      </c>
      <c r="K16" s="17">
        <v>27</v>
      </c>
      <c r="L16" s="17">
        <v>7260.6785714285725</v>
      </c>
      <c r="M16" s="17"/>
      <c r="N16" s="17"/>
      <c r="O16" s="17"/>
      <c r="AJ16" s="57"/>
      <c r="AK16" s="57"/>
      <c r="AL16" s="57"/>
      <c r="BF16" s="57"/>
      <c r="BG16" s="57"/>
      <c r="BH16" s="57"/>
      <c r="BI16" s="57"/>
      <c r="BJ16" s="57"/>
    </row>
    <row r="17" spans="1:62" customFormat="1" ht="17.25" thickBot="1" x14ac:dyDescent="0.35">
      <c r="A17" s="74">
        <v>14</v>
      </c>
      <c r="B17" s="135">
        <f t="shared" si="0"/>
        <v>0</v>
      </c>
      <c r="C17" s="135">
        <f t="shared" si="0"/>
        <v>1</v>
      </c>
      <c r="D17" s="135">
        <f t="shared" si="0"/>
        <v>0</v>
      </c>
      <c r="E17" s="135">
        <f t="shared" si="0"/>
        <v>0</v>
      </c>
      <c r="F17" s="74">
        <f>'0.ArdiData28Fixed'!D16</f>
        <v>39</v>
      </c>
      <c r="G17" s="145">
        <f t="shared" si="1"/>
        <v>52.571428571428569</v>
      </c>
      <c r="H17" s="57"/>
      <c r="I17" s="57"/>
      <c r="AJ17" s="65"/>
      <c r="AK17" s="65"/>
      <c r="AL17" s="65"/>
      <c r="AM17" s="6"/>
      <c r="AN17" s="6"/>
      <c r="AO17" s="6"/>
      <c r="AP17" s="6"/>
      <c r="AQ17" s="6"/>
      <c r="AR17" s="6"/>
      <c r="AS17" s="6"/>
      <c r="BF17" s="57"/>
      <c r="BG17" s="57"/>
      <c r="BH17" s="57"/>
      <c r="BI17" s="57"/>
      <c r="BJ17" s="57"/>
    </row>
    <row r="18" spans="1:62" ht="16.5" x14ac:dyDescent="0.3">
      <c r="A18" s="74">
        <v>15</v>
      </c>
      <c r="B18" s="135">
        <f t="shared" si="0"/>
        <v>0</v>
      </c>
      <c r="C18" s="135">
        <f t="shared" si="0"/>
        <v>0</v>
      </c>
      <c r="D18" s="135">
        <f t="shared" si="0"/>
        <v>1</v>
      </c>
      <c r="E18" s="135">
        <f t="shared" si="0"/>
        <v>0</v>
      </c>
      <c r="F18" s="74">
        <f>'0.ArdiData28Fixed'!D17</f>
        <v>72</v>
      </c>
      <c r="G18" s="145">
        <f t="shared" si="1"/>
        <v>68.714285714285708</v>
      </c>
      <c r="J18" s="16"/>
      <c r="K18" s="16" t="s">
        <v>46</v>
      </c>
      <c r="L18" s="16" t="s">
        <v>35</v>
      </c>
      <c r="M18" s="16" t="s">
        <v>47</v>
      </c>
      <c r="N18" s="16" t="s">
        <v>48</v>
      </c>
      <c r="O18" s="16" t="s">
        <v>49</v>
      </c>
      <c r="P18" s="16" t="s">
        <v>50</v>
      </c>
      <c r="Q18" s="16" t="s">
        <v>129</v>
      </c>
      <c r="R18" s="16" t="s">
        <v>130</v>
      </c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 s="65"/>
      <c r="AK18" s="65"/>
      <c r="AL18" s="65"/>
      <c r="AM18" s="6"/>
      <c r="AN18" s="6"/>
      <c r="AO18" s="6"/>
      <c r="AP18" s="6"/>
      <c r="AQ18" s="6"/>
      <c r="AR18" s="6"/>
      <c r="AS18" s="6"/>
    </row>
    <row r="19" spans="1:62" ht="16.5" x14ac:dyDescent="0.3">
      <c r="A19" s="74">
        <v>16</v>
      </c>
      <c r="B19" s="135">
        <f t="shared" si="0"/>
        <v>0</v>
      </c>
      <c r="C19" s="135">
        <f t="shared" si="0"/>
        <v>0</v>
      </c>
      <c r="D19" s="135">
        <f t="shared" si="0"/>
        <v>0</v>
      </c>
      <c r="E19" s="135">
        <f t="shared" si="0"/>
        <v>0</v>
      </c>
      <c r="F19" s="74">
        <f>'0.ArdiData28Fixed'!D18</f>
        <v>51</v>
      </c>
      <c r="G19" s="145">
        <f t="shared" si="1"/>
        <v>43.428571428571431</v>
      </c>
      <c r="J19" s="13" t="s">
        <v>52</v>
      </c>
      <c r="K19" s="13">
        <v>24.321428571428573</v>
      </c>
      <c r="L19" s="13">
        <v>4.1431024247624562</v>
      </c>
      <c r="M19" s="13">
        <v>5.8703420958324575</v>
      </c>
      <c r="N19" s="13">
        <v>6.5994217504640269E-6</v>
      </c>
      <c r="O19" s="13">
        <v>15.729160035145849</v>
      </c>
      <c r="P19" s="13">
        <v>32.9136971077113</v>
      </c>
      <c r="Q19" s="13">
        <v>15.729160035145849</v>
      </c>
      <c r="R19" s="13">
        <v>32.9136971077113</v>
      </c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 s="65"/>
      <c r="AK19" s="65"/>
      <c r="AL19" s="65"/>
      <c r="AM19" s="6"/>
      <c r="AN19" s="6"/>
      <c r="AO19" s="6"/>
      <c r="AP19" s="6"/>
      <c r="AQ19" s="6"/>
      <c r="AR19" s="6"/>
      <c r="AS19" s="6"/>
    </row>
    <row r="20" spans="1:62" ht="16.5" x14ac:dyDescent="0.3">
      <c r="A20" s="74">
        <v>17</v>
      </c>
      <c r="B20" s="135">
        <f t="shared" si="0"/>
        <v>1</v>
      </c>
      <c r="C20" s="135">
        <f t="shared" si="0"/>
        <v>0</v>
      </c>
      <c r="D20" s="135">
        <f t="shared" si="0"/>
        <v>0</v>
      </c>
      <c r="E20" s="135">
        <f t="shared" si="0"/>
        <v>0</v>
      </c>
      <c r="F20" s="74">
        <f>'0.ArdiData28Fixed'!D19</f>
        <v>41</v>
      </c>
      <c r="G20" s="145">
        <f t="shared" si="1"/>
        <v>45.633928571428569</v>
      </c>
      <c r="J20" s="13" t="s">
        <v>54</v>
      </c>
      <c r="K20" s="13">
        <v>1.1941964285714284</v>
      </c>
      <c r="L20" s="13">
        <v>0.18310098873124758</v>
      </c>
      <c r="M20" s="13">
        <v>6.5220643364424919</v>
      </c>
      <c r="N20" s="13">
        <v>1.4659083306327073E-6</v>
      </c>
      <c r="O20" s="13">
        <v>0.8144682193350955</v>
      </c>
      <c r="P20" s="13">
        <v>1.5739246378077612</v>
      </c>
      <c r="Q20" s="13">
        <v>0.8144682193350955</v>
      </c>
      <c r="R20" s="13">
        <v>1.5739246378077612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 s="65"/>
      <c r="AK20" s="65"/>
      <c r="AL20" s="65"/>
      <c r="AM20" s="6"/>
      <c r="AN20" s="6"/>
      <c r="AO20" s="6"/>
      <c r="AP20" s="6"/>
      <c r="AQ20" s="6"/>
      <c r="AR20" s="6"/>
      <c r="AS20" s="6"/>
    </row>
    <row r="21" spans="1:62" ht="16.5" x14ac:dyDescent="0.3">
      <c r="A21" s="74">
        <v>18</v>
      </c>
      <c r="B21" s="135">
        <f t="shared" si="0"/>
        <v>0</v>
      </c>
      <c r="C21" s="135">
        <f t="shared" si="0"/>
        <v>1</v>
      </c>
      <c r="D21" s="135">
        <f t="shared" si="0"/>
        <v>0</v>
      </c>
      <c r="E21" s="135">
        <f t="shared" si="0"/>
        <v>0</v>
      </c>
      <c r="F21" s="74">
        <f>'0.ArdiData28Fixed'!D20</f>
        <v>65</v>
      </c>
      <c r="G21" s="145">
        <f t="shared" si="1"/>
        <v>57.348214285714278</v>
      </c>
      <c r="J21" s="13" t="s">
        <v>131</v>
      </c>
      <c r="K21" s="13">
        <v>1.0111607142857173</v>
      </c>
      <c r="L21" s="13">
        <v>4.1793577797003438</v>
      </c>
      <c r="M21" s="13">
        <v>0.24194164931201861</v>
      </c>
      <c r="N21" s="13">
        <v>0.81106639693501847</v>
      </c>
      <c r="O21" s="13">
        <v>-7.6562968261699922</v>
      </c>
      <c r="P21" s="13">
        <v>9.6786182547414263</v>
      </c>
      <c r="Q21" s="13">
        <v>-7.6562968261699922</v>
      </c>
      <c r="R21" s="13">
        <v>9.6786182547414263</v>
      </c>
      <c r="S21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"/>
      <c r="AN21" s="6"/>
      <c r="AO21" s="6"/>
      <c r="AP21" s="6"/>
      <c r="AQ21" s="6"/>
      <c r="AR21" s="6"/>
      <c r="AS21" s="6"/>
    </row>
    <row r="22" spans="1:62" ht="16.5" x14ac:dyDescent="0.3">
      <c r="A22" s="74">
        <v>19</v>
      </c>
      <c r="B22" s="135">
        <f t="shared" si="0"/>
        <v>0</v>
      </c>
      <c r="C22" s="135">
        <f t="shared" si="0"/>
        <v>0</v>
      </c>
      <c r="D22" s="135">
        <f t="shared" si="0"/>
        <v>1</v>
      </c>
      <c r="E22" s="135">
        <f t="shared" si="0"/>
        <v>0</v>
      </c>
      <c r="F22" s="74">
        <f>'0.ArdiData28Fixed'!D21</f>
        <v>67</v>
      </c>
      <c r="G22" s="145">
        <f t="shared" si="1"/>
        <v>73.491071428571416</v>
      </c>
      <c r="J22" s="13" t="s">
        <v>132</v>
      </c>
      <c r="K22" s="13">
        <v>11.531249999999996</v>
      </c>
      <c r="L22" s="13">
        <v>4.1592549321206542</v>
      </c>
      <c r="M22" s="13">
        <v>2.7724316465787364</v>
      </c>
      <c r="N22" s="13">
        <v>1.1108627211511929E-2</v>
      </c>
      <c r="O22" s="13">
        <v>2.9054832137279849</v>
      </c>
      <c r="P22" s="13">
        <v>20.15701678627201</v>
      </c>
      <c r="Q22" s="13">
        <v>2.9054832137279849</v>
      </c>
      <c r="R22" s="13">
        <v>20.15701678627201</v>
      </c>
      <c r="S22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"/>
      <c r="AN22" s="6"/>
      <c r="AO22" s="6"/>
      <c r="AP22" s="6"/>
      <c r="AQ22" s="6"/>
      <c r="AR22" s="6"/>
      <c r="AS22" s="6"/>
    </row>
    <row r="23" spans="1:62" ht="16.5" x14ac:dyDescent="0.3">
      <c r="A23" s="74">
        <v>20</v>
      </c>
      <c r="B23" s="135">
        <f t="shared" si="0"/>
        <v>0</v>
      </c>
      <c r="C23" s="135">
        <f t="shared" si="0"/>
        <v>0</v>
      </c>
      <c r="D23" s="135">
        <f t="shared" si="0"/>
        <v>0</v>
      </c>
      <c r="E23" s="135">
        <f t="shared" si="0"/>
        <v>0</v>
      </c>
      <c r="F23" s="74">
        <f>'0.ArdiData28Fixed'!D22</f>
        <v>51</v>
      </c>
      <c r="G23" s="145">
        <f t="shared" si="1"/>
        <v>48.205357142857139</v>
      </c>
      <c r="J23" s="13" t="s">
        <v>133</v>
      </c>
      <c r="K23" s="13">
        <v>26.479910714285705</v>
      </c>
      <c r="L23" s="13">
        <v>4.1471464495658816</v>
      </c>
      <c r="M23" s="13">
        <v>6.3850917820993738</v>
      </c>
      <c r="N23" s="13">
        <v>2.002700836780944E-6</v>
      </c>
      <c r="O23" s="13">
        <v>17.879255383877222</v>
      </c>
      <c r="P23" s="13">
        <v>35.080566044694187</v>
      </c>
      <c r="Q23" s="13">
        <v>17.879255383877222</v>
      </c>
      <c r="R23" s="13">
        <v>35.080566044694187</v>
      </c>
      <c r="S23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"/>
      <c r="AN23" s="6"/>
      <c r="AO23" s="6"/>
      <c r="AP23" s="6"/>
      <c r="AQ23" s="6"/>
      <c r="AR23" s="6"/>
      <c r="AS23" s="6"/>
    </row>
    <row r="24" spans="1:62" ht="17.25" thickBot="1" x14ac:dyDescent="0.35">
      <c r="A24" s="74">
        <v>21</v>
      </c>
      <c r="B24" s="135">
        <f t="shared" si="0"/>
        <v>1</v>
      </c>
      <c r="C24" s="135">
        <f t="shared" si="0"/>
        <v>0</v>
      </c>
      <c r="D24" s="135">
        <f t="shared" si="0"/>
        <v>0</v>
      </c>
      <c r="E24" s="135">
        <f t="shared" si="0"/>
        <v>0</v>
      </c>
      <c r="F24" s="74">
        <f>'0.ArdiData28Fixed'!D23</f>
        <v>56</v>
      </c>
      <c r="G24" s="145">
        <f t="shared" si="1"/>
        <v>50.410714285714285</v>
      </c>
      <c r="J24" s="17" t="s">
        <v>134</v>
      </c>
      <c r="K24" s="17">
        <v>0</v>
      </c>
      <c r="L24" s="17">
        <v>0</v>
      </c>
      <c r="M24" s="17">
        <v>65535</v>
      </c>
      <c r="N24" s="17" t="e">
        <v>#NUM!</v>
      </c>
      <c r="O24" s="17">
        <v>0</v>
      </c>
      <c r="P24" s="17">
        <v>0</v>
      </c>
      <c r="Q24" s="17">
        <v>0</v>
      </c>
      <c r="R24" s="17">
        <v>0</v>
      </c>
      <c r="S24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"/>
      <c r="AN24" s="6"/>
      <c r="AO24" s="6"/>
      <c r="AP24" s="6"/>
      <c r="AQ24" s="6"/>
      <c r="AR24" s="6"/>
      <c r="AS24" s="6"/>
    </row>
    <row r="25" spans="1:62" ht="16.5" x14ac:dyDescent="0.3">
      <c r="A25" s="74">
        <v>22</v>
      </c>
      <c r="B25" s="135">
        <f t="shared" si="0"/>
        <v>0</v>
      </c>
      <c r="C25" s="135">
        <f t="shared" si="0"/>
        <v>1</v>
      </c>
      <c r="D25" s="135">
        <f t="shared" si="0"/>
        <v>0</v>
      </c>
      <c r="E25" s="135">
        <f t="shared" si="0"/>
        <v>0</v>
      </c>
      <c r="F25" s="74">
        <f>'0.ArdiData28Fixed'!D24</f>
        <v>69</v>
      </c>
      <c r="G25" s="145">
        <f t="shared" si="1"/>
        <v>62.125</v>
      </c>
      <c r="J25"/>
      <c r="K25"/>
      <c r="L25"/>
      <c r="M25"/>
      <c r="N25"/>
      <c r="O25"/>
      <c r="P25"/>
      <c r="Q25"/>
      <c r="R2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"/>
      <c r="AN25" s="6"/>
      <c r="AO25" s="6"/>
      <c r="AP25" s="6"/>
      <c r="AQ25" s="6"/>
      <c r="AR25" s="6"/>
      <c r="AS25" s="6"/>
    </row>
    <row r="26" spans="1:62" ht="16.5" x14ac:dyDescent="0.3">
      <c r="A26" s="74">
        <v>23</v>
      </c>
      <c r="B26" s="135">
        <f t="shared" si="0"/>
        <v>0</v>
      </c>
      <c r="C26" s="135">
        <f t="shared" si="0"/>
        <v>0</v>
      </c>
      <c r="D26" s="135">
        <f t="shared" si="0"/>
        <v>1</v>
      </c>
      <c r="E26" s="135">
        <f t="shared" si="0"/>
        <v>0</v>
      </c>
      <c r="F26" s="74">
        <f>'0.ArdiData28Fixed'!D25</f>
        <v>82</v>
      </c>
      <c r="G26" s="145">
        <f t="shared" si="1"/>
        <v>78.267857142857139</v>
      </c>
      <c r="J26"/>
      <c r="K26"/>
      <c r="L26"/>
      <c r="M26"/>
      <c r="N26"/>
      <c r="O26"/>
      <c r="P26"/>
      <c r="Q26"/>
      <c r="R26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"/>
      <c r="AN26" s="6"/>
      <c r="AO26" s="6"/>
      <c r="AP26" s="6"/>
      <c r="AQ26" s="6"/>
      <c r="AR26" s="6"/>
      <c r="AS26" s="6"/>
    </row>
    <row r="27" spans="1:62" ht="16.5" x14ac:dyDescent="0.3">
      <c r="A27" s="74">
        <v>24</v>
      </c>
      <c r="B27" s="135">
        <f t="shared" si="0"/>
        <v>0</v>
      </c>
      <c r="C27" s="135">
        <f t="shared" si="0"/>
        <v>0</v>
      </c>
      <c r="D27" s="135">
        <f t="shared" si="0"/>
        <v>0</v>
      </c>
      <c r="E27" s="135">
        <f t="shared" si="0"/>
        <v>0</v>
      </c>
      <c r="F27" s="74">
        <f>'0.ArdiData28Fixed'!D26</f>
        <v>39</v>
      </c>
      <c r="G27" s="145">
        <f t="shared" si="1"/>
        <v>52.982142857142854</v>
      </c>
      <c r="J27"/>
      <c r="K27"/>
      <c r="L27"/>
      <c r="M27"/>
      <c r="N27"/>
      <c r="O27"/>
      <c r="P27"/>
      <c r="Q27"/>
      <c r="R27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"/>
      <c r="AN27" s="6"/>
      <c r="AO27" s="6"/>
      <c r="AP27" s="6"/>
      <c r="AQ27" s="6"/>
      <c r="AR27" s="6"/>
      <c r="AS27" s="6"/>
    </row>
    <row r="28" spans="1:62" ht="16.5" x14ac:dyDescent="0.3">
      <c r="A28" s="74">
        <v>25</v>
      </c>
      <c r="B28" s="135">
        <f t="shared" si="0"/>
        <v>1</v>
      </c>
      <c r="C28" s="135">
        <f t="shared" si="0"/>
        <v>0</v>
      </c>
      <c r="D28" s="135">
        <f t="shared" si="0"/>
        <v>0</v>
      </c>
      <c r="E28" s="135">
        <f t="shared" si="0"/>
        <v>0</v>
      </c>
      <c r="F28" s="74">
        <f>'0.ArdiData28Fixed'!D27</f>
        <v>47</v>
      </c>
      <c r="G28" s="145">
        <f t="shared" si="1"/>
        <v>55.187499999999993</v>
      </c>
      <c r="J28" s="119"/>
      <c r="K28" s="119"/>
      <c r="L28"/>
      <c r="M28"/>
      <c r="N28"/>
      <c r="O28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"/>
      <c r="AN28" s="6"/>
      <c r="AO28" s="6"/>
      <c r="AP28" s="6"/>
      <c r="AQ28" s="6"/>
      <c r="AR28" s="6"/>
      <c r="AS28" s="6"/>
    </row>
    <row r="29" spans="1:62" ht="16.5" x14ac:dyDescent="0.3">
      <c r="A29" s="74">
        <v>26</v>
      </c>
      <c r="B29" s="135">
        <f t="shared" si="0"/>
        <v>0</v>
      </c>
      <c r="C29" s="135">
        <f t="shared" si="0"/>
        <v>1</v>
      </c>
      <c r="D29" s="135">
        <f t="shared" si="0"/>
        <v>0</v>
      </c>
      <c r="E29" s="135">
        <f t="shared" si="0"/>
        <v>0</v>
      </c>
      <c r="F29" s="74">
        <f>'0.ArdiData28Fixed'!D28</f>
        <v>61</v>
      </c>
      <c r="G29" s="145">
        <f t="shared" si="1"/>
        <v>66.901785714285708</v>
      </c>
      <c r="J29" s="119"/>
      <c r="K29" s="119"/>
      <c r="L29"/>
      <c r="M29"/>
      <c r="N29"/>
      <c r="O29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"/>
      <c r="AN29" s="6"/>
      <c r="AO29" s="6"/>
      <c r="AP29" s="6"/>
      <c r="AQ29" s="6"/>
      <c r="AR29" s="6"/>
      <c r="AS29" s="6"/>
    </row>
    <row r="30" spans="1:62" ht="16.5" x14ac:dyDescent="0.3">
      <c r="A30" s="74">
        <v>27</v>
      </c>
      <c r="B30" s="135">
        <f t="shared" si="0"/>
        <v>0</v>
      </c>
      <c r="C30" s="135">
        <f t="shared" si="0"/>
        <v>0</v>
      </c>
      <c r="D30" s="135">
        <f t="shared" si="0"/>
        <v>1</v>
      </c>
      <c r="E30" s="135">
        <f t="shared" si="0"/>
        <v>0</v>
      </c>
      <c r="F30" s="74">
        <f>'0.ArdiData28Fixed'!D29</f>
        <v>90</v>
      </c>
      <c r="G30" s="145">
        <f t="shared" si="1"/>
        <v>83.044642857142847</v>
      </c>
      <c r="J30" s="119"/>
      <c r="K30" s="119"/>
      <c r="L30"/>
      <c r="M30"/>
      <c r="N30"/>
      <c r="O30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"/>
      <c r="AN30" s="6"/>
      <c r="AO30" s="6"/>
      <c r="AP30" s="6"/>
      <c r="AQ30" s="6"/>
      <c r="AR30" s="6"/>
      <c r="AS30" s="6"/>
    </row>
    <row r="31" spans="1:62" ht="16.5" x14ac:dyDescent="0.3">
      <c r="A31" s="74">
        <v>28</v>
      </c>
      <c r="B31" s="135">
        <f t="shared" si="0"/>
        <v>0</v>
      </c>
      <c r="C31" s="135">
        <f t="shared" si="0"/>
        <v>0</v>
      </c>
      <c r="D31" s="135">
        <f t="shared" si="0"/>
        <v>0</v>
      </c>
      <c r="E31" s="135">
        <f t="shared" si="0"/>
        <v>0</v>
      </c>
      <c r="F31" s="74">
        <f>'0.ArdiData28Fixed'!D30</f>
        <v>62</v>
      </c>
      <c r="G31" s="145">
        <f t="shared" si="1"/>
        <v>57.758928571428569</v>
      </c>
      <c r="J31" s="119"/>
      <c r="K31" s="119"/>
      <c r="L31"/>
      <c r="M31"/>
      <c r="N31"/>
      <c r="O31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"/>
      <c r="AN31" s="6"/>
      <c r="AO31" s="6"/>
      <c r="AP31" s="6"/>
      <c r="AQ31" s="6"/>
      <c r="AR31" s="6"/>
      <c r="AS31" s="6"/>
    </row>
    <row r="32" spans="1:62" ht="16.5" x14ac:dyDescent="0.3">
      <c r="A32" s="120">
        <v>29</v>
      </c>
      <c r="B32"/>
      <c r="C32"/>
      <c r="D32"/>
      <c r="E32"/>
      <c r="F32"/>
      <c r="G32" s="119"/>
      <c r="J32" s="109"/>
      <c r="K32"/>
      <c r="L32"/>
      <c r="M32"/>
      <c r="N32"/>
      <c r="O32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"/>
      <c r="AN32" s="6"/>
      <c r="AO32" s="6"/>
      <c r="AP32" s="6"/>
      <c r="AQ32" s="6"/>
      <c r="AR32" s="6"/>
      <c r="AS32" s="6"/>
      <c r="BF32"/>
      <c r="BG32"/>
      <c r="BH32"/>
      <c r="BI32"/>
      <c r="BJ32"/>
    </row>
    <row r="33" spans="1:62" x14ac:dyDescent="0.25">
      <c r="A33"/>
      <c r="B33"/>
      <c r="C33"/>
      <c r="D33"/>
      <c r="E33"/>
      <c r="F33"/>
      <c r="G33" s="65"/>
      <c r="H33" s="65"/>
      <c r="I33" s="65"/>
      <c r="J33"/>
      <c r="K33"/>
      <c r="L33"/>
      <c r="M33"/>
      <c r="N33"/>
      <c r="O33"/>
      <c r="P33"/>
      <c r="Q33"/>
      <c r="R33"/>
      <c r="S33"/>
      <c r="T33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"/>
      <c r="AN33" s="6"/>
      <c r="AO33" s="6"/>
      <c r="AP33" s="6"/>
      <c r="AQ33" s="6"/>
      <c r="AR33" s="6"/>
      <c r="AS33" s="6"/>
      <c r="BF33"/>
      <c r="BG33"/>
      <c r="BH33"/>
      <c r="BI33"/>
      <c r="BJ33"/>
    </row>
    <row r="34" spans="1:62" x14ac:dyDescent="0.25">
      <c r="A34"/>
      <c r="J34"/>
      <c r="K34"/>
      <c r="L34"/>
      <c r="M34"/>
      <c r="N34"/>
      <c r="O34"/>
      <c r="P34"/>
      <c r="Q34"/>
      <c r="R34"/>
      <c r="S34"/>
      <c r="T34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"/>
      <c r="AN34" s="6"/>
      <c r="AO34" s="6"/>
      <c r="AP34" s="6"/>
      <c r="AQ34" s="6"/>
      <c r="AR34" s="6"/>
      <c r="AS34" s="6"/>
      <c r="BF34"/>
      <c r="BG34"/>
      <c r="BH34"/>
      <c r="BI34"/>
      <c r="BJ34"/>
    </row>
    <row r="35" spans="1:62" x14ac:dyDescent="0.25">
      <c r="A35"/>
      <c r="J35"/>
      <c r="K35"/>
      <c r="L35"/>
      <c r="M35"/>
      <c r="N35"/>
      <c r="O35"/>
      <c r="P35"/>
      <c r="Q35"/>
      <c r="R35"/>
      <c r="S35"/>
      <c r="T3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"/>
      <c r="AN35" s="6"/>
      <c r="AO35" s="6"/>
      <c r="AP35" s="6"/>
      <c r="AQ35" s="6"/>
      <c r="AR35" s="6"/>
      <c r="AS35" s="6"/>
      <c r="BF35"/>
      <c r="BG35"/>
      <c r="BH35"/>
      <c r="BI35"/>
      <c r="BJ35"/>
    </row>
    <row r="36" spans="1:62" x14ac:dyDescent="0.25">
      <c r="A36"/>
      <c r="J36"/>
      <c r="K36"/>
      <c r="L36"/>
      <c r="M36"/>
      <c r="N36"/>
      <c r="O36"/>
      <c r="P36"/>
      <c r="Q36"/>
      <c r="R36"/>
      <c r="S36"/>
      <c r="T36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"/>
      <c r="AN36" s="6"/>
      <c r="AO36" s="6"/>
      <c r="AP36" s="6"/>
      <c r="AQ36" s="6"/>
      <c r="AR36" s="6"/>
      <c r="AS36" s="6"/>
      <c r="BF36"/>
      <c r="BG36"/>
      <c r="BH36"/>
      <c r="BI36"/>
      <c r="BJ36"/>
    </row>
    <row r="37" spans="1:62" x14ac:dyDescent="0.25">
      <c r="A37"/>
      <c r="J37"/>
      <c r="K37"/>
      <c r="L37"/>
      <c r="M37"/>
      <c r="N37"/>
      <c r="O37"/>
      <c r="P37"/>
      <c r="Q37"/>
      <c r="R37"/>
      <c r="S37"/>
      <c r="T37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"/>
      <c r="AN37" s="6"/>
      <c r="AO37" s="6"/>
      <c r="AP37" s="6"/>
      <c r="AQ37" s="6"/>
      <c r="AR37" s="6"/>
      <c r="AS37" s="6"/>
      <c r="BF37"/>
      <c r="BG37"/>
      <c r="BH37"/>
      <c r="BI37"/>
      <c r="BJ37"/>
    </row>
    <row r="38" spans="1:62" x14ac:dyDescent="0.25">
      <c r="A38"/>
      <c r="J38"/>
      <c r="K38"/>
      <c r="L38"/>
      <c r="M38"/>
      <c r="N38"/>
      <c r="O38"/>
      <c r="P38"/>
      <c r="Q38"/>
      <c r="R38"/>
      <c r="S38"/>
      <c r="T38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"/>
      <c r="AN38" s="6"/>
      <c r="AO38" s="6"/>
      <c r="AP38" s="6"/>
      <c r="AQ38" s="6"/>
      <c r="AR38" s="6"/>
      <c r="AS38" s="6"/>
      <c r="BF38"/>
      <c r="BG38"/>
      <c r="BH38"/>
      <c r="BI38"/>
      <c r="BJ38"/>
    </row>
    <row r="39" spans="1:62" x14ac:dyDescent="0.25">
      <c r="A39"/>
      <c r="J39"/>
      <c r="K39"/>
      <c r="L39"/>
      <c r="M39"/>
      <c r="N39"/>
      <c r="O39"/>
      <c r="P39"/>
      <c r="Q39"/>
      <c r="R39"/>
      <c r="S39"/>
      <c r="T39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"/>
      <c r="AN39" s="6"/>
      <c r="AO39" s="6"/>
      <c r="AP39" s="6"/>
      <c r="AQ39" s="6"/>
      <c r="AR39" s="6"/>
      <c r="AS39" s="6"/>
      <c r="BF39"/>
      <c r="BG39"/>
      <c r="BH39"/>
      <c r="BI39"/>
      <c r="BJ39"/>
    </row>
    <row r="40" spans="1:62" x14ac:dyDescent="0.25">
      <c r="A40"/>
      <c r="J40"/>
      <c r="K40"/>
      <c r="L40"/>
      <c r="M40"/>
      <c r="N40"/>
      <c r="O40"/>
      <c r="P40"/>
      <c r="Q40"/>
      <c r="R40"/>
      <c r="S40"/>
      <c r="T40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"/>
      <c r="AN40" s="6"/>
      <c r="AO40" s="6"/>
      <c r="AP40" s="6"/>
      <c r="AQ40" s="6"/>
      <c r="AR40" s="6"/>
      <c r="AS40" s="6"/>
      <c r="BF40"/>
      <c r="BG40"/>
      <c r="BH40"/>
      <c r="BI40"/>
      <c r="BJ40"/>
    </row>
    <row r="41" spans="1:62" x14ac:dyDescent="0.25">
      <c r="A41"/>
      <c r="J41"/>
      <c r="K41"/>
      <c r="L41"/>
      <c r="M41"/>
      <c r="N41"/>
      <c r="O41"/>
      <c r="P41"/>
      <c r="Q41"/>
      <c r="R41"/>
      <c r="S41"/>
      <c r="T41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"/>
      <c r="AN41" s="6"/>
      <c r="AO41" s="6"/>
      <c r="AP41" s="6"/>
      <c r="AQ41" s="6"/>
      <c r="AR41" s="6"/>
      <c r="AS41" s="6"/>
      <c r="BF41"/>
      <c r="BG41"/>
      <c r="BH41"/>
      <c r="BI41"/>
      <c r="BJ41"/>
    </row>
    <row r="42" spans="1:62" x14ac:dyDescent="0.25">
      <c r="A42"/>
      <c r="J42"/>
      <c r="K42"/>
      <c r="L42"/>
      <c r="M42"/>
      <c r="N42"/>
      <c r="O42"/>
      <c r="P42"/>
      <c r="Q42"/>
      <c r="R42"/>
      <c r="S42"/>
      <c r="T42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"/>
      <c r="AN42" s="6"/>
      <c r="AO42" s="6"/>
      <c r="AP42" s="6"/>
      <c r="AQ42" s="6"/>
      <c r="AR42" s="6"/>
      <c r="AS42" s="6"/>
      <c r="BF42"/>
      <c r="BG42"/>
      <c r="BH42"/>
      <c r="BI42"/>
      <c r="BJ42"/>
    </row>
    <row r="43" spans="1:62" x14ac:dyDescent="0.25">
      <c r="A43"/>
      <c r="B43" s="57" t="s">
        <v>122</v>
      </c>
      <c r="C43"/>
      <c r="D43"/>
      <c r="E43"/>
      <c r="F43"/>
      <c r="G43" s="65"/>
      <c r="H43" s="65"/>
      <c r="I43" s="65"/>
      <c r="J43"/>
      <c r="K43"/>
      <c r="L43"/>
      <c r="M43"/>
      <c r="N43"/>
      <c r="O43"/>
      <c r="P43"/>
      <c r="Q43"/>
      <c r="R43"/>
      <c r="S43"/>
      <c r="T43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"/>
      <c r="AN43" s="6"/>
      <c r="AO43" s="6"/>
      <c r="AP43" s="6"/>
      <c r="AQ43" s="6"/>
      <c r="AR43" s="6"/>
      <c r="AS43" s="6"/>
      <c r="BF43"/>
      <c r="BG43"/>
      <c r="BH43"/>
      <c r="BI43"/>
      <c r="BJ43"/>
    </row>
    <row r="44" spans="1:62" x14ac:dyDescent="0.25">
      <c r="A44"/>
      <c r="B44" s="57" t="s">
        <v>121</v>
      </c>
      <c r="C44" s="118"/>
      <c r="D44"/>
      <c r="E44"/>
      <c r="F44"/>
      <c r="G44" s="65"/>
      <c r="H44" s="65"/>
      <c r="I44" s="65"/>
      <c r="J44"/>
      <c r="K44"/>
      <c r="L44"/>
      <c r="M44"/>
      <c r="N44"/>
      <c r="O44"/>
      <c r="P44"/>
      <c r="Q44"/>
      <c r="R44"/>
      <c r="S44"/>
      <c r="T44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"/>
      <c r="AN44" s="6"/>
      <c r="AO44" s="6"/>
      <c r="AP44" s="6"/>
      <c r="AQ44" s="6"/>
      <c r="AR44" s="6"/>
      <c r="AS44" s="6"/>
      <c r="BF44"/>
      <c r="BG44"/>
      <c r="BH44"/>
      <c r="BI44"/>
      <c r="BJ44"/>
    </row>
    <row r="45" spans="1:62" x14ac:dyDescent="0.25">
      <c r="A45"/>
      <c r="B45" s="57" t="s">
        <v>123</v>
      </c>
      <c r="C45"/>
      <c r="D45"/>
      <c r="E45"/>
      <c r="F45"/>
      <c r="G45" s="65"/>
      <c r="H45" s="65"/>
      <c r="I45" s="65"/>
      <c r="J45"/>
      <c r="K45"/>
      <c r="L45"/>
      <c r="M45"/>
      <c r="N45"/>
      <c r="O45"/>
      <c r="P45"/>
      <c r="Q45"/>
      <c r="R45"/>
      <c r="S45"/>
      <c r="T4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"/>
      <c r="AN45" s="6"/>
      <c r="AO45" s="6"/>
      <c r="AP45" s="6"/>
      <c r="AQ45" s="6"/>
      <c r="AR45" s="6"/>
      <c r="AS45" s="6"/>
      <c r="BF45"/>
      <c r="BG45"/>
      <c r="BH45"/>
      <c r="BI45"/>
      <c r="BJ45"/>
    </row>
    <row r="46" spans="1:62" x14ac:dyDescent="0.25">
      <c r="A46"/>
      <c r="B46" s="129" t="s">
        <v>119</v>
      </c>
      <c r="C46"/>
      <c r="D46"/>
      <c r="E46"/>
      <c r="F46"/>
      <c r="G46" s="65"/>
      <c r="H46" s="65"/>
      <c r="I46" s="65"/>
      <c r="J46"/>
      <c r="K46"/>
      <c r="L46"/>
      <c r="M46"/>
      <c r="N46"/>
      <c r="O46"/>
      <c r="P46"/>
      <c r="Q46"/>
      <c r="R46"/>
      <c r="S46"/>
      <c r="T46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"/>
      <c r="AN46" s="6"/>
      <c r="AO46" s="6"/>
      <c r="AP46" s="6"/>
      <c r="AQ46" s="6"/>
      <c r="AR46" s="6"/>
      <c r="AS46" s="6"/>
      <c r="BF46"/>
      <c r="BG46"/>
      <c r="BH46"/>
      <c r="BI46"/>
      <c r="BJ46"/>
    </row>
    <row r="47" spans="1:62" x14ac:dyDescent="0.25">
      <c r="A47"/>
      <c r="B47" t="s">
        <v>124</v>
      </c>
      <c r="C47"/>
      <c r="D47"/>
      <c r="E47"/>
      <c r="F47"/>
      <c r="G47" s="65"/>
      <c r="H47" s="65"/>
      <c r="I47" s="65"/>
      <c r="J47"/>
      <c r="K47"/>
      <c r="L47"/>
      <c r="M47"/>
      <c r="N47"/>
      <c r="O47"/>
      <c r="P47"/>
      <c r="Q47"/>
      <c r="R47"/>
      <c r="S47"/>
      <c r="T47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"/>
      <c r="AN47" s="6"/>
      <c r="AO47" s="6"/>
      <c r="AP47" s="6"/>
      <c r="AQ47" s="6"/>
      <c r="AR47" s="6"/>
      <c r="AS47" s="6"/>
      <c r="BF47"/>
      <c r="BG47"/>
      <c r="BH47"/>
      <c r="BI47"/>
      <c r="BJ47"/>
    </row>
    <row r="48" spans="1:62" x14ac:dyDescent="0.25">
      <c r="A48"/>
      <c r="B48" t="s">
        <v>125</v>
      </c>
      <c r="C48"/>
      <c r="D48"/>
      <c r="E48"/>
      <c r="F48"/>
      <c r="G48" s="65"/>
      <c r="H48" s="65"/>
      <c r="I48" s="65"/>
      <c r="J48"/>
      <c r="K48"/>
      <c r="L48"/>
      <c r="M48"/>
      <c r="N48"/>
      <c r="O48"/>
      <c r="P48"/>
      <c r="Q48"/>
      <c r="R48"/>
      <c r="S48"/>
      <c r="T48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"/>
      <c r="AN48" s="6"/>
      <c r="AO48" s="6"/>
      <c r="AP48" s="6"/>
      <c r="AQ48" s="6"/>
      <c r="AR48" s="6"/>
      <c r="AS48" s="6"/>
      <c r="BF48"/>
      <c r="BG48"/>
      <c r="BH48"/>
      <c r="BI48"/>
      <c r="BJ48"/>
    </row>
    <row r="49" spans="1:62" x14ac:dyDescent="0.25">
      <c r="A49"/>
      <c r="B49" t="s">
        <v>126</v>
      </c>
      <c r="C49"/>
      <c r="D49"/>
      <c r="E49"/>
      <c r="F49"/>
      <c r="G49" s="65"/>
      <c r="H49" s="65"/>
      <c r="I49" s="65"/>
      <c r="J49"/>
      <c r="K49"/>
      <c r="L49"/>
      <c r="M49"/>
      <c r="N49"/>
      <c r="O49"/>
      <c r="P49"/>
      <c r="Q49"/>
      <c r="R49"/>
      <c r="S49"/>
      <c r="T49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"/>
      <c r="AN49" s="6"/>
      <c r="AO49" s="6"/>
      <c r="AP49" s="6"/>
      <c r="AQ49" s="6"/>
      <c r="AR49" s="6"/>
      <c r="AS49" s="6"/>
      <c r="BF49"/>
      <c r="BG49"/>
      <c r="BH49"/>
      <c r="BI49"/>
      <c r="BJ49"/>
    </row>
    <row r="50" spans="1:62" x14ac:dyDescent="0.25">
      <c r="A50"/>
      <c r="B50" t="s">
        <v>120</v>
      </c>
      <c r="C50"/>
      <c r="D50"/>
      <c r="E50"/>
      <c r="F50"/>
      <c r="G50" s="65"/>
      <c r="H50" s="65"/>
      <c r="I50" s="65"/>
      <c r="J50"/>
      <c r="K50"/>
      <c r="L50"/>
      <c r="M50"/>
      <c r="N50"/>
      <c r="O50"/>
      <c r="P50"/>
      <c r="Q50"/>
      <c r="R50"/>
      <c r="S50"/>
      <c r="T50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"/>
      <c r="AN50" s="6"/>
      <c r="AO50" s="6"/>
      <c r="AP50" s="6"/>
      <c r="AQ50" s="6"/>
      <c r="AR50" s="6"/>
      <c r="AS50" s="6"/>
      <c r="BF50"/>
      <c r="BG50"/>
      <c r="BH50"/>
      <c r="BI50"/>
      <c r="BJ50"/>
    </row>
    <row r="51" spans="1:62" x14ac:dyDescent="0.25">
      <c r="A51"/>
      <c r="B51" t="s">
        <v>127</v>
      </c>
      <c r="C51"/>
      <c r="D51"/>
      <c r="E51"/>
      <c r="F51"/>
      <c r="G51" s="65"/>
      <c r="H51" s="65"/>
      <c r="I51" s="65"/>
      <c r="J51"/>
      <c r="K51"/>
      <c r="L51"/>
      <c r="M51"/>
      <c r="N51"/>
      <c r="O51"/>
      <c r="P51"/>
      <c r="Q51"/>
      <c r="R51"/>
      <c r="S51"/>
      <c r="T51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"/>
      <c r="AN51" s="6"/>
      <c r="AO51" s="6"/>
      <c r="AP51" s="6"/>
      <c r="AQ51" s="6"/>
      <c r="AR51" s="6"/>
      <c r="AS51" s="6"/>
      <c r="BF51"/>
      <c r="BG51"/>
      <c r="BH51"/>
      <c r="BI51"/>
      <c r="BJ51"/>
    </row>
    <row r="52" spans="1:62" x14ac:dyDescent="0.25">
      <c r="A52"/>
      <c r="B52"/>
      <c r="C52"/>
      <c r="D52"/>
      <c r="E52"/>
      <c r="F52"/>
      <c r="G52" s="65"/>
      <c r="H52" s="65"/>
      <c r="I52" s="65"/>
      <c r="J52"/>
      <c r="K52"/>
      <c r="L52"/>
      <c r="M52"/>
      <c r="N52"/>
      <c r="O52"/>
      <c r="P52"/>
      <c r="Q52"/>
      <c r="R52"/>
      <c r="S52"/>
      <c r="T52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"/>
      <c r="AN52" s="6"/>
      <c r="AO52" s="6"/>
      <c r="AP52" s="6"/>
      <c r="AQ52" s="6"/>
      <c r="AR52" s="6"/>
      <c r="AS52" s="6"/>
      <c r="BF52"/>
      <c r="BG52"/>
      <c r="BH52"/>
      <c r="BI52"/>
      <c r="BJ52"/>
    </row>
    <row r="53" spans="1:62" x14ac:dyDescent="0.25">
      <c r="A53"/>
      <c r="B53"/>
      <c r="C53"/>
      <c r="D53"/>
      <c r="E53"/>
      <c r="F53"/>
      <c r="G53" s="65"/>
      <c r="H53" s="65"/>
      <c r="I53" s="65"/>
      <c r="J53"/>
      <c r="K53"/>
      <c r="L53"/>
      <c r="M53"/>
      <c r="N53"/>
      <c r="O53"/>
      <c r="P53"/>
      <c r="Q53"/>
      <c r="R53"/>
      <c r="S53"/>
      <c r="T53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"/>
      <c r="AN53" s="6"/>
      <c r="AO53" s="6"/>
      <c r="AP53" s="6"/>
      <c r="AQ53" s="6"/>
      <c r="AR53" s="6"/>
      <c r="AS53" s="6"/>
      <c r="BF53"/>
      <c r="BG53"/>
      <c r="BH53"/>
      <c r="BI53"/>
      <c r="BJ53"/>
    </row>
    <row r="54" spans="1:62" x14ac:dyDescent="0.25">
      <c r="A54"/>
      <c r="B54"/>
      <c r="C54"/>
      <c r="D54"/>
      <c r="E54"/>
      <c r="F54"/>
      <c r="G54" s="65"/>
      <c r="H54" s="65"/>
      <c r="I54" s="65"/>
      <c r="J54"/>
      <c r="K54"/>
      <c r="L54"/>
      <c r="M54"/>
      <c r="N54"/>
      <c r="O54"/>
      <c r="P54"/>
      <c r="Q54"/>
      <c r="R54"/>
      <c r="S54"/>
      <c r="T54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"/>
      <c r="AN54" s="6"/>
      <c r="AO54" s="6"/>
      <c r="AP54" s="6"/>
      <c r="AQ54" s="6"/>
      <c r="AR54" s="6"/>
      <c r="AS54" s="6"/>
      <c r="BF54"/>
      <c r="BG54"/>
      <c r="BH54"/>
      <c r="BI54"/>
      <c r="BJ54"/>
    </row>
    <row r="55" spans="1:62" x14ac:dyDescent="0.25">
      <c r="A55"/>
      <c r="B55"/>
      <c r="C55"/>
      <c r="D55"/>
      <c r="E55"/>
      <c r="F55"/>
      <c r="G55" s="65"/>
      <c r="H55" s="65"/>
      <c r="I55" s="65"/>
      <c r="J55"/>
      <c r="K55"/>
      <c r="L55"/>
      <c r="M55"/>
      <c r="N55"/>
      <c r="O55"/>
      <c r="P55"/>
      <c r="Q55"/>
      <c r="R55"/>
      <c r="S55"/>
      <c r="T5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"/>
      <c r="AN55" s="6"/>
      <c r="AO55" s="6"/>
      <c r="AP55" s="6"/>
      <c r="AQ55" s="6"/>
      <c r="AR55" s="6"/>
      <c r="AS55" s="6"/>
      <c r="BF55"/>
      <c r="BG55"/>
      <c r="BH55"/>
      <c r="BI55"/>
      <c r="BJ55"/>
    </row>
    <row r="56" spans="1:62" x14ac:dyDescent="0.25">
      <c r="A56"/>
      <c r="B56"/>
      <c r="C56"/>
      <c r="D56"/>
      <c r="E56"/>
      <c r="F56"/>
      <c r="G56" s="65"/>
      <c r="H56" s="65"/>
      <c r="I56" s="65"/>
      <c r="J56"/>
      <c r="K56"/>
      <c r="L56"/>
      <c r="M56"/>
      <c r="N56"/>
      <c r="O56"/>
      <c r="P56"/>
      <c r="Q56"/>
      <c r="R56"/>
      <c r="S56"/>
      <c r="T56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"/>
      <c r="AN56" s="6"/>
      <c r="AO56" s="6"/>
      <c r="AP56" s="6"/>
      <c r="AQ56" s="6"/>
      <c r="AR56" s="6"/>
      <c r="AS56" s="6"/>
      <c r="BF56"/>
      <c r="BG56"/>
      <c r="BH56"/>
      <c r="BI56"/>
      <c r="BJ56"/>
    </row>
    <row r="57" spans="1:62" x14ac:dyDescent="0.25">
      <c r="A57"/>
      <c r="B57"/>
      <c r="C57"/>
      <c r="D57"/>
      <c r="E57"/>
      <c r="F57"/>
      <c r="G57" s="65"/>
      <c r="H57" s="65"/>
      <c r="I57" s="65"/>
      <c r="J57"/>
      <c r="K57"/>
      <c r="L57"/>
      <c r="M57"/>
      <c r="N57"/>
      <c r="O57"/>
      <c r="P57"/>
      <c r="Q57"/>
      <c r="R57"/>
      <c r="S57"/>
      <c r="T57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"/>
      <c r="AN57" s="6"/>
      <c r="AO57" s="6"/>
      <c r="AP57" s="6"/>
      <c r="AQ57" s="6"/>
      <c r="AR57" s="6"/>
      <c r="AS57" s="6"/>
      <c r="BF57"/>
      <c r="BG57"/>
      <c r="BH57"/>
      <c r="BI57"/>
      <c r="BJ57"/>
    </row>
    <row r="58" spans="1:62" x14ac:dyDescent="0.25">
      <c r="A58"/>
      <c r="B58"/>
      <c r="C58"/>
      <c r="D58"/>
      <c r="E58"/>
      <c r="F58"/>
      <c r="G58" s="65"/>
      <c r="H58" s="65"/>
      <c r="I58" s="65"/>
      <c r="J58"/>
      <c r="K58"/>
      <c r="L58"/>
      <c r="M58"/>
      <c r="N58"/>
      <c r="O58"/>
      <c r="P58"/>
      <c r="Q58"/>
      <c r="R58"/>
      <c r="S58"/>
      <c r="T58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"/>
      <c r="AN58" s="6"/>
      <c r="AO58" s="6"/>
      <c r="AP58" s="6"/>
      <c r="AQ58" s="6"/>
      <c r="AR58" s="6"/>
      <c r="AS58" s="6"/>
      <c r="BF58"/>
      <c r="BG58"/>
      <c r="BH58"/>
      <c r="BI58"/>
      <c r="BJ58"/>
    </row>
    <row r="59" spans="1:62" x14ac:dyDescent="0.25">
      <c r="A59"/>
      <c r="B59"/>
      <c r="C59"/>
      <c r="D59"/>
      <c r="E59"/>
      <c r="F59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"/>
      <c r="AN59" s="6"/>
      <c r="AO59" s="6"/>
      <c r="AP59" s="6"/>
      <c r="AQ59" s="6"/>
      <c r="AR59" s="6"/>
      <c r="AS59" s="6"/>
      <c r="BF59"/>
      <c r="BG59"/>
      <c r="BH59"/>
      <c r="BI59"/>
      <c r="BJ59"/>
    </row>
    <row r="60" spans="1:62" x14ac:dyDescent="0.25">
      <c r="A60"/>
      <c r="B60"/>
      <c r="C60"/>
      <c r="D60"/>
      <c r="E60"/>
      <c r="F60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"/>
      <c r="AN60" s="6"/>
      <c r="AO60" s="6"/>
      <c r="AP60" s="6"/>
      <c r="AQ60" s="6"/>
      <c r="AR60" s="6"/>
      <c r="AS60" s="6"/>
      <c r="BF60"/>
      <c r="BG60"/>
      <c r="BH60"/>
      <c r="BI60"/>
      <c r="BJ60"/>
    </row>
    <row r="61" spans="1:62" x14ac:dyDescent="0.25">
      <c r="A61"/>
      <c r="B61"/>
      <c r="C61"/>
      <c r="D61"/>
      <c r="E61"/>
      <c r="F61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"/>
      <c r="AN61" s="6"/>
      <c r="AO61" s="6"/>
      <c r="AP61" s="6"/>
      <c r="AQ61" s="6"/>
      <c r="AR61" s="6"/>
      <c r="AS61" s="6"/>
      <c r="BF61"/>
      <c r="BG61"/>
      <c r="BH61"/>
      <c r="BI61"/>
      <c r="BJ61"/>
    </row>
    <row r="62" spans="1:62" x14ac:dyDescent="0.25">
      <c r="A62"/>
      <c r="B62"/>
      <c r="C62"/>
      <c r="D62"/>
      <c r="E62"/>
      <c r="F62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"/>
      <c r="AN62" s="6"/>
      <c r="AO62" s="6"/>
      <c r="AP62" s="6"/>
      <c r="AQ62" s="6"/>
      <c r="AR62" s="6"/>
      <c r="AS62" s="6"/>
      <c r="BF62"/>
      <c r="BG62"/>
      <c r="BH62"/>
      <c r="BI62"/>
      <c r="BJ62"/>
    </row>
    <row r="63" spans="1:62" x14ac:dyDescent="0.25">
      <c r="A63"/>
      <c r="B63"/>
      <c r="C63"/>
      <c r="D63"/>
      <c r="E63"/>
      <c r="F63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"/>
      <c r="AN63" s="6"/>
      <c r="AO63" s="6"/>
      <c r="AP63" s="6"/>
      <c r="AQ63" s="6"/>
      <c r="AR63" s="6"/>
      <c r="AS63" s="6"/>
      <c r="BF63"/>
      <c r="BG63"/>
      <c r="BH63"/>
      <c r="BI63"/>
      <c r="BJ63"/>
    </row>
    <row r="64" spans="1:62" x14ac:dyDescent="0.25">
      <c r="A64"/>
      <c r="B64"/>
      <c r="C64"/>
      <c r="D64"/>
      <c r="E64"/>
      <c r="F64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"/>
      <c r="AN64" s="6"/>
      <c r="AO64" s="6"/>
      <c r="AP64" s="6"/>
      <c r="AQ64" s="6"/>
      <c r="AR64" s="6"/>
      <c r="AS64" s="6"/>
      <c r="BF64"/>
      <c r="BG64"/>
      <c r="BH64"/>
      <c r="BI64"/>
      <c r="BJ64"/>
    </row>
    <row r="65" spans="1:62" x14ac:dyDescent="0.25">
      <c r="A65"/>
      <c r="B65"/>
      <c r="C65"/>
      <c r="D65"/>
      <c r="E65"/>
      <c r="F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"/>
      <c r="AN65" s="6"/>
      <c r="AO65" s="6"/>
      <c r="AP65" s="6"/>
      <c r="AQ65" s="6"/>
      <c r="AR65" s="6"/>
      <c r="AS65" s="6"/>
      <c r="BF65"/>
      <c r="BG65"/>
      <c r="BH65"/>
      <c r="BI65"/>
      <c r="BJ65"/>
    </row>
    <row r="66" spans="1:62" x14ac:dyDescent="0.25">
      <c r="A66"/>
      <c r="B66"/>
      <c r="C66"/>
      <c r="D66"/>
      <c r="E66"/>
      <c r="F66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"/>
      <c r="AN66" s="6"/>
      <c r="AO66" s="6"/>
      <c r="AP66" s="6"/>
      <c r="AQ66" s="6"/>
      <c r="AR66" s="6"/>
      <c r="AS66" s="6"/>
      <c r="BF66"/>
      <c r="BG66"/>
      <c r="BH66"/>
      <c r="BI66"/>
      <c r="BJ66"/>
    </row>
    <row r="67" spans="1:62" x14ac:dyDescent="0.25">
      <c r="A67"/>
      <c r="B67"/>
      <c r="C67"/>
      <c r="D67"/>
      <c r="E67"/>
      <c r="F67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"/>
      <c r="AN67" s="6"/>
      <c r="AO67" s="6"/>
      <c r="AP67" s="6"/>
      <c r="AQ67" s="6"/>
      <c r="AR67" s="6"/>
      <c r="AS67" s="6"/>
      <c r="BF67"/>
      <c r="BG67"/>
      <c r="BH67"/>
      <c r="BI67"/>
      <c r="BJ67"/>
    </row>
    <row r="68" spans="1:62" x14ac:dyDescent="0.25">
      <c r="A68"/>
      <c r="B68"/>
      <c r="C68"/>
      <c r="D68"/>
      <c r="E68"/>
      <c r="F68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"/>
      <c r="AN68" s="6"/>
      <c r="AO68" s="6"/>
      <c r="AP68" s="6"/>
      <c r="AQ68" s="6"/>
      <c r="AR68" s="6"/>
      <c r="AS68" s="6"/>
      <c r="BF68"/>
      <c r="BG68"/>
      <c r="BH68"/>
      <c r="BI68"/>
      <c r="BJ68"/>
    </row>
    <row r="69" spans="1:62" x14ac:dyDescent="0.25">
      <c r="A69"/>
      <c r="B69"/>
      <c r="C69"/>
      <c r="D69"/>
      <c r="E69"/>
      <c r="F69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"/>
      <c r="AN69" s="6"/>
      <c r="AO69" s="6"/>
      <c r="AP69" s="6"/>
      <c r="AQ69" s="6"/>
      <c r="AR69" s="6"/>
      <c r="AS69" s="6"/>
      <c r="BF69"/>
      <c r="BG69"/>
      <c r="BH69"/>
      <c r="BI69"/>
      <c r="BJ69"/>
    </row>
    <row r="70" spans="1:62" x14ac:dyDescent="0.25">
      <c r="A70"/>
      <c r="B70"/>
      <c r="C70"/>
      <c r="D70"/>
      <c r="E70"/>
      <c r="F70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"/>
      <c r="AN70" s="6"/>
      <c r="AO70" s="6"/>
      <c r="AP70" s="6"/>
      <c r="AQ70" s="6"/>
      <c r="AR70" s="6"/>
      <c r="AS70" s="6"/>
      <c r="BF70"/>
      <c r="BG70"/>
      <c r="BH70"/>
      <c r="BI70"/>
      <c r="BJ70"/>
    </row>
    <row r="71" spans="1:62" x14ac:dyDescent="0.25">
      <c r="A71"/>
      <c r="B71"/>
      <c r="C71"/>
      <c r="D71"/>
      <c r="E71"/>
      <c r="F71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"/>
      <c r="AN71" s="6"/>
      <c r="AO71" s="6"/>
      <c r="AP71" s="6"/>
      <c r="AQ71" s="6"/>
      <c r="AR71" s="6"/>
      <c r="AS71" s="6"/>
      <c r="BF71"/>
      <c r="BG71"/>
      <c r="BH71"/>
      <c r="BI71"/>
      <c r="BJ71"/>
    </row>
    <row r="72" spans="1:62" x14ac:dyDescent="0.25">
      <c r="A72"/>
      <c r="B72"/>
      <c r="C72"/>
      <c r="D72"/>
      <c r="E72"/>
      <c r="F72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"/>
      <c r="AN72" s="6"/>
      <c r="AO72" s="6"/>
      <c r="AP72" s="6"/>
      <c r="AQ72" s="6"/>
      <c r="AR72" s="6"/>
      <c r="AS72" s="6"/>
      <c r="BF72"/>
      <c r="BG72"/>
      <c r="BH72"/>
      <c r="BI72"/>
      <c r="BJ72"/>
    </row>
    <row r="73" spans="1:62" x14ac:dyDescent="0.25">
      <c r="A73"/>
      <c r="B73"/>
      <c r="C73"/>
      <c r="D73"/>
      <c r="E73"/>
      <c r="F73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"/>
      <c r="AN73" s="6"/>
      <c r="AO73" s="6"/>
      <c r="AP73" s="6"/>
      <c r="AQ73" s="6"/>
      <c r="AR73" s="6"/>
      <c r="AS73" s="6"/>
      <c r="BF73"/>
      <c r="BG73"/>
      <c r="BH73"/>
      <c r="BI73"/>
      <c r="BJ73"/>
    </row>
    <row r="74" spans="1:62" x14ac:dyDescent="0.25">
      <c r="A74"/>
      <c r="B74"/>
      <c r="C74"/>
      <c r="D74"/>
      <c r="E74"/>
      <c r="F74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BF74"/>
      <c r="BG74"/>
      <c r="BH74"/>
      <c r="BI74"/>
      <c r="BJ74"/>
    </row>
    <row r="75" spans="1:62" x14ac:dyDescent="0.25">
      <c r="A75"/>
      <c r="B75"/>
      <c r="C75"/>
      <c r="D75"/>
      <c r="E75"/>
      <c r="F7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BF75"/>
      <c r="BG75"/>
      <c r="BH75"/>
      <c r="BI75"/>
      <c r="BJ75"/>
    </row>
    <row r="76" spans="1:62" x14ac:dyDescent="0.25">
      <c r="A76"/>
      <c r="B76"/>
      <c r="C76"/>
      <c r="D76"/>
      <c r="E76"/>
      <c r="F76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BF76"/>
      <c r="BG76"/>
      <c r="BH76"/>
      <c r="BI76"/>
      <c r="BJ76"/>
    </row>
    <row r="77" spans="1:62" x14ac:dyDescent="0.25">
      <c r="A77"/>
      <c r="B77"/>
      <c r="C77"/>
      <c r="D77"/>
      <c r="E77"/>
      <c r="F77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BF77"/>
      <c r="BG77"/>
      <c r="BH77"/>
      <c r="BI77"/>
      <c r="BJ77"/>
    </row>
    <row r="78" spans="1:62" x14ac:dyDescent="0.25">
      <c r="A78"/>
      <c r="B78"/>
      <c r="C78"/>
      <c r="D78"/>
      <c r="E78"/>
      <c r="F78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BF78"/>
      <c r="BG78"/>
      <c r="BH78"/>
      <c r="BI78"/>
      <c r="BJ78"/>
    </row>
    <row r="79" spans="1:62" ht="16.5" x14ac:dyDescent="0.3">
      <c r="A79"/>
      <c r="B79"/>
      <c r="C79"/>
      <c r="D79"/>
      <c r="E79"/>
      <c r="F79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BF79"/>
      <c r="BG79"/>
      <c r="BH79"/>
      <c r="BI79"/>
      <c r="BJ79"/>
    </row>
    <row r="80" spans="1:62" ht="16.5" x14ac:dyDescent="0.3">
      <c r="A80"/>
      <c r="B80"/>
      <c r="C80"/>
      <c r="D80"/>
      <c r="E80"/>
      <c r="F80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BF80"/>
      <c r="BG80"/>
      <c r="BH80"/>
      <c r="BI80"/>
      <c r="BJ80"/>
    </row>
    <row r="81" spans="1:62" ht="16.5" x14ac:dyDescent="0.3">
      <c r="A81"/>
      <c r="B81"/>
      <c r="C81"/>
      <c r="D81"/>
      <c r="E81"/>
      <c r="F81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BF81"/>
      <c r="BG81"/>
      <c r="BH81"/>
      <c r="BI81"/>
      <c r="BJ81"/>
    </row>
    <row r="82" spans="1:62" ht="16.5" x14ac:dyDescent="0.3">
      <c r="A82"/>
      <c r="B82"/>
      <c r="C82"/>
      <c r="D82"/>
      <c r="E82"/>
      <c r="F82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BF82"/>
      <c r="BG82"/>
      <c r="BH82"/>
      <c r="BI82"/>
      <c r="BJ82"/>
    </row>
    <row r="83" spans="1:62" ht="16.5" x14ac:dyDescent="0.3">
      <c r="A83"/>
      <c r="B83"/>
      <c r="C83"/>
      <c r="D83"/>
      <c r="E83"/>
      <c r="F83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BF83"/>
      <c r="BG83"/>
      <c r="BH83"/>
      <c r="BI83"/>
      <c r="BJ83"/>
    </row>
    <row r="84" spans="1:62" ht="16.5" x14ac:dyDescent="0.3">
      <c r="A84"/>
      <c r="B84"/>
      <c r="C84"/>
      <c r="D84"/>
      <c r="E84"/>
      <c r="F84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BF84"/>
      <c r="BG84"/>
      <c r="BH84"/>
      <c r="BI84"/>
      <c r="BJ84"/>
    </row>
    <row r="85" spans="1:62" ht="16.5" x14ac:dyDescent="0.3">
      <c r="A85"/>
      <c r="B85"/>
      <c r="C85"/>
      <c r="D85"/>
      <c r="E85"/>
      <c r="F85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BF85"/>
      <c r="BG85"/>
      <c r="BH85"/>
      <c r="BI85"/>
      <c r="BJ85"/>
    </row>
    <row r="86" spans="1:62" ht="16.5" x14ac:dyDescent="0.3">
      <c r="A86"/>
      <c r="B86"/>
      <c r="C86"/>
      <c r="D86"/>
      <c r="E86"/>
      <c r="F86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BF86"/>
      <c r="BG86"/>
      <c r="BH86"/>
      <c r="BI86"/>
      <c r="BJ86"/>
    </row>
    <row r="87" spans="1:62" ht="16.5" x14ac:dyDescent="0.3">
      <c r="A87"/>
      <c r="B87"/>
      <c r="C87"/>
      <c r="D87"/>
      <c r="E87"/>
      <c r="F87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BF87"/>
      <c r="BG87"/>
      <c r="BH87"/>
      <c r="BI87"/>
      <c r="BJ87"/>
    </row>
    <row r="88" spans="1:62" ht="16.5" x14ac:dyDescent="0.3">
      <c r="A88"/>
      <c r="B88"/>
      <c r="C88"/>
      <c r="D88"/>
      <c r="E88"/>
      <c r="F88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</row>
    <row r="89" spans="1:62" ht="16.5" x14ac:dyDescent="0.3">
      <c r="A89"/>
      <c r="B89"/>
      <c r="C89"/>
      <c r="D89"/>
      <c r="E89"/>
      <c r="F89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</row>
    <row r="90" spans="1:62" ht="16.5" x14ac:dyDescent="0.3">
      <c r="A90"/>
      <c r="B90"/>
      <c r="C90"/>
      <c r="D90"/>
      <c r="E90"/>
      <c r="F90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</row>
    <row r="91" spans="1:62" x14ac:dyDescent="0.25">
      <c r="A91"/>
      <c r="B91"/>
      <c r="C91"/>
      <c r="D91"/>
      <c r="E91"/>
      <c r="F91"/>
    </row>
    <row r="92" spans="1:62" x14ac:dyDescent="0.25">
      <c r="A92"/>
      <c r="B92"/>
      <c r="C92"/>
      <c r="D92"/>
      <c r="E92"/>
      <c r="F92"/>
    </row>
    <row r="93" spans="1:62" x14ac:dyDescent="0.25">
      <c r="A93"/>
      <c r="B93"/>
      <c r="C93"/>
      <c r="D93"/>
      <c r="E93"/>
      <c r="F93"/>
    </row>
    <row r="94" spans="1:62" x14ac:dyDescent="0.25">
      <c r="A94"/>
      <c r="B94"/>
      <c r="C94"/>
      <c r="D94"/>
      <c r="E94"/>
      <c r="F94"/>
    </row>
    <row r="95" spans="1:62" x14ac:dyDescent="0.25">
      <c r="A95"/>
      <c r="B95"/>
      <c r="C95"/>
      <c r="D95"/>
      <c r="E95"/>
      <c r="F95"/>
    </row>
    <row r="96" spans="1:62" x14ac:dyDescent="0.25">
      <c r="A96"/>
      <c r="B96"/>
      <c r="C96"/>
      <c r="D96"/>
      <c r="E96"/>
      <c r="F96"/>
    </row>
    <row r="97" spans="1:6" x14ac:dyDescent="0.25">
      <c r="A97"/>
      <c r="B97"/>
      <c r="C97"/>
      <c r="D97"/>
      <c r="E97"/>
      <c r="F97"/>
    </row>
    <row r="98" spans="1:6" x14ac:dyDescent="0.25">
      <c r="A98"/>
      <c r="B98"/>
      <c r="C98"/>
      <c r="D98"/>
      <c r="E98"/>
      <c r="F98"/>
    </row>
    <row r="99" spans="1:6" x14ac:dyDescent="0.25">
      <c r="A99"/>
      <c r="B99"/>
      <c r="C99"/>
      <c r="D99"/>
      <c r="E99"/>
      <c r="F99"/>
    </row>
    <row r="100" spans="1:6" x14ac:dyDescent="0.25">
      <c r="A100"/>
      <c r="B100"/>
      <c r="C100"/>
      <c r="D100"/>
      <c r="E100"/>
      <c r="F100"/>
    </row>
    <row r="101" spans="1:6" x14ac:dyDescent="0.25">
      <c r="A101"/>
      <c r="B101"/>
      <c r="C101"/>
      <c r="D101"/>
      <c r="E101"/>
      <c r="F101"/>
    </row>
    <row r="102" spans="1:6" x14ac:dyDescent="0.25">
      <c r="A102"/>
      <c r="B102"/>
      <c r="C102"/>
      <c r="D102"/>
      <c r="E102"/>
      <c r="F102"/>
    </row>
    <row r="103" spans="1:6" x14ac:dyDescent="0.25">
      <c r="A103"/>
      <c r="B103"/>
      <c r="C103"/>
      <c r="D103"/>
      <c r="E103"/>
      <c r="F103"/>
    </row>
    <row r="104" spans="1:6" x14ac:dyDescent="0.25">
      <c r="A104"/>
      <c r="B104"/>
      <c r="C104"/>
      <c r="D104"/>
      <c r="E104"/>
      <c r="F104"/>
    </row>
    <row r="105" spans="1:6" x14ac:dyDescent="0.25">
      <c r="A105"/>
      <c r="B105"/>
      <c r="C105"/>
      <c r="D105"/>
      <c r="E105"/>
      <c r="F105"/>
    </row>
    <row r="106" spans="1:6" x14ac:dyDescent="0.25">
      <c r="A106"/>
      <c r="B106"/>
      <c r="C106"/>
      <c r="D106"/>
      <c r="E106"/>
      <c r="F106"/>
    </row>
    <row r="107" spans="1:6" x14ac:dyDescent="0.25">
      <c r="A107"/>
      <c r="B107"/>
      <c r="C107"/>
      <c r="D107"/>
      <c r="E107"/>
      <c r="F107"/>
    </row>
    <row r="108" spans="1:6" x14ac:dyDescent="0.25">
      <c r="A108"/>
      <c r="B108"/>
      <c r="C108"/>
      <c r="D108"/>
      <c r="E108"/>
      <c r="F108"/>
    </row>
    <row r="109" spans="1:6" x14ac:dyDescent="0.25">
      <c r="A109"/>
      <c r="B109"/>
      <c r="C109"/>
      <c r="D109"/>
      <c r="E109"/>
      <c r="F109"/>
    </row>
    <row r="110" spans="1:6" x14ac:dyDescent="0.25">
      <c r="A110"/>
      <c r="B110"/>
      <c r="C110"/>
      <c r="D110"/>
      <c r="E110"/>
      <c r="F110"/>
    </row>
    <row r="111" spans="1:6" x14ac:dyDescent="0.25">
      <c r="A111"/>
      <c r="B111"/>
      <c r="C111"/>
      <c r="D111"/>
      <c r="E111"/>
      <c r="F111"/>
    </row>
    <row r="112" spans="1:6" x14ac:dyDescent="0.25">
      <c r="A112"/>
      <c r="B112"/>
      <c r="C112"/>
      <c r="D112"/>
      <c r="E112"/>
      <c r="F112"/>
    </row>
    <row r="113" spans="1:6" x14ac:dyDescent="0.25">
      <c r="A113"/>
      <c r="B113"/>
      <c r="C113"/>
      <c r="D113"/>
      <c r="E113"/>
      <c r="F113"/>
    </row>
    <row r="114" spans="1:6" x14ac:dyDescent="0.25">
      <c r="A114"/>
      <c r="B114"/>
      <c r="C114"/>
      <c r="D114"/>
      <c r="E114"/>
      <c r="F114"/>
    </row>
    <row r="115" spans="1:6" x14ac:dyDescent="0.25">
      <c r="A115"/>
      <c r="B115"/>
      <c r="C115"/>
      <c r="D115"/>
      <c r="E115"/>
      <c r="F115"/>
    </row>
    <row r="116" spans="1:6" x14ac:dyDescent="0.25">
      <c r="A116"/>
      <c r="B116"/>
      <c r="C116"/>
      <c r="D116"/>
      <c r="E116"/>
      <c r="F116"/>
    </row>
    <row r="117" spans="1:6" x14ac:dyDescent="0.25">
      <c r="A117"/>
      <c r="B117"/>
      <c r="C117"/>
      <c r="D117"/>
      <c r="E117"/>
      <c r="F117"/>
    </row>
    <row r="118" spans="1:6" x14ac:dyDescent="0.25">
      <c r="A118"/>
      <c r="B118"/>
      <c r="C118"/>
      <c r="D118"/>
      <c r="E118"/>
      <c r="F118"/>
    </row>
    <row r="119" spans="1:6" x14ac:dyDescent="0.25">
      <c r="A119"/>
      <c r="B119"/>
      <c r="C119"/>
      <c r="D119"/>
      <c r="E119"/>
      <c r="F119"/>
    </row>
    <row r="120" spans="1:6" x14ac:dyDescent="0.25">
      <c r="A120"/>
      <c r="B120"/>
      <c r="C120"/>
      <c r="D120"/>
      <c r="E120"/>
      <c r="F120"/>
    </row>
    <row r="121" spans="1:6" x14ac:dyDescent="0.25">
      <c r="A121"/>
      <c r="B121"/>
      <c r="C121"/>
      <c r="D121"/>
      <c r="E121"/>
      <c r="F121"/>
    </row>
    <row r="122" spans="1:6" x14ac:dyDescent="0.25">
      <c r="A122"/>
      <c r="B122"/>
      <c r="C122"/>
      <c r="D122"/>
      <c r="E122"/>
      <c r="F122"/>
    </row>
    <row r="123" spans="1:6" x14ac:dyDescent="0.25">
      <c r="A123"/>
      <c r="B123"/>
      <c r="C123"/>
      <c r="D123"/>
      <c r="E123"/>
      <c r="F123"/>
    </row>
    <row r="124" spans="1:6" x14ac:dyDescent="0.25">
      <c r="A124"/>
      <c r="B124"/>
      <c r="C124"/>
      <c r="D124"/>
      <c r="E124"/>
      <c r="F124"/>
    </row>
    <row r="125" spans="1:6" x14ac:dyDescent="0.25">
      <c r="A125"/>
      <c r="B125"/>
      <c r="C125"/>
      <c r="D125"/>
      <c r="E125"/>
      <c r="F125"/>
    </row>
    <row r="126" spans="1:6" x14ac:dyDescent="0.25">
      <c r="A126"/>
      <c r="B126"/>
      <c r="C126"/>
      <c r="D126"/>
      <c r="E126"/>
      <c r="F126"/>
    </row>
    <row r="127" spans="1:6" x14ac:dyDescent="0.25">
      <c r="A127"/>
      <c r="B127"/>
      <c r="C127"/>
      <c r="D127"/>
      <c r="E127"/>
      <c r="F127"/>
    </row>
    <row r="128" spans="1:6" x14ac:dyDescent="0.25">
      <c r="A128"/>
      <c r="B128"/>
      <c r="C128"/>
      <c r="D128"/>
      <c r="E128"/>
      <c r="F128"/>
    </row>
    <row r="129" spans="1:6" x14ac:dyDescent="0.25">
      <c r="A129"/>
      <c r="B129"/>
      <c r="C129"/>
      <c r="D129"/>
      <c r="E129"/>
      <c r="F129"/>
    </row>
    <row r="130" spans="1:6" x14ac:dyDescent="0.25">
      <c r="A130"/>
      <c r="B130"/>
      <c r="C130"/>
      <c r="D130"/>
      <c r="E130"/>
      <c r="F130"/>
    </row>
    <row r="131" spans="1:6" x14ac:dyDescent="0.25">
      <c r="A131"/>
      <c r="B131"/>
      <c r="C131"/>
      <c r="D131"/>
      <c r="E131"/>
      <c r="F131"/>
    </row>
    <row r="132" spans="1:6" x14ac:dyDescent="0.25">
      <c r="A132"/>
      <c r="B132"/>
      <c r="C132"/>
      <c r="D132"/>
      <c r="E132"/>
      <c r="F132"/>
    </row>
    <row r="133" spans="1:6" x14ac:dyDescent="0.25">
      <c r="A133"/>
      <c r="B133"/>
      <c r="C133"/>
      <c r="D133"/>
      <c r="E133"/>
      <c r="F133"/>
    </row>
    <row r="134" spans="1:6" x14ac:dyDescent="0.25">
      <c r="A134"/>
      <c r="B134"/>
      <c r="C134"/>
      <c r="D134"/>
      <c r="E134"/>
      <c r="F134"/>
    </row>
    <row r="135" spans="1:6" x14ac:dyDescent="0.25">
      <c r="A135"/>
      <c r="B135"/>
      <c r="C135"/>
      <c r="D135"/>
      <c r="E135"/>
      <c r="F135"/>
    </row>
    <row r="136" spans="1:6" x14ac:dyDescent="0.25">
      <c r="A136"/>
      <c r="B136"/>
      <c r="C136"/>
      <c r="D136"/>
      <c r="E136"/>
      <c r="F136"/>
    </row>
    <row r="137" spans="1:6" x14ac:dyDescent="0.25">
      <c r="A137"/>
      <c r="B137"/>
      <c r="C137"/>
      <c r="D137"/>
      <c r="E137"/>
      <c r="F137"/>
    </row>
    <row r="138" spans="1:6" x14ac:dyDescent="0.25">
      <c r="A138"/>
      <c r="B138"/>
      <c r="C138"/>
      <c r="D138"/>
      <c r="E138"/>
      <c r="F138"/>
    </row>
    <row r="139" spans="1:6" x14ac:dyDescent="0.25">
      <c r="A139"/>
      <c r="B139"/>
      <c r="C139"/>
      <c r="D139"/>
      <c r="E139"/>
      <c r="F139"/>
    </row>
    <row r="140" spans="1:6" x14ac:dyDescent="0.25">
      <c r="A140"/>
      <c r="B140"/>
      <c r="C140"/>
      <c r="D140"/>
      <c r="E140"/>
      <c r="F140"/>
    </row>
    <row r="141" spans="1:6" x14ac:dyDescent="0.25">
      <c r="A141"/>
      <c r="B141"/>
      <c r="C141"/>
      <c r="D141"/>
      <c r="E141"/>
      <c r="F141"/>
    </row>
    <row r="142" spans="1:6" x14ac:dyDescent="0.25">
      <c r="A142"/>
      <c r="B142"/>
      <c r="C142"/>
      <c r="D142"/>
      <c r="E142"/>
      <c r="F142"/>
    </row>
    <row r="143" spans="1:6" x14ac:dyDescent="0.25">
      <c r="A143"/>
      <c r="B143"/>
      <c r="C143"/>
      <c r="D143"/>
      <c r="E143"/>
      <c r="F143"/>
    </row>
    <row r="144" spans="1:6" x14ac:dyDescent="0.25">
      <c r="A144"/>
      <c r="B144"/>
      <c r="C144"/>
      <c r="D144"/>
      <c r="E144"/>
      <c r="F144"/>
    </row>
    <row r="145" spans="1:6" x14ac:dyDescent="0.25">
      <c r="A145"/>
      <c r="B145"/>
      <c r="C145"/>
      <c r="D145"/>
      <c r="E145"/>
      <c r="F145"/>
    </row>
    <row r="146" spans="1:6" x14ac:dyDescent="0.25">
      <c r="A146"/>
      <c r="B146"/>
      <c r="C146"/>
      <c r="D146"/>
      <c r="E146"/>
      <c r="F146"/>
    </row>
    <row r="147" spans="1:6" x14ac:dyDescent="0.25">
      <c r="A147"/>
      <c r="B147"/>
      <c r="C147"/>
      <c r="D147"/>
      <c r="E147"/>
      <c r="F147"/>
    </row>
    <row r="148" spans="1:6" x14ac:dyDescent="0.25">
      <c r="A148"/>
      <c r="B148"/>
      <c r="C148"/>
      <c r="D148"/>
      <c r="E148"/>
      <c r="F148"/>
    </row>
    <row r="149" spans="1:6" x14ac:dyDescent="0.25">
      <c r="A149"/>
      <c r="B149"/>
      <c r="C149"/>
      <c r="D149"/>
      <c r="E149"/>
      <c r="F149"/>
    </row>
    <row r="150" spans="1:6" x14ac:dyDescent="0.25">
      <c r="A150"/>
      <c r="B150"/>
      <c r="C150"/>
      <c r="D150"/>
      <c r="E150"/>
      <c r="F150"/>
    </row>
    <row r="151" spans="1:6" x14ac:dyDescent="0.25">
      <c r="A151"/>
      <c r="B151"/>
      <c r="C151"/>
      <c r="D151"/>
      <c r="E151"/>
      <c r="F151"/>
    </row>
    <row r="152" spans="1:6" x14ac:dyDescent="0.25">
      <c r="A152"/>
      <c r="B152"/>
      <c r="C152"/>
      <c r="D152"/>
      <c r="E152"/>
      <c r="F152"/>
    </row>
    <row r="153" spans="1:6" x14ac:dyDescent="0.25">
      <c r="A153"/>
      <c r="B153"/>
      <c r="C153"/>
      <c r="D153"/>
      <c r="E153"/>
      <c r="F153"/>
    </row>
    <row r="154" spans="1:6" x14ac:dyDescent="0.25">
      <c r="A154"/>
      <c r="B154"/>
      <c r="C154"/>
      <c r="D154"/>
      <c r="E154"/>
      <c r="F154"/>
    </row>
    <row r="155" spans="1:6" x14ac:dyDescent="0.25">
      <c r="A155"/>
      <c r="B155"/>
      <c r="C155"/>
      <c r="D155"/>
      <c r="E155"/>
      <c r="F155"/>
    </row>
    <row r="156" spans="1:6" x14ac:dyDescent="0.25">
      <c r="A156"/>
      <c r="B156"/>
      <c r="C156"/>
      <c r="D156"/>
      <c r="E156"/>
      <c r="F156"/>
    </row>
    <row r="157" spans="1:6" x14ac:dyDescent="0.25">
      <c r="A157"/>
      <c r="B157"/>
      <c r="C157"/>
      <c r="D157"/>
      <c r="E157"/>
      <c r="F157"/>
    </row>
    <row r="158" spans="1:6" x14ac:dyDescent="0.25">
      <c r="A158"/>
      <c r="B158"/>
      <c r="C158"/>
      <c r="D158"/>
      <c r="E158"/>
      <c r="F158"/>
    </row>
    <row r="159" spans="1:6" x14ac:dyDescent="0.25">
      <c r="A159"/>
      <c r="B159"/>
      <c r="C159"/>
      <c r="D159"/>
      <c r="E159"/>
      <c r="F159"/>
    </row>
    <row r="160" spans="1:6" x14ac:dyDescent="0.25">
      <c r="A160"/>
      <c r="B160"/>
      <c r="C160"/>
      <c r="D160"/>
      <c r="E160"/>
      <c r="F160"/>
    </row>
    <row r="161" spans="1:6" x14ac:dyDescent="0.25">
      <c r="A161"/>
      <c r="B161"/>
      <c r="C161"/>
      <c r="D161"/>
      <c r="E161"/>
      <c r="F161"/>
    </row>
    <row r="162" spans="1:6" x14ac:dyDescent="0.25">
      <c r="A162"/>
      <c r="B162"/>
      <c r="C162"/>
      <c r="D162"/>
      <c r="E162"/>
      <c r="F162"/>
    </row>
    <row r="163" spans="1:6" x14ac:dyDescent="0.25">
      <c r="A163"/>
      <c r="B163"/>
      <c r="C163"/>
      <c r="D163"/>
      <c r="E163"/>
      <c r="F163"/>
    </row>
    <row r="164" spans="1:6" x14ac:dyDescent="0.25">
      <c r="A164"/>
      <c r="B164"/>
      <c r="C164"/>
      <c r="D164"/>
      <c r="E164"/>
      <c r="F164"/>
    </row>
    <row r="165" spans="1:6" x14ac:dyDescent="0.25">
      <c r="A165"/>
      <c r="B165"/>
      <c r="C165"/>
      <c r="D165"/>
      <c r="E165"/>
      <c r="F165"/>
    </row>
    <row r="166" spans="1:6" x14ac:dyDescent="0.25">
      <c r="A166"/>
      <c r="B166"/>
      <c r="C166"/>
      <c r="D166"/>
      <c r="E166"/>
      <c r="F166"/>
    </row>
    <row r="167" spans="1:6" x14ac:dyDescent="0.25">
      <c r="A167"/>
      <c r="B167"/>
      <c r="C167"/>
      <c r="D167"/>
      <c r="E167"/>
      <c r="F167"/>
    </row>
    <row r="168" spans="1:6" x14ac:dyDescent="0.25">
      <c r="A168"/>
      <c r="B168"/>
      <c r="C168"/>
      <c r="D168"/>
      <c r="E168"/>
      <c r="F168"/>
    </row>
    <row r="169" spans="1:6" x14ac:dyDescent="0.25">
      <c r="A169"/>
      <c r="B169"/>
      <c r="C169"/>
      <c r="D169"/>
      <c r="E169"/>
      <c r="F169"/>
    </row>
    <row r="170" spans="1:6" x14ac:dyDescent="0.25">
      <c r="A170"/>
      <c r="B170"/>
      <c r="C170"/>
      <c r="D170"/>
      <c r="E170"/>
      <c r="F170"/>
    </row>
    <row r="171" spans="1:6" x14ac:dyDescent="0.25">
      <c r="A171"/>
      <c r="B171"/>
      <c r="C171"/>
      <c r="D171"/>
      <c r="E171"/>
      <c r="F171"/>
    </row>
    <row r="172" spans="1:6" x14ac:dyDescent="0.25">
      <c r="A172"/>
      <c r="B172"/>
      <c r="C172"/>
      <c r="D172"/>
      <c r="E172"/>
      <c r="F172"/>
    </row>
    <row r="173" spans="1:6" x14ac:dyDescent="0.25">
      <c r="A173"/>
      <c r="B173"/>
      <c r="C173"/>
      <c r="D173"/>
      <c r="E173"/>
      <c r="F173"/>
    </row>
    <row r="174" spans="1:6" x14ac:dyDescent="0.25">
      <c r="A174"/>
      <c r="B174"/>
      <c r="C174"/>
      <c r="D174"/>
      <c r="E174"/>
      <c r="F174"/>
    </row>
    <row r="175" spans="1:6" x14ac:dyDescent="0.25">
      <c r="A175"/>
      <c r="B175"/>
      <c r="C175"/>
      <c r="D175"/>
      <c r="E175"/>
      <c r="F175"/>
    </row>
    <row r="176" spans="1:6" x14ac:dyDescent="0.25">
      <c r="A176"/>
      <c r="B176"/>
      <c r="C176"/>
      <c r="D176"/>
      <c r="E176"/>
      <c r="F176"/>
    </row>
    <row r="177" spans="1:6" x14ac:dyDescent="0.25">
      <c r="A177"/>
      <c r="B177"/>
      <c r="C177"/>
      <c r="D177"/>
      <c r="E177"/>
      <c r="F177"/>
    </row>
    <row r="178" spans="1:6" x14ac:dyDescent="0.25">
      <c r="A178"/>
      <c r="B178"/>
      <c r="C178"/>
      <c r="D178"/>
      <c r="E178"/>
      <c r="F178"/>
    </row>
    <row r="179" spans="1:6" x14ac:dyDescent="0.25">
      <c r="A179"/>
      <c r="B179"/>
      <c r="C179"/>
      <c r="D179"/>
      <c r="E179"/>
      <c r="F179"/>
    </row>
    <row r="180" spans="1:6" x14ac:dyDescent="0.25">
      <c r="A180"/>
      <c r="B180"/>
      <c r="C180"/>
      <c r="D180"/>
      <c r="E180"/>
      <c r="F180"/>
    </row>
    <row r="181" spans="1:6" x14ac:dyDescent="0.25">
      <c r="A181"/>
      <c r="B181"/>
      <c r="C181"/>
      <c r="D181"/>
      <c r="E181"/>
      <c r="F181"/>
    </row>
    <row r="182" spans="1:6" x14ac:dyDescent="0.25">
      <c r="A182"/>
      <c r="B182"/>
      <c r="C182"/>
      <c r="D182"/>
      <c r="E182"/>
      <c r="F182"/>
    </row>
    <row r="183" spans="1:6" x14ac:dyDescent="0.25">
      <c r="A183"/>
      <c r="B183"/>
      <c r="C183"/>
      <c r="D183"/>
      <c r="E183"/>
      <c r="F183"/>
    </row>
    <row r="184" spans="1:6" x14ac:dyDescent="0.25">
      <c r="A184"/>
      <c r="B184"/>
      <c r="C184"/>
      <c r="D184"/>
      <c r="E184"/>
      <c r="F184"/>
    </row>
    <row r="185" spans="1:6" x14ac:dyDescent="0.25">
      <c r="A185"/>
      <c r="B185"/>
      <c r="C185"/>
      <c r="D185"/>
      <c r="E185"/>
      <c r="F185"/>
    </row>
    <row r="186" spans="1:6" x14ac:dyDescent="0.25">
      <c r="A186"/>
      <c r="B186"/>
      <c r="C186"/>
      <c r="D186"/>
      <c r="E186"/>
      <c r="F186"/>
    </row>
    <row r="187" spans="1:6" x14ac:dyDescent="0.25">
      <c r="A187"/>
      <c r="B187"/>
      <c r="C187"/>
      <c r="D187"/>
      <c r="E187"/>
      <c r="F187"/>
    </row>
    <row r="188" spans="1:6" x14ac:dyDescent="0.25">
      <c r="A188"/>
      <c r="B188"/>
      <c r="C188"/>
      <c r="D188"/>
      <c r="E188"/>
      <c r="F188"/>
    </row>
    <row r="189" spans="1:6" x14ac:dyDescent="0.25">
      <c r="A189"/>
      <c r="B189"/>
      <c r="C189"/>
      <c r="D189"/>
      <c r="E189"/>
      <c r="F189"/>
    </row>
    <row r="190" spans="1:6" x14ac:dyDescent="0.25">
      <c r="A190"/>
      <c r="B190"/>
      <c r="C190"/>
      <c r="D190"/>
      <c r="E190"/>
      <c r="F190"/>
    </row>
    <row r="191" spans="1:6" x14ac:dyDescent="0.25">
      <c r="A191"/>
      <c r="B191"/>
      <c r="C191"/>
      <c r="D191"/>
      <c r="E191"/>
      <c r="F191"/>
    </row>
    <row r="192" spans="1:6" x14ac:dyDescent="0.25">
      <c r="A192"/>
      <c r="B192"/>
      <c r="C192"/>
      <c r="D192"/>
      <c r="E192"/>
      <c r="F192"/>
    </row>
    <row r="193" spans="1:6" x14ac:dyDescent="0.25">
      <c r="A193"/>
      <c r="B193"/>
      <c r="C193"/>
      <c r="D193"/>
      <c r="E193"/>
      <c r="F193"/>
    </row>
    <row r="194" spans="1:6" x14ac:dyDescent="0.25">
      <c r="A194"/>
      <c r="B194"/>
      <c r="C194"/>
      <c r="D194"/>
      <c r="E194"/>
      <c r="F194"/>
    </row>
    <row r="195" spans="1:6" x14ac:dyDescent="0.25">
      <c r="A195"/>
      <c r="B195"/>
      <c r="C195"/>
      <c r="D195"/>
      <c r="E195"/>
      <c r="F195"/>
    </row>
    <row r="196" spans="1:6" x14ac:dyDescent="0.25">
      <c r="A196"/>
      <c r="B196"/>
      <c r="C196"/>
      <c r="D196"/>
      <c r="E196"/>
      <c r="F196"/>
    </row>
    <row r="197" spans="1:6" x14ac:dyDescent="0.25">
      <c r="A197"/>
      <c r="B197"/>
      <c r="C197"/>
      <c r="D197"/>
      <c r="E197"/>
      <c r="F197"/>
    </row>
    <row r="198" spans="1:6" x14ac:dyDescent="0.25">
      <c r="A198"/>
      <c r="B198"/>
      <c r="C198"/>
      <c r="D198"/>
      <c r="E198"/>
      <c r="F198"/>
    </row>
    <row r="199" spans="1:6" x14ac:dyDescent="0.25">
      <c r="A199"/>
      <c r="B199"/>
      <c r="C199"/>
      <c r="D199"/>
      <c r="E199"/>
      <c r="F199"/>
    </row>
    <row r="200" spans="1:6" x14ac:dyDescent="0.25">
      <c r="A200"/>
      <c r="B200"/>
      <c r="C200"/>
      <c r="D200"/>
      <c r="E200"/>
      <c r="F200"/>
    </row>
    <row r="201" spans="1:6" x14ac:dyDescent="0.25">
      <c r="A201"/>
      <c r="B201"/>
      <c r="C201"/>
      <c r="D201"/>
      <c r="E201"/>
      <c r="F201"/>
    </row>
    <row r="202" spans="1:6" x14ac:dyDescent="0.25">
      <c r="A202"/>
      <c r="B202"/>
      <c r="C202"/>
      <c r="D202"/>
      <c r="E202"/>
      <c r="F202"/>
    </row>
    <row r="203" spans="1:6" x14ac:dyDescent="0.25">
      <c r="A203"/>
      <c r="B203"/>
      <c r="C203"/>
      <c r="D203"/>
      <c r="E203"/>
      <c r="F203"/>
    </row>
    <row r="204" spans="1:6" x14ac:dyDescent="0.25">
      <c r="A204"/>
      <c r="B204"/>
      <c r="C204"/>
      <c r="D204"/>
      <c r="E204"/>
      <c r="F204"/>
    </row>
    <row r="205" spans="1:6" x14ac:dyDescent="0.25">
      <c r="A205"/>
      <c r="B205"/>
      <c r="C205"/>
      <c r="D205"/>
      <c r="E205"/>
      <c r="F205"/>
    </row>
    <row r="206" spans="1:6" x14ac:dyDescent="0.25">
      <c r="A206"/>
      <c r="B206"/>
      <c r="C206"/>
      <c r="D206"/>
      <c r="E206"/>
      <c r="F206"/>
    </row>
    <row r="207" spans="1:6" x14ac:dyDescent="0.25">
      <c r="A207"/>
      <c r="B207"/>
      <c r="C207"/>
      <c r="D207"/>
      <c r="E207"/>
      <c r="F207"/>
    </row>
    <row r="208" spans="1:6" x14ac:dyDescent="0.25">
      <c r="A208"/>
      <c r="B208"/>
      <c r="C208"/>
      <c r="D208"/>
      <c r="E208"/>
      <c r="F208"/>
    </row>
    <row r="209" spans="1:6" x14ac:dyDescent="0.25">
      <c r="A209"/>
      <c r="B209"/>
      <c r="C209"/>
      <c r="D209"/>
      <c r="E209"/>
      <c r="F209"/>
    </row>
    <row r="210" spans="1:6" x14ac:dyDescent="0.25">
      <c r="A210"/>
      <c r="B210"/>
      <c r="C210"/>
      <c r="D210"/>
      <c r="E210"/>
      <c r="F210"/>
    </row>
    <row r="211" spans="1:6" x14ac:dyDescent="0.25">
      <c r="A211"/>
      <c r="B211"/>
      <c r="C211"/>
      <c r="D211"/>
      <c r="E211"/>
      <c r="F211"/>
    </row>
    <row r="212" spans="1:6" x14ac:dyDescent="0.25">
      <c r="A212"/>
      <c r="B212"/>
      <c r="C212"/>
      <c r="D212"/>
      <c r="E212"/>
      <c r="F212"/>
    </row>
    <row r="213" spans="1:6" x14ac:dyDescent="0.25">
      <c r="A213"/>
      <c r="B213"/>
      <c r="C213"/>
      <c r="D213"/>
      <c r="E213"/>
      <c r="F213"/>
    </row>
    <row r="214" spans="1:6" x14ac:dyDescent="0.25">
      <c r="A214"/>
      <c r="B214"/>
      <c r="C214"/>
      <c r="D214"/>
      <c r="E214"/>
      <c r="F214"/>
    </row>
    <row r="215" spans="1:6" x14ac:dyDescent="0.25">
      <c r="A215"/>
      <c r="B215"/>
      <c r="C215"/>
      <c r="D215"/>
      <c r="E215"/>
      <c r="F215"/>
    </row>
    <row r="216" spans="1:6" x14ac:dyDescent="0.25">
      <c r="A216"/>
      <c r="B216"/>
      <c r="C216"/>
      <c r="D216"/>
      <c r="E216"/>
      <c r="F216"/>
    </row>
    <row r="217" spans="1:6" x14ac:dyDescent="0.25">
      <c r="A217"/>
      <c r="B217"/>
      <c r="C217"/>
      <c r="D217"/>
      <c r="E217"/>
      <c r="F217"/>
    </row>
    <row r="218" spans="1:6" x14ac:dyDescent="0.25">
      <c r="A218"/>
      <c r="B218"/>
      <c r="C218"/>
      <c r="D218"/>
      <c r="E218"/>
      <c r="F218"/>
    </row>
    <row r="219" spans="1:6" x14ac:dyDescent="0.25">
      <c r="A219"/>
      <c r="B219"/>
      <c r="C219"/>
      <c r="D219"/>
      <c r="E219"/>
      <c r="F219"/>
    </row>
    <row r="220" spans="1:6" x14ac:dyDescent="0.25">
      <c r="A220"/>
      <c r="B220"/>
      <c r="C220"/>
      <c r="D220"/>
      <c r="E220"/>
      <c r="F220"/>
    </row>
    <row r="221" spans="1:6" x14ac:dyDescent="0.25">
      <c r="A221"/>
      <c r="B221"/>
      <c r="C221"/>
      <c r="D221"/>
      <c r="E221"/>
      <c r="F221"/>
    </row>
    <row r="222" spans="1:6" x14ac:dyDescent="0.25">
      <c r="A222"/>
      <c r="B222"/>
      <c r="C222"/>
      <c r="D222"/>
      <c r="E222"/>
      <c r="F222"/>
    </row>
    <row r="223" spans="1:6" x14ac:dyDescent="0.25">
      <c r="A223"/>
      <c r="B223"/>
      <c r="C223"/>
      <c r="D223"/>
      <c r="E223"/>
      <c r="F223"/>
    </row>
    <row r="224" spans="1:6" x14ac:dyDescent="0.25">
      <c r="A224"/>
      <c r="B224"/>
      <c r="C224"/>
      <c r="D224"/>
      <c r="E224"/>
      <c r="F224"/>
    </row>
    <row r="225" spans="1:6" x14ac:dyDescent="0.25">
      <c r="A225"/>
      <c r="B225"/>
      <c r="C225"/>
      <c r="D225"/>
      <c r="E225"/>
      <c r="F225"/>
    </row>
    <row r="226" spans="1:6" x14ac:dyDescent="0.25">
      <c r="A226"/>
      <c r="B226"/>
      <c r="C226"/>
      <c r="D226"/>
      <c r="E226"/>
      <c r="F226"/>
    </row>
    <row r="227" spans="1:6" x14ac:dyDescent="0.25">
      <c r="A227"/>
      <c r="B227"/>
      <c r="C227"/>
      <c r="D227"/>
      <c r="E227"/>
      <c r="F227"/>
    </row>
    <row r="228" spans="1:6" x14ac:dyDescent="0.25">
      <c r="A228"/>
      <c r="B228"/>
      <c r="C228"/>
      <c r="D228"/>
      <c r="E228"/>
      <c r="F228"/>
    </row>
    <row r="229" spans="1:6" x14ac:dyDescent="0.25">
      <c r="A229"/>
      <c r="B229"/>
      <c r="C229"/>
      <c r="D229"/>
      <c r="E229"/>
      <c r="F229"/>
    </row>
    <row r="230" spans="1:6" x14ac:dyDescent="0.25">
      <c r="A230"/>
      <c r="B230"/>
      <c r="C230"/>
      <c r="D230"/>
      <c r="E230"/>
      <c r="F230"/>
    </row>
    <row r="231" spans="1:6" x14ac:dyDescent="0.25">
      <c r="A231"/>
      <c r="B231"/>
      <c r="C231"/>
      <c r="D231"/>
      <c r="E231"/>
      <c r="F231"/>
    </row>
    <row r="232" spans="1:6" x14ac:dyDescent="0.25">
      <c r="A232"/>
      <c r="B232"/>
      <c r="C232"/>
      <c r="D232"/>
      <c r="E232"/>
      <c r="F232"/>
    </row>
    <row r="233" spans="1:6" x14ac:dyDescent="0.25">
      <c r="A233"/>
      <c r="B233"/>
      <c r="C233"/>
      <c r="D233"/>
      <c r="E233"/>
      <c r="F233"/>
    </row>
    <row r="234" spans="1:6" x14ac:dyDescent="0.25">
      <c r="A234"/>
      <c r="B234"/>
      <c r="C234"/>
      <c r="D234"/>
      <c r="E234"/>
      <c r="F234"/>
    </row>
    <row r="235" spans="1:6" x14ac:dyDescent="0.25">
      <c r="A235"/>
      <c r="B235"/>
      <c r="C235"/>
      <c r="D235"/>
      <c r="E235"/>
      <c r="F235"/>
    </row>
    <row r="236" spans="1:6" x14ac:dyDescent="0.25">
      <c r="A236"/>
      <c r="B236"/>
      <c r="C236"/>
      <c r="D236"/>
      <c r="E236"/>
      <c r="F236"/>
    </row>
    <row r="237" spans="1:6" x14ac:dyDescent="0.25">
      <c r="A237"/>
      <c r="B237"/>
      <c r="C237"/>
      <c r="D237"/>
      <c r="E237"/>
      <c r="F237"/>
    </row>
    <row r="238" spans="1:6" x14ac:dyDescent="0.25">
      <c r="A238"/>
      <c r="B238"/>
      <c r="C238"/>
      <c r="D238"/>
      <c r="E238"/>
      <c r="F238"/>
    </row>
    <row r="239" spans="1:6" x14ac:dyDescent="0.25">
      <c r="A239"/>
      <c r="B239"/>
      <c r="C239"/>
      <c r="D239"/>
      <c r="E239"/>
      <c r="F239"/>
    </row>
    <row r="240" spans="1:6" x14ac:dyDescent="0.25">
      <c r="A240"/>
      <c r="B240"/>
      <c r="C240"/>
      <c r="D240"/>
      <c r="E240"/>
      <c r="F240"/>
    </row>
    <row r="241" spans="1:6" x14ac:dyDescent="0.25">
      <c r="A241"/>
      <c r="B241"/>
      <c r="C241"/>
      <c r="D241"/>
      <c r="E241"/>
      <c r="F241"/>
    </row>
    <row r="242" spans="1:6" x14ac:dyDescent="0.25">
      <c r="A242"/>
      <c r="B242"/>
      <c r="C242"/>
      <c r="D242"/>
      <c r="E242"/>
      <c r="F242"/>
    </row>
    <row r="243" spans="1:6" x14ac:dyDescent="0.25">
      <c r="A243"/>
      <c r="B243"/>
      <c r="C243"/>
      <c r="D243"/>
      <c r="E243"/>
      <c r="F243"/>
    </row>
    <row r="244" spans="1:6" x14ac:dyDescent="0.25">
      <c r="A244"/>
      <c r="B244"/>
      <c r="C244"/>
      <c r="D244"/>
      <c r="E244"/>
      <c r="F244"/>
    </row>
    <row r="245" spans="1:6" x14ac:dyDescent="0.25">
      <c r="A245"/>
      <c r="B245"/>
      <c r="C245"/>
      <c r="D245"/>
      <c r="E245"/>
      <c r="F245"/>
    </row>
    <row r="246" spans="1:6" x14ac:dyDescent="0.25">
      <c r="A246"/>
      <c r="B246"/>
      <c r="C246"/>
      <c r="D246"/>
      <c r="E246"/>
      <c r="F246"/>
    </row>
    <row r="247" spans="1:6" x14ac:dyDescent="0.25">
      <c r="A247"/>
      <c r="B247"/>
      <c r="C247"/>
      <c r="D247"/>
      <c r="E247"/>
      <c r="F247"/>
    </row>
    <row r="248" spans="1:6" x14ac:dyDescent="0.25">
      <c r="A248"/>
      <c r="B248"/>
      <c r="C248"/>
      <c r="D248"/>
      <c r="E248"/>
      <c r="F248"/>
    </row>
    <row r="249" spans="1:6" x14ac:dyDescent="0.25">
      <c r="A249"/>
      <c r="B249"/>
      <c r="C249"/>
      <c r="D249"/>
      <c r="E249"/>
      <c r="F249"/>
    </row>
    <row r="250" spans="1:6" x14ac:dyDescent="0.25">
      <c r="A250"/>
      <c r="B250"/>
      <c r="C250"/>
      <c r="D250"/>
      <c r="E250"/>
      <c r="F250"/>
    </row>
    <row r="251" spans="1:6" x14ac:dyDescent="0.25">
      <c r="A251"/>
      <c r="B251"/>
      <c r="C251"/>
      <c r="D251"/>
      <c r="E251"/>
      <c r="F251"/>
    </row>
    <row r="252" spans="1:6" x14ac:dyDescent="0.25">
      <c r="A252"/>
      <c r="B252"/>
      <c r="C252"/>
      <c r="D252"/>
      <c r="E252"/>
      <c r="F252"/>
    </row>
    <row r="253" spans="1:6" x14ac:dyDescent="0.25">
      <c r="A253"/>
      <c r="B253"/>
      <c r="C253"/>
      <c r="D253"/>
      <c r="E253"/>
      <c r="F253"/>
    </row>
    <row r="254" spans="1:6" x14ac:dyDescent="0.25">
      <c r="A254"/>
      <c r="B254"/>
      <c r="C254"/>
      <c r="D254"/>
      <c r="E254"/>
      <c r="F254"/>
    </row>
    <row r="255" spans="1:6" x14ac:dyDescent="0.25">
      <c r="A255"/>
      <c r="B255"/>
      <c r="C255"/>
      <c r="D255"/>
      <c r="E255"/>
      <c r="F255"/>
    </row>
    <row r="256" spans="1:6" x14ac:dyDescent="0.25">
      <c r="A256"/>
      <c r="B256"/>
      <c r="C256"/>
      <c r="D256"/>
      <c r="E256"/>
      <c r="F256"/>
    </row>
    <row r="257" spans="1:6" x14ac:dyDescent="0.25">
      <c r="A257"/>
      <c r="B257"/>
      <c r="C257"/>
      <c r="D257"/>
      <c r="E257"/>
      <c r="F257"/>
    </row>
    <row r="258" spans="1:6" x14ac:dyDescent="0.25">
      <c r="A258"/>
      <c r="B258"/>
      <c r="C258"/>
      <c r="D258"/>
      <c r="E258"/>
      <c r="F258"/>
    </row>
    <row r="259" spans="1:6" x14ac:dyDescent="0.25">
      <c r="A259"/>
      <c r="B259"/>
      <c r="C259"/>
      <c r="D259"/>
      <c r="E259"/>
      <c r="F259"/>
    </row>
    <row r="260" spans="1:6" x14ac:dyDescent="0.25">
      <c r="A260"/>
      <c r="B260"/>
      <c r="C260"/>
      <c r="D260"/>
      <c r="E260"/>
      <c r="F260"/>
    </row>
    <row r="261" spans="1:6" x14ac:dyDescent="0.25">
      <c r="A261"/>
      <c r="B261"/>
      <c r="C261"/>
      <c r="D261"/>
      <c r="E261"/>
      <c r="F261"/>
    </row>
    <row r="262" spans="1:6" x14ac:dyDescent="0.25">
      <c r="A262"/>
      <c r="B262"/>
      <c r="C262"/>
      <c r="D262"/>
      <c r="E262"/>
      <c r="F262"/>
    </row>
    <row r="263" spans="1:6" x14ac:dyDescent="0.25">
      <c r="A263"/>
      <c r="B263"/>
      <c r="C263"/>
      <c r="D263"/>
      <c r="E263"/>
      <c r="F263"/>
    </row>
    <row r="264" spans="1:6" x14ac:dyDescent="0.25">
      <c r="A264"/>
      <c r="B264"/>
      <c r="C264"/>
      <c r="D264"/>
      <c r="E264"/>
      <c r="F264"/>
    </row>
    <row r="265" spans="1:6" x14ac:dyDescent="0.25">
      <c r="A265"/>
      <c r="B265"/>
      <c r="C265"/>
      <c r="D265"/>
      <c r="E265"/>
      <c r="F265"/>
    </row>
    <row r="266" spans="1:6" x14ac:dyDescent="0.25">
      <c r="A266"/>
      <c r="B266"/>
      <c r="C266"/>
      <c r="D266"/>
      <c r="E266"/>
      <c r="F266"/>
    </row>
    <row r="267" spans="1:6" x14ac:dyDescent="0.25">
      <c r="A267"/>
      <c r="B267"/>
      <c r="C267"/>
      <c r="D267"/>
      <c r="E267"/>
      <c r="F267"/>
    </row>
    <row r="268" spans="1:6" x14ac:dyDescent="0.25">
      <c r="A268"/>
      <c r="B268"/>
      <c r="C268"/>
      <c r="D268"/>
      <c r="E268"/>
      <c r="F268"/>
    </row>
    <row r="269" spans="1:6" x14ac:dyDescent="0.25">
      <c r="A269"/>
      <c r="B269"/>
      <c r="C269"/>
      <c r="D269"/>
      <c r="E269"/>
      <c r="F269"/>
    </row>
    <row r="270" spans="1:6" x14ac:dyDescent="0.25">
      <c r="A270"/>
      <c r="B270"/>
      <c r="C270"/>
      <c r="D270"/>
      <c r="E270"/>
      <c r="F270"/>
    </row>
    <row r="271" spans="1:6" x14ac:dyDescent="0.25">
      <c r="A271"/>
      <c r="B271"/>
      <c r="C271"/>
      <c r="D271"/>
      <c r="E271"/>
      <c r="F271"/>
    </row>
    <row r="272" spans="1:6" x14ac:dyDescent="0.25">
      <c r="A272"/>
      <c r="B272"/>
      <c r="C272"/>
      <c r="D272"/>
      <c r="E272"/>
      <c r="F272"/>
    </row>
    <row r="273" spans="1:6" x14ac:dyDescent="0.25">
      <c r="A273"/>
      <c r="B273"/>
      <c r="C273"/>
      <c r="D273"/>
      <c r="E273"/>
      <c r="F273"/>
    </row>
    <row r="274" spans="1:6" x14ac:dyDescent="0.25">
      <c r="A274"/>
      <c r="B274"/>
      <c r="C274"/>
      <c r="D274"/>
      <c r="E274"/>
      <c r="F274"/>
    </row>
    <row r="275" spans="1:6" x14ac:dyDescent="0.25">
      <c r="A275"/>
      <c r="B275"/>
      <c r="C275"/>
      <c r="D275"/>
      <c r="E275"/>
      <c r="F275"/>
    </row>
    <row r="276" spans="1:6" x14ac:dyDescent="0.25">
      <c r="A276"/>
      <c r="B276"/>
      <c r="C276"/>
      <c r="D276"/>
      <c r="E276"/>
      <c r="F276"/>
    </row>
    <row r="277" spans="1:6" x14ac:dyDescent="0.25">
      <c r="A277"/>
      <c r="B277"/>
      <c r="C277"/>
      <c r="D277"/>
      <c r="E277"/>
      <c r="F277"/>
    </row>
    <row r="278" spans="1:6" x14ac:dyDescent="0.25">
      <c r="A278"/>
      <c r="B278"/>
      <c r="C278"/>
      <c r="D278"/>
      <c r="E278"/>
      <c r="F278"/>
    </row>
    <row r="279" spans="1:6" x14ac:dyDescent="0.25">
      <c r="A279"/>
      <c r="B279"/>
      <c r="C279"/>
      <c r="D279"/>
      <c r="E279"/>
      <c r="F279"/>
    </row>
    <row r="280" spans="1:6" x14ac:dyDescent="0.25">
      <c r="A280"/>
      <c r="B280"/>
      <c r="C280"/>
      <c r="D280"/>
      <c r="E280"/>
      <c r="F280"/>
    </row>
    <row r="281" spans="1:6" x14ac:dyDescent="0.25">
      <c r="A281"/>
      <c r="B281"/>
      <c r="C281"/>
      <c r="D281"/>
      <c r="E281"/>
      <c r="F281"/>
    </row>
    <row r="282" spans="1:6" x14ac:dyDescent="0.25">
      <c r="A282"/>
      <c r="B282"/>
      <c r="C282"/>
      <c r="D282"/>
      <c r="E282"/>
      <c r="F282"/>
    </row>
    <row r="283" spans="1:6" x14ac:dyDescent="0.25">
      <c r="A283"/>
      <c r="B283"/>
      <c r="C283"/>
      <c r="D283"/>
      <c r="E283"/>
      <c r="F283"/>
    </row>
    <row r="284" spans="1:6" x14ac:dyDescent="0.25">
      <c r="A284"/>
      <c r="B284"/>
      <c r="C284"/>
      <c r="D284"/>
      <c r="E284"/>
      <c r="F284"/>
    </row>
    <row r="285" spans="1:6" x14ac:dyDescent="0.25">
      <c r="A285"/>
      <c r="B285"/>
      <c r="C285"/>
      <c r="D285"/>
      <c r="E285"/>
      <c r="F285"/>
    </row>
    <row r="286" spans="1:6" x14ac:dyDescent="0.25">
      <c r="A286"/>
      <c r="B286"/>
      <c r="C286"/>
      <c r="D286"/>
      <c r="E286"/>
      <c r="F286"/>
    </row>
    <row r="287" spans="1:6" x14ac:dyDescent="0.25">
      <c r="A287"/>
      <c r="B287"/>
      <c r="C287"/>
      <c r="D287"/>
      <c r="E287"/>
      <c r="F287"/>
    </row>
    <row r="288" spans="1:6" x14ac:dyDescent="0.25">
      <c r="A288"/>
      <c r="B288"/>
      <c r="C288"/>
      <c r="D288"/>
      <c r="E288"/>
      <c r="F288"/>
    </row>
    <row r="289" spans="1:6" x14ac:dyDescent="0.25">
      <c r="A289"/>
      <c r="B289"/>
      <c r="C289"/>
      <c r="D289"/>
      <c r="E289"/>
      <c r="F289"/>
    </row>
    <row r="290" spans="1:6" x14ac:dyDescent="0.25">
      <c r="A290"/>
      <c r="B290"/>
      <c r="C290"/>
      <c r="D290"/>
      <c r="E290"/>
      <c r="F290"/>
    </row>
    <row r="291" spans="1:6" x14ac:dyDescent="0.25">
      <c r="A291"/>
      <c r="B291"/>
      <c r="C291"/>
      <c r="D291"/>
      <c r="E291"/>
      <c r="F291"/>
    </row>
    <row r="292" spans="1:6" x14ac:dyDescent="0.25">
      <c r="A292"/>
      <c r="B292"/>
      <c r="C292"/>
      <c r="D292"/>
      <c r="E292"/>
      <c r="F292"/>
    </row>
    <row r="293" spans="1:6" x14ac:dyDescent="0.25">
      <c r="A293"/>
      <c r="B293"/>
      <c r="C293"/>
      <c r="D293"/>
      <c r="E293"/>
      <c r="F293"/>
    </row>
    <row r="294" spans="1:6" x14ac:dyDescent="0.25">
      <c r="A294"/>
      <c r="B294"/>
      <c r="C294"/>
      <c r="D294"/>
      <c r="E294"/>
      <c r="F294"/>
    </row>
    <row r="295" spans="1:6" x14ac:dyDescent="0.25">
      <c r="A295"/>
      <c r="B295"/>
      <c r="C295"/>
      <c r="D295"/>
      <c r="E295"/>
      <c r="F295"/>
    </row>
    <row r="296" spans="1:6" x14ac:dyDescent="0.25">
      <c r="A296"/>
      <c r="B296"/>
      <c r="C296"/>
      <c r="D296"/>
      <c r="E296"/>
      <c r="F296"/>
    </row>
    <row r="297" spans="1:6" x14ac:dyDescent="0.25">
      <c r="A297"/>
      <c r="B297"/>
      <c r="C297"/>
      <c r="D297"/>
      <c r="E297"/>
      <c r="F297"/>
    </row>
    <row r="298" spans="1:6" x14ac:dyDescent="0.25">
      <c r="A298"/>
      <c r="B298"/>
      <c r="C298"/>
      <c r="D298"/>
      <c r="E298"/>
      <c r="F298"/>
    </row>
    <row r="299" spans="1:6" x14ac:dyDescent="0.25">
      <c r="A299"/>
      <c r="B299"/>
      <c r="C299"/>
      <c r="D299"/>
      <c r="E299"/>
      <c r="F299"/>
    </row>
    <row r="300" spans="1:6" x14ac:dyDescent="0.25">
      <c r="A300"/>
      <c r="B300"/>
      <c r="C300"/>
      <c r="D300"/>
      <c r="E300"/>
      <c r="F300"/>
    </row>
  </sheetData>
  <phoneticPr fontId="22" type="noConversion"/>
  <pageMargins left="0.75" right="0.75" top="1" bottom="1" header="0.5" footer="0.5"/>
  <pageSetup orientation="portrait" horizontalDpi="200" verticalDpi="2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78"/>
  <sheetViews>
    <sheetView zoomScale="98" zoomScaleNormal="98" workbookViewId="0">
      <selection activeCell="B3" sqref="B3"/>
    </sheetView>
  </sheetViews>
  <sheetFormatPr defaultColWidth="9.140625" defaultRowHeight="12.75" x14ac:dyDescent="0.2"/>
  <cols>
    <col min="1" max="1" width="4.42578125" style="3" bestFit="1" customWidth="1"/>
    <col min="2" max="2" width="6.28515625" style="3" bestFit="1" customWidth="1"/>
    <col min="3" max="3" width="8.42578125" style="3" bestFit="1" customWidth="1"/>
    <col min="4" max="4" width="6.28515625" style="3" customWidth="1"/>
    <col min="5" max="6" width="8" style="3" bestFit="1" customWidth="1"/>
    <col min="7" max="7" width="7.140625" style="3" bestFit="1" customWidth="1"/>
    <col min="8" max="8" width="6.28515625" style="3" bestFit="1" customWidth="1"/>
    <col min="9" max="9" width="4.28515625" style="3" bestFit="1" customWidth="1"/>
    <col min="10" max="10" width="11.5703125" style="3" bestFit="1" customWidth="1"/>
    <col min="11" max="11" width="8" style="3" bestFit="1" customWidth="1"/>
    <col min="12" max="12" width="9.140625" style="3"/>
    <col min="13" max="13" width="6.42578125" style="3" customWidth="1"/>
    <col min="14" max="22" width="4" style="3" customWidth="1"/>
    <col min="23" max="16384" width="9.140625" style="3"/>
  </cols>
  <sheetData>
    <row r="1" spans="1:23" x14ac:dyDescent="0.2">
      <c r="A1" s="2" t="str">
        <f>[3]ArdiData!A2</f>
        <v>Per.</v>
      </c>
      <c r="B1" s="4" t="s">
        <v>21</v>
      </c>
      <c r="C1" s="37" t="s">
        <v>66</v>
      </c>
      <c r="D1" s="39" t="s">
        <v>65</v>
      </c>
      <c r="E1" s="39" t="s">
        <v>64</v>
      </c>
      <c r="F1" s="35" t="s">
        <v>3</v>
      </c>
      <c r="G1" s="35" t="s">
        <v>2</v>
      </c>
      <c r="H1" s="36" t="s">
        <v>1</v>
      </c>
      <c r="I1" s="36" t="s">
        <v>24</v>
      </c>
      <c r="J1" s="35" t="s">
        <v>61</v>
      </c>
      <c r="K1" s="35" t="s">
        <v>60</v>
      </c>
      <c r="L1" s="38" t="s">
        <v>63</v>
      </c>
      <c r="M1" s="34">
        <f>0.2</f>
        <v>0.2</v>
      </c>
      <c r="N1" s="3" t="str">
        <f>" F(next) ~ N ( "&amp;ROUND(E78,0)&amp;", "&amp;ROUND(1.25*H77,0)&amp;")"</f>
        <v xml:space="preserve"> F(next) ~ N ( 11080, 664)</v>
      </c>
      <c r="Q1" s="33"/>
    </row>
    <row r="2" spans="1:23" x14ac:dyDescent="0.2">
      <c r="A2" s="2">
        <v>0</v>
      </c>
      <c r="B2" s="4"/>
      <c r="C2" s="4">
        <f>INTERCEPT(B3:B77,A3:A77)</f>
        <v>971.1200942372725</v>
      </c>
      <c r="D2" s="4">
        <f>SLOPE(B3:B77,A3:A77)</f>
        <v>101.48836362296417</v>
      </c>
      <c r="E2" s="4"/>
      <c r="F2" s="35"/>
      <c r="G2" s="35"/>
      <c r="H2" s="36"/>
      <c r="I2" s="36"/>
      <c r="J2" s="35"/>
      <c r="K2" s="35"/>
      <c r="L2" s="38" t="s">
        <v>62</v>
      </c>
      <c r="M2" s="34">
        <v>0.6</v>
      </c>
      <c r="Q2" s="33"/>
    </row>
    <row r="3" spans="1:23" x14ac:dyDescent="0.2">
      <c r="A3" s="2">
        <f>[3]ArdiData!A3</f>
        <v>1</v>
      </c>
      <c r="B3" s="32">
        <v>1113.3499253558266</v>
      </c>
      <c r="C3" s="3">
        <f>(1-$M$1)*E3+$M$1*B3</f>
        <v>1080.7567513593549</v>
      </c>
      <c r="D3" s="32">
        <f>(1-$M$2)*D2+$M$2*(C3-C2)</f>
        <v>106.37733972243511</v>
      </c>
      <c r="E3" s="32">
        <f>C2+D2</f>
        <v>1072.6084578602367</v>
      </c>
      <c r="F3" s="31">
        <f t="shared" ref="F3:F34" si="0">B3-E3</f>
        <v>40.741467495589859</v>
      </c>
      <c r="G3" s="31">
        <f t="shared" ref="G3:G34" si="1">ABS(F3)</f>
        <v>40.741467495589859</v>
      </c>
      <c r="H3" s="29">
        <f>SUM(G$3:G3)/COUNT(G$3:G3)</f>
        <v>40.741467495589859</v>
      </c>
      <c r="I3" s="29">
        <f>SUM(F$3:F3)/H3</f>
        <v>1</v>
      </c>
      <c r="J3" s="30">
        <f>(F3-$F$78)^2</f>
        <v>30.869763613761691</v>
      </c>
      <c r="K3" s="29" t="str">
        <f>IFERROR(SQRT(SUM(J$3:J3)/(COUNT(J$3:J3)-1)),"")</f>
        <v/>
      </c>
    </row>
    <row r="4" spans="1:23" x14ac:dyDescent="0.2">
      <c r="A4" s="2">
        <f>[3]ArdiData!A4</f>
        <v>2</v>
      </c>
      <c r="B4" s="32">
        <v>1222.4509615075469</v>
      </c>
      <c r="C4" s="3">
        <f t="shared" ref="C4:C67" si="2">(1-$M$1)*E4+$M$1*B4</f>
        <v>1194.1974651669416</v>
      </c>
      <c r="D4" s="32">
        <f t="shared" ref="D4:D67" si="3">(1-$M$2)*D3+$M$2*(C4-C3)</f>
        <v>110.61536417352605</v>
      </c>
      <c r="E4" s="32">
        <f>C3+D3</f>
        <v>1187.1340910817901</v>
      </c>
      <c r="F4" s="31">
        <f t="shared" si="0"/>
        <v>35.316870425756861</v>
      </c>
      <c r="G4" s="31">
        <f t="shared" si="1"/>
        <v>35.316870425756861</v>
      </c>
      <c r="H4" s="29">
        <f>SUM(G$3:G4)/COUNT(G$3:G4)</f>
        <v>38.02916896067336</v>
      </c>
      <c r="I4" s="29">
        <f>SUM(F$3:F4)/H4</f>
        <v>2</v>
      </c>
      <c r="J4" s="30">
        <f t="shared" ref="J4:J34" si="4">(F4-$F$78)^2</f>
        <v>1.7281576635303535E-2</v>
      </c>
      <c r="K4" s="29">
        <f>IFERROR(SQRT(SUM(J$3:J4)/(COUNT(J$3:J4)-1)),"")</f>
        <v>5.5576114645049621</v>
      </c>
    </row>
    <row r="5" spans="1:23" x14ac:dyDescent="0.2">
      <c r="A5" s="2">
        <f>[3]ArdiData!A5</f>
        <v>3</v>
      </c>
      <c r="B5" s="32">
        <v>1815.9308993190284</v>
      </c>
      <c r="C5" s="3">
        <f t="shared" si="2"/>
        <v>1407.0364433361801</v>
      </c>
      <c r="D5" s="32">
        <f t="shared" si="3"/>
        <v>171.94953257095355</v>
      </c>
      <c r="E5" s="32">
        <f t="shared" ref="E5:E34" si="5">C4+D4</f>
        <v>1304.8128293404677</v>
      </c>
      <c r="F5" s="31">
        <f t="shared" si="0"/>
        <v>511.1180699785607</v>
      </c>
      <c r="G5" s="31">
        <f t="shared" si="1"/>
        <v>511.1180699785607</v>
      </c>
      <c r="H5" s="29">
        <f>SUM(G$3:G5)/COUNT(G$3:G5)</f>
        <v>195.72546929996915</v>
      </c>
      <c r="I5" s="29">
        <f>SUM(F$3:F5)/H5</f>
        <v>3</v>
      </c>
      <c r="J5" s="30">
        <f t="shared" si="4"/>
        <v>226511.89586797569</v>
      </c>
      <c r="K5" s="29">
        <f>IFERROR(SQRT(SUM(J$3:J5)/(COUNT(J$3:J5)-1)),"")</f>
        <v>336.55815464282404</v>
      </c>
      <c r="L5" s="33">
        <f>H77</f>
        <v>531.10353796997686</v>
      </c>
      <c r="M5" s="3">
        <v>0.1</v>
      </c>
      <c r="N5" s="3">
        <v>0.2</v>
      </c>
      <c r="O5" s="3">
        <v>0.30000000000000004</v>
      </c>
      <c r="P5" s="3">
        <v>0.4</v>
      </c>
      <c r="Q5" s="3">
        <v>0.5</v>
      </c>
      <c r="R5" s="3">
        <v>0.6</v>
      </c>
      <c r="S5" s="3">
        <v>0.70000000000000007</v>
      </c>
      <c r="T5" s="3">
        <v>0.8</v>
      </c>
      <c r="U5" s="3">
        <v>0.9</v>
      </c>
      <c r="V5" s="3">
        <v>1</v>
      </c>
    </row>
    <row r="6" spans="1:23" x14ac:dyDescent="0.2">
      <c r="A6" s="2">
        <f>[3]ArdiData!A6</f>
        <v>4</v>
      </c>
      <c r="B6" s="32">
        <v>1877.6018297269898</v>
      </c>
      <c r="C6" s="3">
        <f t="shared" si="2"/>
        <v>1638.7091466711051</v>
      </c>
      <c r="D6" s="32">
        <f t="shared" si="3"/>
        <v>207.78343502933643</v>
      </c>
      <c r="E6" s="32">
        <f t="shared" si="5"/>
        <v>1578.9859759071337</v>
      </c>
      <c r="F6" s="31">
        <f t="shared" si="0"/>
        <v>298.61585381985606</v>
      </c>
      <c r="G6" s="31">
        <f t="shared" si="1"/>
        <v>298.61585381985606</v>
      </c>
      <c r="H6" s="29">
        <f>SUM(G$3:G6)/COUNT(G$3:G6)</f>
        <v>221.44806542994087</v>
      </c>
      <c r="I6" s="29">
        <f>SUM(F$3:F6)/H6</f>
        <v>4</v>
      </c>
      <c r="J6" s="30">
        <f t="shared" si="4"/>
        <v>69395.598196279912</v>
      </c>
      <c r="K6" s="29">
        <f>IFERROR(SQRT(SUM(J$3:J6)/(COUNT(J$3:J6)-1)),"")</f>
        <v>314.07980997905929</v>
      </c>
      <c r="L6" s="3">
        <v>0.1</v>
      </c>
      <c r="M6" s="3">
        <f t="dataTable" ref="M6:V15" dt2D="1" dtr="1" r1="M2" r2="M1"/>
        <v>550.7351753519049</v>
      </c>
      <c r="N6" s="3">
        <v>545.92424087700158</v>
      </c>
      <c r="O6" s="3">
        <v>557.43466902979628</v>
      </c>
      <c r="P6" s="3">
        <v>557.64236708057092</v>
      </c>
      <c r="Q6" s="3">
        <v>563.28649969006585</v>
      </c>
      <c r="R6" s="3">
        <v>562.22811808778431</v>
      </c>
      <c r="S6" s="3">
        <v>559.16896274797932</v>
      </c>
      <c r="T6" s="3">
        <v>559.83016439210871</v>
      </c>
      <c r="U6" s="3">
        <v>558.71107452289846</v>
      </c>
      <c r="V6" s="3">
        <v>560.03685164011904</v>
      </c>
    </row>
    <row r="7" spans="1:23" x14ac:dyDescent="0.2">
      <c r="A7" s="2">
        <f>[3]ArdiData!A7</f>
        <v>5</v>
      </c>
      <c r="B7" s="32">
        <v>1437.7413264412648</v>
      </c>
      <c r="C7" s="3">
        <f t="shared" si="2"/>
        <v>1764.7423306486062</v>
      </c>
      <c r="D7" s="32">
        <f t="shared" si="3"/>
        <v>158.73328439823518</v>
      </c>
      <c r="E7" s="32">
        <f t="shared" si="5"/>
        <v>1846.4925817004416</v>
      </c>
      <c r="F7" s="31">
        <f t="shared" si="0"/>
        <v>-408.75125525917679</v>
      </c>
      <c r="G7" s="31">
        <f t="shared" si="1"/>
        <v>408.75125525917679</v>
      </c>
      <c r="H7" s="29">
        <f>SUM(G$3:G7)/COUNT(G$3:G7)</f>
        <v>258.90870339578805</v>
      </c>
      <c r="I7" s="29">
        <f>SUM(F$3:F7)/H7</f>
        <v>1.8425066450212937</v>
      </c>
      <c r="J7" s="30">
        <f t="shared" si="4"/>
        <v>197079.76366276905</v>
      </c>
      <c r="K7" s="29">
        <f>IFERROR(SQRT(SUM(J$3:J7)/(COUNT(J$3:J7)-1)),"")</f>
        <v>351.07625410023638</v>
      </c>
      <c r="L7" s="3">
        <v>0.2</v>
      </c>
      <c r="M7" s="3">
        <v>535.15569294378122</v>
      </c>
      <c r="N7" s="3">
        <v>535.63744464342676</v>
      </c>
      <c r="O7" s="3">
        <v>536.08731976931813</v>
      </c>
      <c r="P7" s="3">
        <v>533.70413206458261</v>
      </c>
      <c r="Q7" s="3">
        <v>532.62367141195762</v>
      </c>
      <c r="R7" s="3">
        <v>531.10353796997686</v>
      </c>
      <c r="S7" s="3">
        <v>533.24287404987786</v>
      </c>
      <c r="T7" s="3">
        <v>541.94221086328184</v>
      </c>
      <c r="U7" s="3">
        <v>549.46128033252398</v>
      </c>
      <c r="V7" s="3">
        <v>556.6429050993919</v>
      </c>
    </row>
    <row r="8" spans="1:23" x14ac:dyDescent="0.2">
      <c r="A8" s="2">
        <f>[3]ArdiData!A8</f>
        <v>6</v>
      </c>
      <c r="B8" s="32">
        <v>1885.961866319813</v>
      </c>
      <c r="C8" s="3">
        <f t="shared" si="2"/>
        <v>1915.9728653014358</v>
      </c>
      <c r="D8" s="32">
        <f t="shared" si="3"/>
        <v>154.23163455099186</v>
      </c>
      <c r="E8" s="32">
        <f t="shared" si="5"/>
        <v>1923.4756150468413</v>
      </c>
      <c r="F8" s="31">
        <f t="shared" si="0"/>
        <v>-37.513748727028315</v>
      </c>
      <c r="G8" s="31">
        <f t="shared" si="1"/>
        <v>37.513748727028315</v>
      </c>
      <c r="H8" s="29">
        <f>SUM(G$3:G8)/COUNT(G$3:G8)</f>
        <v>222.00954428432809</v>
      </c>
      <c r="I8" s="29">
        <f>SUM(F$3:F8)/H8</f>
        <v>1.9797673976153696</v>
      </c>
      <c r="J8" s="30">
        <f t="shared" si="4"/>
        <v>5285.1678272197551</v>
      </c>
      <c r="K8" s="29">
        <f>IFERROR(SQRT(SUM(J$3:J8)/(COUNT(J$3:J8)-1)),"")</f>
        <v>315.69077040655935</v>
      </c>
      <c r="L8" s="3">
        <v>0.30000000000000004</v>
      </c>
      <c r="M8" s="3">
        <v>543.09520094814889</v>
      </c>
      <c r="N8" s="3">
        <v>545.62183608204646</v>
      </c>
      <c r="O8" s="3">
        <v>544.97823929704634</v>
      </c>
      <c r="P8" s="3">
        <v>544.51515839904062</v>
      </c>
      <c r="Q8" s="3">
        <v>549.41713333705309</v>
      </c>
      <c r="R8" s="3">
        <v>556.07135002363407</v>
      </c>
      <c r="S8" s="3">
        <v>563.47059380355847</v>
      </c>
      <c r="T8" s="3">
        <v>570.83209042353212</v>
      </c>
      <c r="U8" s="3">
        <v>577.72406314779971</v>
      </c>
      <c r="V8" s="3">
        <v>586.8231899195498</v>
      </c>
    </row>
    <row r="9" spans="1:23" x14ac:dyDescent="0.2">
      <c r="A9" s="2">
        <f>[3]ArdiData!A9</f>
        <v>7</v>
      </c>
      <c r="B9" s="32">
        <v>1911.083953307721</v>
      </c>
      <c r="C9" s="3">
        <f t="shared" si="2"/>
        <v>2038.3803905434861</v>
      </c>
      <c r="D9" s="32">
        <f t="shared" si="3"/>
        <v>135.1371689656269</v>
      </c>
      <c r="E9" s="32">
        <f t="shared" si="5"/>
        <v>2070.2044998524275</v>
      </c>
      <c r="F9" s="31">
        <f t="shared" si="0"/>
        <v>-159.12054654470649</v>
      </c>
      <c r="G9" s="31">
        <f t="shared" si="1"/>
        <v>159.12054654470649</v>
      </c>
      <c r="H9" s="29">
        <f>SUM(G$3:G9)/COUNT(G$3:G9)</f>
        <v>213.02540175009645</v>
      </c>
      <c r="I9" s="29">
        <f>SUM(F$3:F9)/H9</f>
        <v>1.3163064539965124</v>
      </c>
      <c r="J9" s="30">
        <f t="shared" si="4"/>
        <v>37754.805143255406</v>
      </c>
      <c r="K9" s="29">
        <f>IFERROR(SQRT(SUM(J$3:J9)/(COUNT(J$3:J9)-1)),"")</f>
        <v>298.90302712381771</v>
      </c>
      <c r="L9" s="3">
        <v>0.4</v>
      </c>
      <c r="M9" s="3">
        <v>558.65323450126266</v>
      </c>
      <c r="N9" s="3">
        <v>561.80994985932932</v>
      </c>
      <c r="O9" s="3">
        <v>566.39400245287607</v>
      </c>
      <c r="P9" s="3">
        <v>574.24017901531715</v>
      </c>
      <c r="Q9" s="3">
        <v>583.58322170256224</v>
      </c>
      <c r="R9" s="3">
        <v>593.96115376378646</v>
      </c>
      <c r="S9" s="3">
        <v>605.19374642730793</v>
      </c>
      <c r="T9" s="3">
        <v>618.61964959320846</v>
      </c>
      <c r="U9" s="3">
        <v>632.57372870409756</v>
      </c>
      <c r="V9" s="3">
        <v>647.86278321228087</v>
      </c>
    </row>
    <row r="10" spans="1:23" x14ac:dyDescent="0.2">
      <c r="A10" s="2">
        <f>[3]ArdiData!A10</f>
        <v>8</v>
      </c>
      <c r="B10" s="32">
        <v>1960.2999710554132</v>
      </c>
      <c r="C10" s="3">
        <f t="shared" si="2"/>
        <v>2130.8740418183734</v>
      </c>
      <c r="D10" s="32">
        <f t="shared" si="3"/>
        <v>109.55105835118312</v>
      </c>
      <c r="E10" s="32">
        <f t="shared" si="5"/>
        <v>2173.5175595091132</v>
      </c>
      <c r="F10" s="31">
        <f t="shared" si="0"/>
        <v>-213.21758845370005</v>
      </c>
      <c r="G10" s="31">
        <f t="shared" si="1"/>
        <v>213.21758845370005</v>
      </c>
      <c r="H10" s="29">
        <f>SUM(G$3:G10)/COUNT(G$3:G10)</f>
        <v>213.04942508804689</v>
      </c>
      <c r="I10" s="29">
        <f>SUM(F$3:F10)/H10</f>
        <v>0.31536871177842701</v>
      </c>
      <c r="J10" s="30">
        <f t="shared" si="4"/>
        <v>61704.050145124907</v>
      </c>
      <c r="K10" s="29">
        <f>IFERROR(SQRT(SUM(J$3:J10)/(COUNT(J$3:J10)-1)),"")</f>
        <v>292.22353671897309</v>
      </c>
      <c r="L10" s="3">
        <v>0.5</v>
      </c>
      <c r="M10" s="3">
        <v>576.55067189184354</v>
      </c>
      <c r="N10" s="3">
        <v>586.0674872107021</v>
      </c>
      <c r="O10" s="3">
        <v>596.85938025614735</v>
      </c>
      <c r="P10" s="3">
        <v>608.2452342687925</v>
      </c>
      <c r="Q10" s="3">
        <v>620.72862081241715</v>
      </c>
      <c r="R10" s="3">
        <v>635.09103246630514</v>
      </c>
      <c r="S10" s="3">
        <v>651.5719152751476</v>
      </c>
      <c r="T10" s="3">
        <v>669.62214036505179</v>
      </c>
      <c r="U10" s="3">
        <v>688.40864449179242</v>
      </c>
      <c r="V10" s="3">
        <v>708.23622249462221</v>
      </c>
    </row>
    <row r="11" spans="1:23" x14ac:dyDescent="0.2">
      <c r="A11" s="2">
        <f>[3]ArdiData!A11</f>
        <v>9</v>
      </c>
      <c r="B11" s="32">
        <v>2414.1948755502854</v>
      </c>
      <c r="C11" s="3">
        <f t="shared" si="2"/>
        <v>2275.1790552457023</v>
      </c>
      <c r="D11" s="32">
        <f t="shared" si="3"/>
        <v>130.40343139687062</v>
      </c>
      <c r="E11" s="32">
        <f t="shared" si="5"/>
        <v>2240.4251001695566</v>
      </c>
      <c r="F11" s="31">
        <f t="shared" si="0"/>
        <v>173.76977538072879</v>
      </c>
      <c r="G11" s="31">
        <f t="shared" si="1"/>
        <v>173.76977538072879</v>
      </c>
      <c r="H11" s="29">
        <f>SUM(G$3:G11)/COUNT(G$3:G11)</f>
        <v>208.68501956501154</v>
      </c>
      <c r="I11" s="29">
        <f>SUM(F$3:F11)/H11</f>
        <v>1.154653547332442</v>
      </c>
      <c r="J11" s="30">
        <f t="shared" si="4"/>
        <v>19205.62604660961</v>
      </c>
      <c r="K11" s="29">
        <f>IFERROR(SQRT(SUM(J$3:J11)/(COUNT(J$3:J11)-1)),"")</f>
        <v>277.70663341339741</v>
      </c>
      <c r="L11" s="3">
        <v>0.6</v>
      </c>
      <c r="M11" s="3">
        <v>601.73197640472779</v>
      </c>
      <c r="N11" s="3">
        <v>614.84635274585492</v>
      </c>
      <c r="O11" s="3">
        <v>628.31857477873086</v>
      </c>
      <c r="P11" s="3">
        <v>642.82976163555941</v>
      </c>
      <c r="Q11" s="3">
        <v>659.76414955285907</v>
      </c>
      <c r="R11" s="3">
        <v>679.16767281188152</v>
      </c>
      <c r="S11" s="3">
        <v>699.23514903440298</v>
      </c>
      <c r="T11" s="3">
        <v>721.0320633738794</v>
      </c>
      <c r="U11" s="3">
        <v>742.36474365074605</v>
      </c>
      <c r="V11" s="3">
        <v>764.10211058155289</v>
      </c>
    </row>
    <row r="12" spans="1:23" x14ac:dyDescent="0.2">
      <c r="A12" s="2">
        <f>[3]ArdiData!A12</f>
        <v>10</v>
      </c>
      <c r="B12" s="32">
        <v>2386.0381627363281</v>
      </c>
      <c r="C12" s="3">
        <f t="shared" si="2"/>
        <v>2401.6736218613241</v>
      </c>
      <c r="D12" s="32">
        <f t="shared" si="3"/>
        <v>128.05811252812134</v>
      </c>
      <c r="E12" s="32">
        <f t="shared" si="5"/>
        <v>2405.5824866425728</v>
      </c>
      <c r="F12" s="31">
        <f t="shared" si="0"/>
        <v>-19.544323906244699</v>
      </c>
      <c r="G12" s="31">
        <f t="shared" si="1"/>
        <v>19.544323906244699</v>
      </c>
      <c r="H12" s="29">
        <f>SUM(G$3:G12)/COUNT(G$3:G12)</f>
        <v>189.77094999913487</v>
      </c>
      <c r="I12" s="29">
        <f>SUM(F$3:F12)/H12</f>
        <v>1.1667464077649679</v>
      </c>
      <c r="J12" s="30">
        <f t="shared" si="4"/>
        <v>2995.3438845668798</v>
      </c>
      <c r="K12" s="29">
        <f>IFERROR(SQRT(SUM(J$3:J12)/(COUNT(J$3:J12)-1)),"")</f>
        <v>262.45912651496627</v>
      </c>
      <c r="L12" s="3">
        <v>0.70000000000000007</v>
      </c>
      <c r="M12" s="3">
        <v>629.21065005831656</v>
      </c>
      <c r="N12" s="3">
        <v>645.23942906193179</v>
      </c>
      <c r="O12" s="3">
        <v>662.06986612527737</v>
      </c>
      <c r="P12" s="3">
        <v>682.13002543960101</v>
      </c>
      <c r="Q12" s="3">
        <v>703.25444925722513</v>
      </c>
      <c r="R12" s="3">
        <v>725.10164777129341</v>
      </c>
      <c r="S12" s="3">
        <v>750.16699692829604</v>
      </c>
      <c r="T12" s="3">
        <v>776.09783501641016</v>
      </c>
      <c r="U12" s="3">
        <v>804.37302654616258</v>
      </c>
      <c r="V12" s="3">
        <v>834.03562631551154</v>
      </c>
    </row>
    <row r="13" spans="1:23" x14ac:dyDescent="0.2">
      <c r="A13" s="2">
        <f>[3]ArdiData!A13</f>
        <v>11</v>
      </c>
      <c r="B13" s="32">
        <v>2360.0321962860157</v>
      </c>
      <c r="C13" s="3">
        <f t="shared" si="2"/>
        <v>2495.7918267687596</v>
      </c>
      <c r="D13" s="32">
        <f t="shared" si="3"/>
        <v>107.69416795570982</v>
      </c>
      <c r="E13" s="32">
        <f t="shared" si="5"/>
        <v>2529.7317343894456</v>
      </c>
      <c r="F13" s="31">
        <f t="shared" si="0"/>
        <v>-169.69953810342986</v>
      </c>
      <c r="G13" s="31">
        <f t="shared" si="1"/>
        <v>169.69953810342986</v>
      </c>
      <c r="H13" s="29">
        <f>SUM(G$3:G13)/COUNT(G$3:G13)</f>
        <v>187.94627619043439</v>
      </c>
      <c r="I13" s="29">
        <f>SUM(F$3:F13)/H13</f>
        <v>0.27515860997323727</v>
      </c>
      <c r="J13" s="30">
        <f t="shared" si="4"/>
        <v>41977.842375325854</v>
      </c>
      <c r="K13" s="29">
        <f>IFERROR(SQRT(SUM(J$3:J13)/(COUNT(J$3:J13)-1)),"")</f>
        <v>257.28213700028175</v>
      </c>
      <c r="L13" s="3">
        <v>0.8</v>
      </c>
      <c r="M13" s="3">
        <v>657.22070075513284</v>
      </c>
      <c r="N13" s="3">
        <v>677.30213188567222</v>
      </c>
      <c r="O13" s="3">
        <v>699.77016737001111</v>
      </c>
      <c r="P13" s="3">
        <v>724.34744382008569</v>
      </c>
      <c r="Q13" s="3">
        <v>752.88874728465203</v>
      </c>
      <c r="R13" s="3">
        <v>784.01669165379928</v>
      </c>
      <c r="S13" s="3">
        <v>817.63404752825033</v>
      </c>
      <c r="T13" s="3">
        <v>851.71631870952831</v>
      </c>
      <c r="U13" s="3">
        <v>887.16067665322407</v>
      </c>
      <c r="V13" s="3">
        <v>926.44086714731009</v>
      </c>
    </row>
    <row r="14" spans="1:23" x14ac:dyDescent="0.2">
      <c r="A14" s="2">
        <f>[3]ArdiData!A14</f>
        <v>12</v>
      </c>
      <c r="B14" s="32">
        <v>2374.8996096579372</v>
      </c>
      <c r="C14" s="3">
        <f t="shared" si="2"/>
        <v>2557.7687177111629</v>
      </c>
      <c r="D14" s="32">
        <f t="shared" si="3"/>
        <v>80.263801747725921</v>
      </c>
      <c r="E14" s="32">
        <f t="shared" si="5"/>
        <v>2603.4859947244695</v>
      </c>
      <c r="F14" s="31">
        <f t="shared" si="0"/>
        <v>-228.58638506653233</v>
      </c>
      <c r="G14" s="31">
        <f t="shared" si="1"/>
        <v>228.58638506653233</v>
      </c>
      <c r="H14" s="29">
        <f>SUM(G$3:G14)/COUNT(G$3:G14)</f>
        <v>191.3329519301092</v>
      </c>
      <c r="I14" s="29">
        <f>SUM(F$3:F14)/H14</f>
        <v>-0.92441655854938398</v>
      </c>
      <c r="J14" s="30">
        <f t="shared" si="4"/>
        <v>69575.560408160207</v>
      </c>
      <c r="K14" s="29">
        <f>IFERROR(SQRT(SUM(J$3:J14)/(COUNT(J$3:J14)-1)),"")</f>
        <v>257.87885468012752</v>
      </c>
      <c r="L14" s="3">
        <v>0.9</v>
      </c>
      <c r="M14" s="3">
        <v>688.27366312579159</v>
      </c>
      <c r="N14" s="3">
        <v>714.65553931523834</v>
      </c>
      <c r="O14" s="3">
        <v>746.76679981640541</v>
      </c>
      <c r="P14" s="3">
        <v>781.31220782335936</v>
      </c>
      <c r="Q14" s="3">
        <v>817.45584925983178</v>
      </c>
      <c r="R14" s="3">
        <v>855.1985553280017</v>
      </c>
      <c r="S14" s="3">
        <v>894.45500789409198</v>
      </c>
      <c r="T14" s="3">
        <v>939.69424893750829</v>
      </c>
      <c r="U14" s="3">
        <v>990.03272839589806</v>
      </c>
      <c r="V14" s="3">
        <v>1045.1650423681208</v>
      </c>
    </row>
    <row r="15" spans="1:23" x14ac:dyDescent="0.2">
      <c r="A15" s="2">
        <f>[3]ArdiData!A15</f>
        <v>13</v>
      </c>
      <c r="B15" s="32">
        <v>2837.1005129516102</v>
      </c>
      <c r="C15" s="3">
        <f t="shared" si="2"/>
        <v>2677.8461181574335</v>
      </c>
      <c r="D15" s="32">
        <f t="shared" si="3"/>
        <v>104.1519609668527</v>
      </c>
      <c r="E15" s="32">
        <f t="shared" si="5"/>
        <v>2638.0325194588891</v>
      </c>
      <c r="F15" s="31">
        <f t="shared" si="0"/>
        <v>199.06799349272114</v>
      </c>
      <c r="G15" s="31">
        <f t="shared" si="1"/>
        <v>199.06799349272114</v>
      </c>
      <c r="H15" s="29">
        <f>SUM(G$3:G15)/COUNT(G$3:G15)</f>
        <v>191.92795512723322</v>
      </c>
      <c r="I15" s="29">
        <f>SUM(F$3:F15)/H15</f>
        <v>0.11565091973016774</v>
      </c>
      <c r="J15" s="30">
        <f t="shared" si="4"/>
        <v>26857.500839515669</v>
      </c>
      <c r="K15" s="29">
        <f>IFERROR(SQRT(SUM(J$3:J15)/(COUNT(J$3:J15)-1)),"")</f>
        <v>251.39179936273337</v>
      </c>
      <c r="L15" s="3">
        <v>1</v>
      </c>
      <c r="M15" s="3">
        <v>728.37752944351848</v>
      </c>
      <c r="N15" s="3">
        <v>764.97352990488082</v>
      </c>
      <c r="O15" s="3">
        <v>805.59056595203356</v>
      </c>
      <c r="P15" s="3">
        <v>847.83472916472874</v>
      </c>
      <c r="Q15" s="3">
        <v>892.17262672272159</v>
      </c>
      <c r="R15" s="3">
        <v>938.57956207566258</v>
      </c>
      <c r="S15" s="3">
        <v>991.14745212991727</v>
      </c>
      <c r="T15" s="3">
        <v>1048.7980679170007</v>
      </c>
      <c r="U15" s="3">
        <v>1118.0491855627984</v>
      </c>
      <c r="V15" s="3">
        <v>1196.3574179536706</v>
      </c>
    </row>
    <row r="16" spans="1:23" x14ac:dyDescent="0.2">
      <c r="A16" s="2">
        <f>[3]ArdiData!A16</f>
        <v>14</v>
      </c>
      <c r="B16" s="32">
        <v>2930.8445360245173</v>
      </c>
      <c r="C16" s="3">
        <f t="shared" si="2"/>
        <v>2811.7673705043326</v>
      </c>
      <c r="D16" s="32">
        <f t="shared" si="3"/>
        <v>122.01353579488055</v>
      </c>
      <c r="E16" s="32">
        <f t="shared" si="5"/>
        <v>2781.9980791242861</v>
      </c>
      <c r="F16" s="31">
        <f t="shared" si="0"/>
        <v>148.84645690023126</v>
      </c>
      <c r="G16" s="31">
        <f t="shared" si="1"/>
        <v>148.84645690023126</v>
      </c>
      <c r="H16" s="29">
        <f>SUM(G$3:G16)/COUNT(G$3:G16)</f>
        <v>188.85070525387593</v>
      </c>
      <c r="I16" s="29">
        <f>SUM(F$3:F16)/H16</f>
        <v>0.90570538882917773</v>
      </c>
      <c r="J16" s="30">
        <f t="shared" si="4"/>
        <v>12918.833351688992</v>
      </c>
      <c r="K16" s="29">
        <f>IFERROR(SQRT(SUM(J$3:J16)/(COUNT(J$3:J16)-1)),"")</f>
        <v>243.57795700345213</v>
      </c>
      <c r="W16" s="3">
        <f>MIN(M6:V15)</f>
        <v>531.10353796997686</v>
      </c>
    </row>
    <row r="17" spans="1:11" x14ac:dyDescent="0.2">
      <c r="A17" s="2">
        <f>[3]ArdiData!A17</f>
        <v>15</v>
      </c>
      <c r="B17" s="32">
        <v>2610.1441965075874</v>
      </c>
      <c r="C17" s="3">
        <f t="shared" si="2"/>
        <v>2869.0535643408884</v>
      </c>
      <c r="D17" s="32">
        <f t="shared" si="3"/>
        <v>83.177130619885745</v>
      </c>
      <c r="E17" s="32">
        <f t="shared" si="5"/>
        <v>2933.7809062992133</v>
      </c>
      <c r="F17" s="31">
        <f t="shared" si="0"/>
        <v>-323.63670979162589</v>
      </c>
      <c r="G17" s="31">
        <f t="shared" si="1"/>
        <v>323.63670979162589</v>
      </c>
      <c r="H17" s="29">
        <f>SUM(G$3:G17)/COUNT(G$3:G17)</f>
        <v>197.83643888972591</v>
      </c>
      <c r="I17" s="29">
        <f>SUM(F$3:F17)/H17</f>
        <v>-0.77131194442928419</v>
      </c>
      <c r="J17" s="30">
        <f t="shared" si="4"/>
        <v>128753.31438027737</v>
      </c>
      <c r="K17" s="29">
        <f>IFERROR(SQRT(SUM(J$3:J17)/(COUNT(J$3:J17)-1)),"")</f>
        <v>253.55278249789669</v>
      </c>
    </row>
    <row r="18" spans="1:11" x14ac:dyDescent="0.2">
      <c r="A18" s="2">
        <f>[3]ArdiData!A18</f>
        <v>16</v>
      </c>
      <c r="B18" s="32">
        <v>3135.2317628620631</v>
      </c>
      <c r="C18" s="3">
        <f t="shared" si="2"/>
        <v>2988.8309085410319</v>
      </c>
      <c r="D18" s="32">
        <f t="shared" si="3"/>
        <v>105.1372587680404</v>
      </c>
      <c r="E18" s="32">
        <f t="shared" si="5"/>
        <v>2952.2306949607741</v>
      </c>
      <c r="F18" s="31">
        <f t="shared" si="0"/>
        <v>183.00106790128893</v>
      </c>
      <c r="G18" s="31">
        <f t="shared" si="1"/>
        <v>183.00106790128893</v>
      </c>
      <c r="H18" s="29">
        <f>SUM(G$3:G18)/COUNT(G$3:G18)</f>
        <v>196.90922820294861</v>
      </c>
      <c r="I18" s="29">
        <f>SUM(F$3:F18)/H18</f>
        <v>0.15442374041987056</v>
      </c>
      <c r="J18" s="30">
        <f t="shared" si="4"/>
        <v>21849.468420678731</v>
      </c>
      <c r="K18" s="29">
        <f>IFERROR(SQRT(SUM(J$3:J18)/(COUNT(J$3:J18)-1)),"")</f>
        <v>247.91069058495489</v>
      </c>
    </row>
    <row r="19" spans="1:11" x14ac:dyDescent="0.2">
      <c r="A19" s="2">
        <f>[3]ArdiData!A19</f>
        <v>17</v>
      </c>
      <c r="B19" s="32">
        <v>2997.405744195491</v>
      </c>
      <c r="C19" s="3">
        <f t="shared" si="2"/>
        <v>3074.6556826863562</v>
      </c>
      <c r="D19" s="32">
        <f t="shared" si="3"/>
        <v>93.549767994410701</v>
      </c>
      <c r="E19" s="32">
        <f t="shared" si="5"/>
        <v>3093.9681673090722</v>
      </c>
      <c r="F19" s="31">
        <f t="shared" si="0"/>
        <v>-96.56242311358119</v>
      </c>
      <c r="G19" s="31">
        <f t="shared" si="1"/>
        <v>96.56242311358119</v>
      </c>
      <c r="H19" s="29">
        <f>SUM(G$3:G19)/COUNT(G$3:G19)</f>
        <v>191.00647496239759</v>
      </c>
      <c r="I19" s="29">
        <f>SUM(F$3:F19)/H19</f>
        <v>-0.34634932446303496</v>
      </c>
      <c r="J19" s="30">
        <f t="shared" si="4"/>
        <v>17357.491797613467</v>
      </c>
      <c r="K19" s="29">
        <f>IFERROR(SQRT(SUM(J$3:J19)/(COUNT(J$3:J19)-1)),"")</f>
        <v>242.28768403906906</v>
      </c>
    </row>
    <row r="20" spans="1:11" x14ac:dyDescent="0.2">
      <c r="A20" s="2">
        <f>[3]ArdiData!A20</f>
        <v>18</v>
      </c>
      <c r="B20" s="32">
        <v>2897.6453125752814</v>
      </c>
      <c r="C20" s="3">
        <f t="shared" si="2"/>
        <v>3114.0934230596699</v>
      </c>
      <c r="D20" s="32">
        <f t="shared" si="3"/>
        <v>61.082551421752541</v>
      </c>
      <c r="E20" s="32">
        <f t="shared" si="5"/>
        <v>3168.2054506807667</v>
      </c>
      <c r="F20" s="31">
        <f t="shared" si="0"/>
        <v>-270.56013810548529</v>
      </c>
      <c r="G20" s="31">
        <f t="shared" si="1"/>
        <v>270.56013810548529</v>
      </c>
      <c r="H20" s="29">
        <f>SUM(G$3:G20)/COUNT(G$3:G20)</f>
        <v>195.42612291479134</v>
      </c>
      <c r="I20" s="29">
        <f>SUM(F$3:F20)/H20</f>
        <v>-1.7229789787294201</v>
      </c>
      <c r="J20" s="30">
        <f t="shared" si="4"/>
        <v>93480.34080708299</v>
      </c>
      <c r="K20" s="29">
        <f>IFERROR(SQRT(SUM(J$3:J20)/(COUNT(J$3:J20)-1)),"")</f>
        <v>246.47318076264403</v>
      </c>
    </row>
    <row r="21" spans="1:11" x14ac:dyDescent="0.2">
      <c r="A21" s="2">
        <f>[3]ArdiData!A21</f>
        <v>19</v>
      </c>
      <c r="B21" s="32">
        <v>2451.4955445656897</v>
      </c>
      <c r="C21" s="3">
        <f t="shared" si="2"/>
        <v>3030.4398884982761</v>
      </c>
      <c r="D21" s="32">
        <f t="shared" si="3"/>
        <v>-25.759100168135276</v>
      </c>
      <c r="E21" s="32">
        <f t="shared" si="5"/>
        <v>3175.1759744814226</v>
      </c>
      <c r="F21" s="31">
        <f t="shared" si="0"/>
        <v>-723.68042991573293</v>
      </c>
      <c r="G21" s="31">
        <f t="shared" si="1"/>
        <v>723.68042991573293</v>
      </c>
      <c r="H21" s="29">
        <f>SUM(G$3:G21)/COUNT(G$3:G21)</f>
        <v>223.2289811779988</v>
      </c>
      <c r="I21" s="29">
        <f>SUM(F$3:F21)/H21</f>
        <v>-4.7502592449990608</v>
      </c>
      <c r="J21" s="30">
        <f t="shared" si="4"/>
        <v>575877.3645317466</v>
      </c>
      <c r="K21" s="29">
        <f>IFERROR(SQRT(SUM(J$3:J21)/(COUNT(J$3:J21)-1)),"")</f>
        <v>298.94358950692072</v>
      </c>
    </row>
    <row r="22" spans="1:11" x14ac:dyDescent="0.2">
      <c r="A22" s="2">
        <f>[3]ArdiData!A22</f>
        <v>20</v>
      </c>
      <c r="B22" s="32">
        <v>3606.7892415047718</v>
      </c>
      <c r="C22" s="3">
        <f t="shared" si="2"/>
        <v>3125.1024789650673</v>
      </c>
      <c r="D22" s="32">
        <f t="shared" si="3"/>
        <v>46.493914212820627</v>
      </c>
      <c r="E22" s="32">
        <f t="shared" si="5"/>
        <v>3004.6807883301408</v>
      </c>
      <c r="F22" s="31">
        <f t="shared" si="0"/>
        <v>602.10845317463099</v>
      </c>
      <c r="G22" s="31">
        <f t="shared" si="1"/>
        <v>602.10845317463099</v>
      </c>
      <c r="H22" s="29">
        <f>SUM(G$3:G22)/COUNT(G$3:G22)</f>
        <v>242.1729547778304</v>
      </c>
      <c r="I22" s="29">
        <f>SUM(F$3:F22)/H22</f>
        <v>-1.8923957831637808</v>
      </c>
      <c r="J22" s="30">
        <f t="shared" si="4"/>
        <v>321401.73573135288</v>
      </c>
      <c r="K22" s="29">
        <f>IFERROR(SQRT(SUM(J$3:J22)/(COUNT(J$3:J22)-1)),"")</f>
        <v>318.71556288380185</v>
      </c>
    </row>
    <row r="23" spans="1:11" x14ac:dyDescent="0.2">
      <c r="A23" s="2">
        <f>[3]ArdiData!A23</f>
        <v>21</v>
      </c>
      <c r="B23" s="32">
        <v>3329.4002934339937</v>
      </c>
      <c r="C23" s="3">
        <f t="shared" si="2"/>
        <v>3203.157173229109</v>
      </c>
      <c r="D23" s="32">
        <f t="shared" si="3"/>
        <v>65.430382243553268</v>
      </c>
      <c r="E23" s="32">
        <f t="shared" si="5"/>
        <v>3171.5963931778879</v>
      </c>
      <c r="F23" s="31">
        <f t="shared" si="0"/>
        <v>157.80390025610586</v>
      </c>
      <c r="G23" s="31">
        <f t="shared" si="1"/>
        <v>157.80390025610586</v>
      </c>
      <c r="H23" s="29">
        <f>SUM(G$3:G23)/COUNT(G$3:G23)</f>
        <v>238.15538075298642</v>
      </c>
      <c r="I23" s="29">
        <f>SUM(F$3:F23)/H23</f>
        <v>-1.2617106412281023</v>
      </c>
      <c r="J23" s="30">
        <f t="shared" si="4"/>
        <v>15035.293903732731</v>
      </c>
      <c r="K23" s="29">
        <f>IFERROR(SQRT(SUM(J$3:J23)/(COUNT(J$3:J23)-1)),"")</f>
        <v>311.85316130882552</v>
      </c>
    </row>
    <row r="24" spans="1:11" x14ac:dyDescent="0.2">
      <c r="A24" s="2">
        <f>[3]ArdiData!A24</f>
        <v>22</v>
      </c>
      <c r="B24" s="32">
        <v>3271.7372704254626</v>
      </c>
      <c r="C24" s="3">
        <f t="shared" si="2"/>
        <v>3269.2174984632225</v>
      </c>
      <c r="D24" s="32">
        <f t="shared" si="3"/>
        <v>65.808348037889346</v>
      </c>
      <c r="E24" s="32">
        <f t="shared" si="5"/>
        <v>3268.5875554726622</v>
      </c>
      <c r="F24" s="31">
        <f t="shared" si="0"/>
        <v>3.1497149528004229</v>
      </c>
      <c r="G24" s="31">
        <f t="shared" si="1"/>
        <v>3.1497149528004229</v>
      </c>
      <c r="H24" s="29">
        <f>SUM(G$3:G24)/COUNT(G$3:G24)</f>
        <v>227.47330503479614</v>
      </c>
      <c r="I24" s="29">
        <f>SUM(F$3:F24)/H24</f>
        <v>-1.3071136552198528</v>
      </c>
      <c r="J24" s="30">
        <f t="shared" si="4"/>
        <v>1026.2858221996787</v>
      </c>
      <c r="K24" s="29">
        <f>IFERROR(SQRT(SUM(J$3:J24)/(COUNT(J$3:J24)-1)),"")</f>
        <v>304.41780266666143</v>
      </c>
    </row>
    <row r="25" spans="1:11" x14ac:dyDescent="0.2">
      <c r="A25" s="2">
        <f>[3]ArdiData!A25</f>
        <v>23</v>
      </c>
      <c r="B25" s="32">
        <v>3370.7908457036756</v>
      </c>
      <c r="C25" s="3">
        <f t="shared" si="2"/>
        <v>3342.1788463416246</v>
      </c>
      <c r="D25" s="32">
        <f t="shared" si="3"/>
        <v>70.100147942197054</v>
      </c>
      <c r="E25" s="32">
        <f t="shared" si="5"/>
        <v>3335.025846501112</v>
      </c>
      <c r="F25" s="31">
        <f t="shared" si="0"/>
        <v>35.764999202563558</v>
      </c>
      <c r="G25" s="31">
        <f t="shared" si="1"/>
        <v>35.764999202563558</v>
      </c>
      <c r="H25" s="29">
        <f>SUM(G$3:G25)/COUNT(G$3:G25)</f>
        <v>219.13816130295993</v>
      </c>
      <c r="I25" s="29">
        <f>SUM(F$3:F25)/H25</f>
        <v>-1.1936235224899476</v>
      </c>
      <c r="J25" s="30">
        <f t="shared" si="4"/>
        <v>0.3359224669813996</v>
      </c>
      <c r="K25" s="29">
        <f>IFERROR(SQRT(SUM(J$3:J25)/(COUNT(J$3:J25)-1)),"")</f>
        <v>297.4187823523373</v>
      </c>
    </row>
    <row r="26" spans="1:11" x14ac:dyDescent="0.2">
      <c r="A26" s="2">
        <f>[3]ArdiData!A26</f>
        <v>24</v>
      </c>
      <c r="B26" s="32">
        <v>3326.6171341495628</v>
      </c>
      <c r="C26" s="3">
        <f t="shared" si="2"/>
        <v>3395.1466222569702</v>
      </c>
      <c r="D26" s="32">
        <f t="shared" si="3"/>
        <v>59.820724726086155</v>
      </c>
      <c r="E26" s="32">
        <f t="shared" si="5"/>
        <v>3412.2789942838217</v>
      </c>
      <c r="F26" s="31">
        <f t="shared" si="0"/>
        <v>-85.661860134258859</v>
      </c>
      <c r="G26" s="31">
        <f t="shared" si="1"/>
        <v>85.661860134258859</v>
      </c>
      <c r="H26" s="29">
        <f>SUM(G$3:G26)/COUNT(G$3:G26)</f>
        <v>213.57664875426406</v>
      </c>
      <c r="I26" s="29">
        <f>SUM(F$3:F26)/H26</f>
        <v>-1.6257878666322869</v>
      </c>
      <c r="J26" s="30">
        <f t="shared" si="4"/>
        <v>14604.0629442604</v>
      </c>
      <c r="K26" s="29">
        <f>IFERROR(SQRT(SUM(J$3:J26)/(COUNT(J$3:J26)-1)),"")</f>
        <v>291.97070796013634</v>
      </c>
    </row>
    <row r="27" spans="1:11" x14ac:dyDescent="0.2">
      <c r="A27" s="2">
        <f>[3]ArdiData!A27</f>
        <v>25</v>
      </c>
      <c r="B27" s="32">
        <v>3919.3323507327541</v>
      </c>
      <c r="C27" s="3">
        <f t="shared" si="2"/>
        <v>3547.8403477329962</v>
      </c>
      <c r="D27" s="32">
        <f t="shared" si="3"/>
        <v>115.54452517605006</v>
      </c>
      <c r="E27" s="32">
        <f t="shared" si="5"/>
        <v>3454.9673469830564</v>
      </c>
      <c r="F27" s="31">
        <f t="shared" si="0"/>
        <v>464.36500374969773</v>
      </c>
      <c r="G27" s="31">
        <f t="shared" si="1"/>
        <v>464.36500374969773</v>
      </c>
      <c r="H27" s="29">
        <f>SUM(G$3:G27)/COUNT(G$3:G27)</f>
        <v>223.60818295408143</v>
      </c>
      <c r="I27" s="29">
        <f>SUM(F$3:F27)/H27</f>
        <v>0.52383896716822487</v>
      </c>
      <c r="J27" s="30">
        <f t="shared" si="4"/>
        <v>184195.1228197864</v>
      </c>
      <c r="K27" s="29">
        <f>IFERROR(SQRT(SUM(J$3:J27)/(COUNT(J$3:J27)-1)),"")</f>
        <v>298.94771643458552</v>
      </c>
    </row>
    <row r="28" spans="1:11" x14ac:dyDescent="0.2">
      <c r="A28" s="2">
        <f>[3]ArdiData!A28</f>
        <v>26</v>
      </c>
      <c r="B28" s="32">
        <v>3932.7496928280202</v>
      </c>
      <c r="C28" s="3">
        <f t="shared" si="2"/>
        <v>3717.2578368928412</v>
      </c>
      <c r="D28" s="32">
        <f t="shared" si="3"/>
        <v>147.86830356632703</v>
      </c>
      <c r="E28" s="32">
        <f t="shared" si="5"/>
        <v>3663.3848729090464</v>
      </c>
      <c r="F28" s="31">
        <f t="shared" si="0"/>
        <v>269.36481991897381</v>
      </c>
      <c r="G28" s="31">
        <f t="shared" si="1"/>
        <v>269.36481991897381</v>
      </c>
      <c r="H28" s="29">
        <f>SUM(G$3:G28)/COUNT(G$3:G28)</f>
        <v>225.36805360657729</v>
      </c>
      <c r="I28" s="29">
        <f>SUM(F$3:F28)/H28</f>
        <v>1.7149702157995805</v>
      </c>
      <c r="J28" s="30">
        <f t="shared" si="4"/>
        <v>54839.995554541114</v>
      </c>
      <c r="K28" s="29">
        <f>IFERROR(SQRT(SUM(J$3:J28)/(COUNT(J$3:J28)-1)),"")</f>
        <v>296.6286356661758</v>
      </c>
    </row>
    <row r="29" spans="1:11" x14ac:dyDescent="0.2">
      <c r="A29" s="2">
        <f>[3]ArdiData!A29</f>
        <v>27</v>
      </c>
      <c r="B29" s="32">
        <v>3271.4587202821313</v>
      </c>
      <c r="C29" s="3">
        <f t="shared" si="2"/>
        <v>3746.3926564237609</v>
      </c>
      <c r="D29" s="32">
        <f t="shared" si="3"/>
        <v>76.628213145082626</v>
      </c>
      <c r="E29" s="32">
        <f t="shared" si="5"/>
        <v>3865.1261404591683</v>
      </c>
      <c r="F29" s="31">
        <f t="shared" si="0"/>
        <v>-593.667420177037</v>
      </c>
      <c r="G29" s="31">
        <f t="shared" si="1"/>
        <v>593.667420177037</v>
      </c>
      <c r="H29" s="29">
        <f>SUM(G$3:G29)/COUNT(G$3:G29)</f>
        <v>239.00877088696467</v>
      </c>
      <c r="I29" s="29">
        <f>SUM(F$3:F29)/H29</f>
        <v>-0.86677957415634099</v>
      </c>
      <c r="J29" s="30">
        <f t="shared" si="4"/>
        <v>395455.88329843793</v>
      </c>
      <c r="K29" s="29">
        <f>IFERROR(SQRT(SUM(J$3:J29)/(COUNT(J$3:J29)-1)),"")</f>
        <v>315.93387640258499</v>
      </c>
    </row>
    <row r="30" spans="1:11" x14ac:dyDescent="0.2">
      <c r="A30" s="2">
        <f>[3]ArdiData!A30</f>
        <v>28</v>
      </c>
      <c r="B30" s="32">
        <v>4226.8800578487453</v>
      </c>
      <c r="C30" s="3">
        <f t="shared" si="2"/>
        <v>3903.792707224824</v>
      </c>
      <c r="D30" s="32">
        <f t="shared" si="3"/>
        <v>125.09131573867093</v>
      </c>
      <c r="E30" s="32">
        <f t="shared" si="5"/>
        <v>3823.0208695688434</v>
      </c>
      <c r="F30" s="31">
        <f t="shared" si="0"/>
        <v>403.8591882799019</v>
      </c>
      <c r="G30" s="31">
        <f t="shared" si="1"/>
        <v>403.8591882799019</v>
      </c>
      <c r="H30" s="29">
        <f>SUM(G$3:G30)/COUNT(G$3:G30)</f>
        <v>244.89628579385527</v>
      </c>
      <c r="I30" s="29">
        <f>SUM(F$3:F30)/H30</f>
        <v>0.80316149750199028</v>
      </c>
      <c r="J30" s="30">
        <f t="shared" si="4"/>
        <v>135920.35404265486</v>
      </c>
      <c r="K30" s="29">
        <f>IFERROR(SQRT(SUM(J$3:J30)/(COUNT(J$3:J30)-1)),"")</f>
        <v>318.0432025609166</v>
      </c>
    </row>
    <row r="31" spans="1:11" x14ac:dyDescent="0.2">
      <c r="A31" s="2">
        <f>[3]ArdiData!A31</f>
        <v>29</v>
      </c>
      <c r="B31" s="32">
        <v>3676.4065496322846</v>
      </c>
      <c r="C31" s="3">
        <f t="shared" si="2"/>
        <v>3958.3885282972533</v>
      </c>
      <c r="D31" s="32">
        <f t="shared" si="3"/>
        <v>82.794018938925973</v>
      </c>
      <c r="E31" s="32">
        <f t="shared" si="5"/>
        <v>4028.8840229634948</v>
      </c>
      <c r="F31" s="31">
        <f t="shared" si="0"/>
        <v>-352.47747333121015</v>
      </c>
      <c r="G31" s="31">
        <f t="shared" si="1"/>
        <v>352.47747333121015</v>
      </c>
      <c r="H31" s="29">
        <f>SUM(G$3:G31)/COUNT(G$3:G31)</f>
        <v>248.60598191583304</v>
      </c>
      <c r="I31" s="29">
        <f>SUM(F$3:F31)/H31</f>
        <v>-0.62663900723468613</v>
      </c>
      <c r="J31" s="30">
        <f t="shared" si="4"/>
        <v>150282.51189974471</v>
      </c>
      <c r="K31" s="29">
        <f>IFERROR(SQRT(SUM(J$3:J31)/(COUNT(J$3:J31)-1)),"")</f>
        <v>320.78989767838584</v>
      </c>
    </row>
    <row r="32" spans="1:11" x14ac:dyDescent="0.2">
      <c r="A32" s="2">
        <f>[3]ArdiData!A32</f>
        <v>30</v>
      </c>
      <c r="B32" s="32">
        <v>3709.9538102697975</v>
      </c>
      <c r="C32" s="3">
        <f t="shared" si="2"/>
        <v>3974.9367998429034</v>
      </c>
      <c r="D32" s="32">
        <f t="shared" si="3"/>
        <v>43.046570502960449</v>
      </c>
      <c r="E32" s="32">
        <f t="shared" si="5"/>
        <v>4041.1825472361793</v>
      </c>
      <c r="F32" s="31">
        <f t="shared" si="0"/>
        <v>-331.2287369663818</v>
      </c>
      <c r="G32" s="31">
        <f t="shared" si="1"/>
        <v>331.2287369663818</v>
      </c>
      <c r="H32" s="29">
        <f>SUM(G$3:G32)/COUNT(G$3:G32)</f>
        <v>251.36007375085134</v>
      </c>
      <c r="I32" s="29">
        <f>SUM(F$3:F32)/H32</f>
        <v>-1.9375190952141987</v>
      </c>
      <c r="J32" s="30">
        <f t="shared" si="4"/>
        <v>134259.32784103689</v>
      </c>
      <c r="K32" s="29">
        <f>IFERROR(SQRT(SUM(J$3:J32)/(COUNT(J$3:J32)-1)),"")</f>
        <v>322.47062226585456</v>
      </c>
    </row>
    <row r="33" spans="1:11" x14ac:dyDescent="0.2">
      <c r="A33" s="2">
        <f>[3]ArdiData!A33</f>
        <v>31</v>
      </c>
      <c r="B33" s="32">
        <v>4309.3917506051803</v>
      </c>
      <c r="C33" s="3">
        <f t="shared" si="2"/>
        <v>4076.2650463977275</v>
      </c>
      <c r="D33" s="32">
        <f t="shared" si="3"/>
        <v>78.015576134078628</v>
      </c>
      <c r="E33" s="32">
        <f t="shared" si="5"/>
        <v>4017.9833703458639</v>
      </c>
      <c r="F33" s="31">
        <f t="shared" si="0"/>
        <v>291.40838025931635</v>
      </c>
      <c r="G33" s="31">
        <f t="shared" si="1"/>
        <v>291.40838025931635</v>
      </c>
      <c r="H33" s="29">
        <f>SUM(G$3:G33)/COUNT(G$3:G33)</f>
        <v>252.65195460596314</v>
      </c>
      <c r="I33" s="29">
        <f>SUM(F$3:F33)/H33</f>
        <v>-0.77421353304974849</v>
      </c>
      <c r="J33" s="30">
        <f t="shared" si="4"/>
        <v>65650.209968293508</v>
      </c>
      <c r="K33" s="29">
        <f>IFERROR(SQRT(SUM(J$3:J33)/(COUNT(J$3:J33)-1)),"")</f>
        <v>320.48307154874755</v>
      </c>
    </row>
    <row r="34" spans="1:11" x14ac:dyDescent="0.2">
      <c r="A34" s="2">
        <f>[3]ArdiData!A34</f>
        <v>32</v>
      </c>
      <c r="B34" s="32">
        <v>3396.6468613345064</v>
      </c>
      <c r="C34" s="3">
        <f t="shared" si="2"/>
        <v>4002.7538702923466</v>
      </c>
      <c r="D34" s="32">
        <f t="shared" si="3"/>
        <v>-12.900475209597058</v>
      </c>
      <c r="E34" s="32">
        <f t="shared" si="5"/>
        <v>4154.2806225318063</v>
      </c>
      <c r="F34" s="31">
        <f t="shared" si="0"/>
        <v>-757.63376119729992</v>
      </c>
      <c r="G34" s="31">
        <f t="shared" si="1"/>
        <v>757.63376119729992</v>
      </c>
      <c r="H34" s="29">
        <f>SUM(G$3:G34)/COUNT(G$3:G34)</f>
        <v>268.43263606194239</v>
      </c>
      <c r="I34" s="29">
        <f>SUM(F$3:F34)/H34</f>
        <v>-3.5511342346045494</v>
      </c>
      <c r="J34" s="30">
        <f t="shared" si="4"/>
        <v>628562.23982764524</v>
      </c>
      <c r="K34" s="29">
        <f>IFERROR(SQRT(SUM(J$3:J34)/(COUNT(J$3:J34)-1)),"")</f>
        <v>345.93697982423157</v>
      </c>
    </row>
    <row r="35" spans="1:11" x14ac:dyDescent="0.2">
      <c r="A35" s="2">
        <f>[3]ArdiData!A35</f>
        <v>33</v>
      </c>
      <c r="B35" s="32">
        <v>3425.2650395092878</v>
      </c>
      <c r="C35" s="3">
        <f t="shared" si="2"/>
        <v>3876.9357239680576</v>
      </c>
      <c r="D35" s="32">
        <f t="shared" si="3"/>
        <v>-80.651077878412252</v>
      </c>
      <c r="E35" s="32">
        <f t="shared" ref="E35:E66" si="6">C34+D34</f>
        <v>3989.8533950827496</v>
      </c>
      <c r="F35" s="31">
        <f t="shared" ref="F35:F66" si="7">B35-E35</f>
        <v>-564.58835557346174</v>
      </c>
      <c r="G35" s="31">
        <f t="shared" ref="G35:G66" si="8">ABS(F35)</f>
        <v>564.58835557346174</v>
      </c>
      <c r="H35" s="29">
        <f>SUM(G$3:G35)/COUNT(G$3:G35)</f>
        <v>277.40705180471571</v>
      </c>
      <c r="I35" s="29">
        <f>SUM(F$3:F35)/H35</f>
        <v>-5.4714855635561284</v>
      </c>
      <c r="J35" s="30">
        <f t="shared" ref="J35:J66" si="9">(F35-$F$78)^2</f>
        <v>359728.5710878988</v>
      </c>
      <c r="K35" s="29">
        <f>IFERROR(SQRT(SUM(J$3:J35)/(COUNT(J$3:J35)-1)),"")</f>
        <v>356.61484762078811</v>
      </c>
    </row>
    <row r="36" spans="1:11" x14ac:dyDescent="0.2">
      <c r="A36" s="2">
        <f>[3]ArdiData!A36</f>
        <v>34</v>
      </c>
      <c r="B36" s="32">
        <v>3382.8091450329844</v>
      </c>
      <c r="C36" s="3">
        <f t="shared" si="2"/>
        <v>3713.5895458783134</v>
      </c>
      <c r="D36" s="32">
        <f t="shared" si="3"/>
        <v>-130.2681380052114</v>
      </c>
      <c r="E36" s="32">
        <f t="shared" si="6"/>
        <v>3796.2846460896453</v>
      </c>
      <c r="F36" s="31">
        <f t="shared" si="7"/>
        <v>-413.47550105666096</v>
      </c>
      <c r="G36" s="31">
        <f t="shared" si="8"/>
        <v>413.47550105666096</v>
      </c>
      <c r="H36" s="29">
        <f>SUM(G$3:G36)/COUNT(G$3:G36)</f>
        <v>281.40906501800822</v>
      </c>
      <c r="I36" s="29">
        <f>SUM(F$3:F36)/H36</f>
        <v>-6.8629778508067609</v>
      </c>
      <c r="J36" s="30">
        <f t="shared" si="9"/>
        <v>201296.61402111541</v>
      </c>
      <c r="K36" s="29">
        <f>IFERROR(SQRT(SUM(J$3:J36)/(COUNT(J$3:J36)-1)),"")</f>
        <v>359.75030900722714</v>
      </c>
    </row>
    <row r="37" spans="1:11" x14ac:dyDescent="0.2">
      <c r="A37" s="2">
        <f>[3]ArdiData!A37</f>
        <v>35</v>
      </c>
      <c r="B37" s="32">
        <v>3846.9349712677931</v>
      </c>
      <c r="C37" s="3">
        <f t="shared" si="2"/>
        <v>3636.0441205520401</v>
      </c>
      <c r="D37" s="32">
        <f t="shared" si="3"/>
        <v>-98.63451039784853</v>
      </c>
      <c r="E37" s="32">
        <f t="shared" si="6"/>
        <v>3583.3214078731021</v>
      </c>
      <c r="F37" s="31">
        <f t="shared" si="7"/>
        <v>263.61356339469103</v>
      </c>
      <c r="G37" s="31">
        <f t="shared" si="8"/>
        <v>263.61356339469103</v>
      </c>
      <c r="H37" s="29">
        <f>SUM(G$3:G37)/COUNT(G$3:G37)</f>
        <v>280.90062211448486</v>
      </c>
      <c r="I37" s="29">
        <f>SUM(F$3:F37)/H37</f>
        <v>-5.936941699475657</v>
      </c>
      <c r="J37" s="30">
        <f t="shared" si="9"/>
        <v>52179.420799527696</v>
      </c>
      <c r="K37" s="29">
        <f>IFERROR(SQRT(SUM(J$3:J37)/(COUNT(J$3:J37)-1)),"")</f>
        <v>356.57887586371226</v>
      </c>
    </row>
    <row r="38" spans="1:11" x14ac:dyDescent="0.2">
      <c r="A38" s="2">
        <f>[3]ArdiData!A38</f>
        <v>36</v>
      </c>
      <c r="B38" s="32">
        <v>4335.4663999878339</v>
      </c>
      <c r="C38" s="3">
        <f t="shared" si="2"/>
        <v>3697.0209681209203</v>
      </c>
      <c r="D38" s="32">
        <f t="shared" si="3"/>
        <v>-2.8676956178112931</v>
      </c>
      <c r="E38" s="32">
        <f t="shared" si="6"/>
        <v>3537.4096101541918</v>
      </c>
      <c r="F38" s="31">
        <f t="shared" si="7"/>
        <v>798.05678983364214</v>
      </c>
      <c r="G38" s="31">
        <f t="shared" si="8"/>
        <v>798.05678983364214</v>
      </c>
      <c r="H38" s="29">
        <f>SUM(G$3:G38)/COUNT(G$3:G38)</f>
        <v>295.26607121779477</v>
      </c>
      <c r="I38" s="29">
        <f>SUM(F$3:F38)/H38</f>
        <v>-2.9452548456372956</v>
      </c>
      <c r="J38" s="30">
        <f t="shared" si="9"/>
        <v>581972.74062041682</v>
      </c>
      <c r="K38" s="29">
        <f>IFERROR(SQRT(SUM(J$3:J38)/(COUNT(J$3:J38)-1)),"")</f>
        <v>374.35741366606908</v>
      </c>
    </row>
    <row r="39" spans="1:11" x14ac:dyDescent="0.2">
      <c r="A39" s="2">
        <f>[3]ArdiData!A39</f>
        <v>37</v>
      </c>
      <c r="B39" s="32">
        <v>3778.0879495342488</v>
      </c>
      <c r="C39" s="3">
        <f t="shared" si="2"/>
        <v>3710.940207909337</v>
      </c>
      <c r="D39" s="32">
        <f t="shared" si="3"/>
        <v>7.2044656259254971</v>
      </c>
      <c r="E39" s="32">
        <f t="shared" si="6"/>
        <v>3694.1532725031088</v>
      </c>
      <c r="F39" s="31">
        <f t="shared" si="7"/>
        <v>83.934677031139927</v>
      </c>
      <c r="G39" s="31">
        <f t="shared" si="8"/>
        <v>83.934677031139927</v>
      </c>
      <c r="H39" s="29">
        <f>SUM(G$3:G39)/COUNT(G$3:G39)</f>
        <v>289.55441191545276</v>
      </c>
      <c r="I39" s="29">
        <f>SUM(F$3:F39)/H39</f>
        <v>-2.7134766995184791</v>
      </c>
      <c r="J39" s="30">
        <f t="shared" si="9"/>
        <v>2376.4909370970831</v>
      </c>
      <c r="K39" s="29">
        <f>IFERROR(SQRT(SUM(J$3:J39)/(COUNT(J$3:J39)-1)),"")</f>
        <v>369.21079690233609</v>
      </c>
    </row>
    <row r="40" spans="1:11" x14ac:dyDescent="0.2">
      <c r="A40" s="2">
        <f>[3]ArdiData!A40</f>
        <v>38</v>
      </c>
      <c r="B40" s="32">
        <v>4091.3217573787838</v>
      </c>
      <c r="C40" s="3">
        <f t="shared" si="2"/>
        <v>3792.780090303967</v>
      </c>
      <c r="D40" s="32">
        <f t="shared" si="3"/>
        <v>51.985715687148179</v>
      </c>
      <c r="E40" s="32">
        <f t="shared" si="6"/>
        <v>3718.1446735352624</v>
      </c>
      <c r="F40" s="31">
        <f t="shared" si="7"/>
        <v>373.17708384352136</v>
      </c>
      <c r="G40" s="31">
        <f t="shared" si="8"/>
        <v>373.17708384352136</v>
      </c>
      <c r="H40" s="29">
        <f>SUM(G$3:G40)/COUNT(G$3:G40)</f>
        <v>291.75500854513876</v>
      </c>
      <c r="I40" s="29">
        <f>SUM(F$3:F40)/H40</f>
        <v>-1.413933108428582</v>
      </c>
      <c r="J40" s="30">
        <f t="shared" si="9"/>
        <v>114238.37090131622</v>
      </c>
      <c r="K40" s="29">
        <f>IFERROR(SQRT(SUM(J$3:J40)/(COUNT(J$3:J40)-1)),"")</f>
        <v>368.40182317074635</v>
      </c>
    </row>
    <row r="41" spans="1:11" x14ac:dyDescent="0.2">
      <c r="A41" s="2">
        <f>[3]ArdiData!A41</f>
        <v>39</v>
      </c>
      <c r="B41" s="32">
        <v>5031.5420497583082</v>
      </c>
      <c r="C41" s="3">
        <f t="shared" si="2"/>
        <v>4082.1210547445539</v>
      </c>
      <c r="D41" s="32">
        <f t="shared" si="3"/>
        <v>194.39886493921145</v>
      </c>
      <c r="E41" s="32">
        <f t="shared" si="6"/>
        <v>3844.765805991115</v>
      </c>
      <c r="F41" s="31">
        <f t="shared" si="7"/>
        <v>1186.7762437671931</v>
      </c>
      <c r="G41" s="31">
        <f t="shared" si="8"/>
        <v>1186.7762437671931</v>
      </c>
      <c r="H41" s="29">
        <f>SUM(G$3:G41)/COUNT(G$3:G41)</f>
        <v>314.70427098672991</v>
      </c>
      <c r="I41" s="29">
        <f>SUM(F$3:F41)/H41</f>
        <v>2.4602595166813144</v>
      </c>
      <c r="J41" s="30">
        <f t="shared" si="9"/>
        <v>1326161.4460785284</v>
      </c>
      <c r="K41" s="29">
        <f>IFERROR(SQRT(SUM(J$3:J41)/(COUNT(J$3:J41)-1)),"")</f>
        <v>408.71421841625329</v>
      </c>
    </row>
    <row r="42" spans="1:11" x14ac:dyDescent="0.2">
      <c r="A42" s="2">
        <f>[3]ArdiData!A42</f>
        <v>40</v>
      </c>
      <c r="B42" s="32">
        <v>4204.3946084920954</v>
      </c>
      <c r="C42" s="3">
        <f t="shared" si="2"/>
        <v>4262.0948574454324</v>
      </c>
      <c r="D42" s="32">
        <f t="shared" si="3"/>
        <v>185.74382759621164</v>
      </c>
      <c r="E42" s="32">
        <f t="shared" si="6"/>
        <v>4276.5199196837657</v>
      </c>
      <c r="F42" s="31">
        <f t="shared" si="7"/>
        <v>-72.125311191670335</v>
      </c>
      <c r="G42" s="31">
        <f t="shared" si="8"/>
        <v>72.125311191670335</v>
      </c>
      <c r="H42" s="29">
        <f>SUM(G$3:G42)/COUNT(G$3:G42)</f>
        <v>308.63979699185342</v>
      </c>
      <c r="I42" s="29">
        <f>SUM(F$3:F42)/H42</f>
        <v>2.2749135830406861</v>
      </c>
      <c r="J42" s="30">
        <f t="shared" si="9"/>
        <v>11515.591100550831</v>
      </c>
      <c r="K42" s="29">
        <f>IFERROR(SQRT(SUM(J$3:J42)/(COUNT(J$3:J42)-1)),"")</f>
        <v>403.80604191050412</v>
      </c>
    </row>
    <row r="43" spans="1:11" x14ac:dyDescent="0.2">
      <c r="A43" s="2">
        <f>[3]ArdiData!A43</f>
        <v>41</v>
      </c>
      <c r="B43" s="32">
        <v>5586.0237690188087</v>
      </c>
      <c r="C43" s="3">
        <f t="shared" si="2"/>
        <v>4675.4757018370765</v>
      </c>
      <c r="D43" s="32">
        <f t="shared" si="3"/>
        <v>322.32603767347109</v>
      </c>
      <c r="E43" s="32">
        <f t="shared" si="6"/>
        <v>4447.8386850416437</v>
      </c>
      <c r="F43" s="31">
        <f t="shared" si="7"/>
        <v>1138.185083977165</v>
      </c>
      <c r="G43" s="31">
        <f t="shared" si="8"/>
        <v>1138.185083977165</v>
      </c>
      <c r="H43" s="29">
        <f>SUM(G$3:G43)/COUNT(G$3:G43)</f>
        <v>328.87260886954397</v>
      </c>
      <c r="I43" s="29">
        <f>SUM(F$3:F43)/H43</f>
        <v>5.5958261673013379</v>
      </c>
      <c r="J43" s="30">
        <f t="shared" si="9"/>
        <v>1216608.2785542971</v>
      </c>
      <c r="K43" s="29">
        <f>IFERROR(SQRT(SUM(J$3:J43)/(COUNT(J$3:J43)-1)),"")</f>
        <v>435.19885507684825</v>
      </c>
    </row>
    <row r="44" spans="1:11" x14ac:dyDescent="0.2">
      <c r="A44" s="2">
        <f>[3]ArdiData!A44</f>
        <v>42</v>
      </c>
      <c r="B44" s="32">
        <v>5777.5611763875086</v>
      </c>
      <c r="C44" s="3">
        <f t="shared" si="2"/>
        <v>5153.7536268859394</v>
      </c>
      <c r="D44" s="32">
        <f t="shared" si="3"/>
        <v>415.89717009870617</v>
      </c>
      <c r="E44" s="32">
        <f t="shared" si="6"/>
        <v>4997.8017395105471</v>
      </c>
      <c r="F44" s="31">
        <f t="shared" si="7"/>
        <v>779.75943687696144</v>
      </c>
      <c r="G44" s="31">
        <f t="shared" si="8"/>
        <v>779.75943687696144</v>
      </c>
      <c r="H44" s="29">
        <f>SUM(G$3:G44)/COUNT(G$3:G44)</f>
        <v>339.60800953638727</v>
      </c>
      <c r="I44" s="29">
        <f>SUM(F$3:F44)/H44</f>
        <v>7.7149929145504617</v>
      </c>
      <c r="J44" s="30">
        <f t="shared" si="9"/>
        <v>554390.47998805519</v>
      </c>
      <c r="K44" s="29">
        <f>IFERROR(SQRT(SUM(J$3:J44)/(COUNT(J$3:J44)-1)),"")</f>
        <v>445.30921617417647</v>
      </c>
    </row>
    <row r="45" spans="1:11" x14ac:dyDescent="0.2">
      <c r="A45" s="2">
        <f>[3]ArdiData!A45</f>
        <v>43</v>
      </c>
      <c r="B45" s="32">
        <v>5672.6454679130029</v>
      </c>
      <c r="C45" s="3">
        <f t="shared" si="2"/>
        <v>5590.2497311703173</v>
      </c>
      <c r="D45" s="32">
        <f t="shared" si="3"/>
        <v>428.25653061010917</v>
      </c>
      <c r="E45" s="32">
        <f t="shared" si="6"/>
        <v>5569.6507969846452</v>
      </c>
      <c r="F45" s="31">
        <f t="shared" si="7"/>
        <v>102.99467092835766</v>
      </c>
      <c r="G45" s="31">
        <f t="shared" si="8"/>
        <v>102.99467092835766</v>
      </c>
      <c r="H45" s="29">
        <f>SUM(G$3:G45)/COUNT(G$3:G45)</f>
        <v>334.10537375480516</v>
      </c>
      <c r="I45" s="29">
        <f>SUM(F$3:F45)/H45</f>
        <v>8.1503270289348571</v>
      </c>
      <c r="J45" s="30">
        <f t="shared" si="9"/>
        <v>4598.0957299760239</v>
      </c>
      <c r="K45" s="29">
        <f>IFERROR(SQRT(SUM(J$3:J45)/(COUNT(J$3:J45)-1)),"")</f>
        <v>440.10037583774471</v>
      </c>
    </row>
    <row r="46" spans="1:11" x14ac:dyDescent="0.2">
      <c r="A46" s="2">
        <f>[3]ArdiData!A46</f>
        <v>44</v>
      </c>
      <c r="B46" s="32">
        <v>4442.4749424361789</v>
      </c>
      <c r="C46" s="3">
        <f t="shared" si="2"/>
        <v>5703.2999979115775</v>
      </c>
      <c r="D46" s="32">
        <f t="shared" si="3"/>
        <v>239.1327722887998</v>
      </c>
      <c r="E46" s="32">
        <f t="shared" si="6"/>
        <v>6018.5062617804269</v>
      </c>
      <c r="F46" s="31">
        <f t="shared" si="7"/>
        <v>-1576.031319344248</v>
      </c>
      <c r="G46" s="31">
        <f t="shared" si="8"/>
        <v>1576.031319344248</v>
      </c>
      <c r="H46" s="29">
        <f>SUM(G$3:G46)/COUNT(G$3:G46)</f>
        <v>362.33096342729255</v>
      </c>
      <c r="I46" s="29">
        <f>SUM(F$3:F46)/H46</f>
        <v>3.1657154774521339</v>
      </c>
      <c r="J46" s="30">
        <f t="shared" si="9"/>
        <v>2596019.3521900512</v>
      </c>
      <c r="K46" s="29">
        <f>IFERROR(SQRT(SUM(J$3:J46)/(COUNT(J$3:J46)-1)),"")</f>
        <v>499.55630700434108</v>
      </c>
    </row>
    <row r="47" spans="1:11" x14ac:dyDescent="0.2">
      <c r="A47" s="2">
        <f>[3]ArdiData!A47</f>
        <v>45</v>
      </c>
      <c r="B47" s="32">
        <v>6116.4376324786244</v>
      </c>
      <c r="C47" s="3">
        <f t="shared" si="2"/>
        <v>5977.2337426560271</v>
      </c>
      <c r="D47" s="32">
        <f t="shared" si="3"/>
        <v>260.01335576218963</v>
      </c>
      <c r="E47" s="32">
        <f t="shared" si="6"/>
        <v>5942.4327702003775</v>
      </c>
      <c r="F47" s="31">
        <f t="shared" si="7"/>
        <v>174.00486227824695</v>
      </c>
      <c r="G47" s="31">
        <f t="shared" si="8"/>
        <v>174.00486227824695</v>
      </c>
      <c r="H47" s="29">
        <f>SUM(G$3:G47)/COUNT(G$3:G47)</f>
        <v>358.14593895731372</v>
      </c>
      <c r="I47" s="29">
        <f>SUM(F$3:F47)/H47</f>
        <v>3.6885566956480855</v>
      </c>
      <c r="J47" s="30">
        <f t="shared" si="9"/>
        <v>19270.84004898545</v>
      </c>
      <c r="K47" s="29">
        <f>IFERROR(SQRT(SUM(J$3:J47)/(COUNT(J$3:J47)-1)),"")</f>
        <v>494.29013623682994</v>
      </c>
    </row>
    <row r="48" spans="1:11" x14ac:dyDescent="0.2">
      <c r="A48" s="2">
        <f>[3]ArdiData!A48</f>
        <v>46</v>
      </c>
      <c r="B48" s="32">
        <v>4831.7623955679137</v>
      </c>
      <c r="C48" s="3">
        <f t="shared" si="2"/>
        <v>5956.1501578481566</v>
      </c>
      <c r="D48" s="32">
        <f t="shared" si="3"/>
        <v>91.355191420153574</v>
      </c>
      <c r="E48" s="32">
        <f t="shared" si="6"/>
        <v>6237.2470984182164</v>
      </c>
      <c r="F48" s="31">
        <f t="shared" si="7"/>
        <v>-1405.4847028503027</v>
      </c>
      <c r="G48" s="31">
        <f t="shared" si="8"/>
        <v>1405.4847028503027</v>
      </c>
      <c r="H48" s="29">
        <f>SUM(G$3:G48)/COUNT(G$3:G48)</f>
        <v>380.91417295498735</v>
      </c>
      <c r="I48" s="29">
        <f>SUM(F$3:F48)/H48</f>
        <v>-0.22168537609156186</v>
      </c>
      <c r="J48" s="30">
        <f t="shared" si="9"/>
        <v>2075530.3769851164</v>
      </c>
      <c r="K48" s="29">
        <f>IFERROR(SQRT(SUM(J$3:J48)/(COUNT(J$3:J48)-1)),"")</f>
        <v>533.86912427319294</v>
      </c>
    </row>
    <row r="49" spans="1:11" x14ac:dyDescent="0.2">
      <c r="A49" s="2">
        <f>[3]ArdiData!A49</f>
        <v>47</v>
      </c>
      <c r="B49" s="32">
        <v>6206.0910692130574</v>
      </c>
      <c r="C49" s="3">
        <f t="shared" si="2"/>
        <v>6079.2224932572599</v>
      </c>
      <c r="D49" s="32">
        <f t="shared" si="3"/>
        <v>110.38547781352341</v>
      </c>
      <c r="E49" s="32">
        <f t="shared" si="6"/>
        <v>6047.5053492683101</v>
      </c>
      <c r="F49" s="31">
        <f t="shared" si="7"/>
        <v>158.58571994474732</v>
      </c>
      <c r="G49" s="31">
        <f t="shared" si="8"/>
        <v>158.58571994474732</v>
      </c>
      <c r="H49" s="29">
        <f>SUM(G$3:G49)/COUNT(G$3:G49)</f>
        <v>376.18378033774826</v>
      </c>
      <c r="I49" s="29">
        <f>SUM(F$3:F49)/H49</f>
        <v>0.19709148062696222</v>
      </c>
      <c r="J49" s="30">
        <f t="shared" si="9"/>
        <v>15227.636243918369</v>
      </c>
      <c r="K49" s="29">
        <f>IFERROR(SQRT(SUM(J$3:J49)/(COUNT(J$3:J49)-1)),"")</f>
        <v>528.34768113912344</v>
      </c>
    </row>
    <row r="50" spans="1:11" x14ac:dyDescent="0.2">
      <c r="A50" s="2">
        <f>[3]ArdiData!A50</f>
        <v>48</v>
      </c>
      <c r="B50" s="32">
        <v>5086.0787376555791</v>
      </c>
      <c r="C50" s="3">
        <f t="shared" si="2"/>
        <v>5968.9021243877432</v>
      </c>
      <c r="D50" s="32">
        <f t="shared" si="3"/>
        <v>-22.03803019630061</v>
      </c>
      <c r="E50" s="32">
        <f t="shared" si="6"/>
        <v>6189.6079710707836</v>
      </c>
      <c r="F50" s="31">
        <f t="shared" si="7"/>
        <v>-1103.5292334152045</v>
      </c>
      <c r="G50" s="31">
        <f t="shared" si="8"/>
        <v>1103.5292334152045</v>
      </c>
      <c r="H50" s="29">
        <f>SUM(G$3:G50)/COUNT(G$3:G50)</f>
        <v>391.33681061019524</v>
      </c>
      <c r="I50" s="29">
        <f>SUM(F$3:F50)/H50</f>
        <v>-2.630436461000206</v>
      </c>
      <c r="J50" s="30">
        <f t="shared" si="9"/>
        <v>1296671.0414401644</v>
      </c>
      <c r="K50" s="29">
        <f>IFERROR(SQRT(SUM(J$3:J50)/(COUNT(J$3:J50)-1)),"")</f>
        <v>548.45294142540206</v>
      </c>
    </row>
    <row r="51" spans="1:11" x14ac:dyDescent="0.2">
      <c r="A51" s="2">
        <f>[3]ArdiData!A51</f>
        <v>49</v>
      </c>
      <c r="B51" s="32">
        <v>5256.5559094460787</v>
      </c>
      <c r="C51" s="3">
        <f t="shared" si="2"/>
        <v>5808.8024572423701</v>
      </c>
      <c r="D51" s="32">
        <f t="shared" si="3"/>
        <v>-104.87501236574413</v>
      </c>
      <c r="E51" s="32">
        <f t="shared" si="6"/>
        <v>5946.8640941914427</v>
      </c>
      <c r="F51" s="31">
        <f t="shared" si="7"/>
        <v>-690.30818474536409</v>
      </c>
      <c r="G51" s="31">
        <f t="shared" si="8"/>
        <v>690.30818474536409</v>
      </c>
      <c r="H51" s="29">
        <f>SUM(G$3:G51)/COUNT(G$3:G51)</f>
        <v>397.43826722519873</v>
      </c>
      <c r="I51" s="29">
        <f>SUM(F$3:F51)/H51</f>
        <v>-4.3269482123912608</v>
      </c>
      <c r="J51" s="30">
        <f t="shared" si="9"/>
        <v>526340.95748953021</v>
      </c>
      <c r="K51" s="29">
        <f>IFERROR(SQRT(SUM(J$3:J51)/(COUNT(J$3:J51)-1)),"")</f>
        <v>552.71998860415636</v>
      </c>
    </row>
    <row r="52" spans="1:11" x14ac:dyDescent="0.2">
      <c r="A52" s="2">
        <f>[3]ArdiData!A52</f>
        <v>50</v>
      </c>
      <c r="B52" s="32">
        <v>5988.37014518462</v>
      </c>
      <c r="C52" s="3">
        <f t="shared" si="2"/>
        <v>5760.8159849382255</v>
      </c>
      <c r="D52" s="32">
        <f t="shared" si="3"/>
        <v>-70.741888328784427</v>
      </c>
      <c r="E52" s="32">
        <f t="shared" si="6"/>
        <v>5703.9274448766264</v>
      </c>
      <c r="F52" s="31">
        <f t="shared" si="7"/>
        <v>284.44270030799362</v>
      </c>
      <c r="G52" s="31">
        <f t="shared" si="8"/>
        <v>284.44270030799362</v>
      </c>
      <c r="H52" s="29">
        <f>SUM(G$3:G52)/COUNT(G$3:G52)</f>
        <v>395.1783558868546</v>
      </c>
      <c r="I52" s="29">
        <f>SUM(F$3:F52)/H52</f>
        <v>-3.6319096889225739</v>
      </c>
      <c r="J52" s="30">
        <f t="shared" si="9"/>
        <v>62129.196265612925</v>
      </c>
      <c r="K52" s="29">
        <f>IFERROR(SQRT(SUM(J$3:J52)/(COUNT(J$3:J52)-1)),"")</f>
        <v>548.20858005014838</v>
      </c>
    </row>
    <row r="53" spans="1:11" x14ac:dyDescent="0.2">
      <c r="A53" s="2">
        <f>[3]ArdiData!A53</f>
        <v>51</v>
      </c>
      <c r="B53" s="32">
        <v>6526.7676661512296</v>
      </c>
      <c r="C53" s="3">
        <f t="shared" si="2"/>
        <v>5857.4128105177988</v>
      </c>
      <c r="D53" s="32">
        <f t="shared" si="3"/>
        <v>29.661340016230206</v>
      </c>
      <c r="E53" s="32">
        <f t="shared" si="6"/>
        <v>5690.0740966094409</v>
      </c>
      <c r="F53" s="31">
        <f t="shared" si="7"/>
        <v>836.69356954178875</v>
      </c>
      <c r="G53" s="31">
        <f t="shared" si="8"/>
        <v>836.69356954178875</v>
      </c>
      <c r="H53" s="29">
        <f>SUM(G$3:G53)/COUNT(G$3:G53)</f>
        <v>403.83551693891218</v>
      </c>
      <c r="I53" s="29">
        <f>SUM(F$3:F53)/H53</f>
        <v>-1.4821839708237325</v>
      </c>
      <c r="J53" s="30">
        <f t="shared" si="9"/>
        <v>642415.32818475238</v>
      </c>
      <c r="K53" s="29">
        <f>IFERROR(SQRT(SUM(J$3:J53)/(COUNT(J$3:J53)-1)),"")</f>
        <v>554.40986720970511</v>
      </c>
    </row>
    <row r="54" spans="1:11" x14ac:dyDescent="0.2">
      <c r="A54" s="2">
        <f>[3]ArdiData!A54</f>
        <v>52</v>
      </c>
      <c r="B54" s="32">
        <v>5794.3331193675949</v>
      </c>
      <c r="C54" s="3">
        <f t="shared" si="2"/>
        <v>5868.5259443007435</v>
      </c>
      <c r="D54" s="32">
        <f t="shared" si="3"/>
        <v>18.53241627625891</v>
      </c>
      <c r="E54" s="32">
        <f t="shared" si="6"/>
        <v>5887.0741505340293</v>
      </c>
      <c r="F54" s="31">
        <f t="shared" si="7"/>
        <v>-92.741031166434368</v>
      </c>
      <c r="G54" s="31">
        <f t="shared" si="8"/>
        <v>92.741031166434368</v>
      </c>
      <c r="H54" s="29">
        <f>SUM(G$3:G54)/COUNT(G$3:G54)</f>
        <v>397.85293067405684</v>
      </c>
      <c r="I54" s="29">
        <f>SUM(F$3:F54)/H54</f>
        <v>-1.7375756414597252</v>
      </c>
      <c r="J54" s="30">
        <f t="shared" si="9"/>
        <v>16365.174609239999</v>
      </c>
      <c r="K54" s="29">
        <f>IFERROR(SQRT(SUM(J$3:J54)/(COUNT(J$3:J54)-1)),"")</f>
        <v>549.2397636659523</v>
      </c>
    </row>
    <row r="55" spans="1:11" x14ac:dyDescent="0.2">
      <c r="A55" s="2">
        <f>[3]ArdiData!A55</f>
        <v>53</v>
      </c>
      <c r="B55" s="32">
        <v>5545.614554778329</v>
      </c>
      <c r="C55" s="3">
        <f t="shared" si="2"/>
        <v>5818.7695994172682</v>
      </c>
      <c r="D55" s="32">
        <f t="shared" si="3"/>
        <v>-22.440840419581626</v>
      </c>
      <c r="E55" s="32">
        <f t="shared" si="6"/>
        <v>5887.0583605770025</v>
      </c>
      <c r="F55" s="31">
        <f t="shared" si="7"/>
        <v>-341.44380579867357</v>
      </c>
      <c r="G55" s="31">
        <f t="shared" si="8"/>
        <v>341.44380579867357</v>
      </c>
      <c r="H55" s="29">
        <f>SUM(G$3:G55)/COUNT(G$3:G55)</f>
        <v>396.78860756320057</v>
      </c>
      <c r="I55" s="29">
        <f>SUM(F$3:F55)/H55</f>
        <v>-2.602754583514054</v>
      </c>
      <c r="J55" s="30">
        <f t="shared" si="9"/>
        <v>141849.56695779925</v>
      </c>
      <c r="K55" s="29">
        <f>IFERROR(SQRT(SUM(J$3:J55)/(COUNT(J$3:J55)-1)),"")</f>
        <v>546.43476957000348</v>
      </c>
    </row>
    <row r="56" spans="1:11" x14ac:dyDescent="0.2">
      <c r="A56" s="2">
        <f>[3]ArdiData!A56</f>
        <v>54</v>
      </c>
      <c r="B56" s="32">
        <v>6272.3581433243171</v>
      </c>
      <c r="C56" s="3">
        <f t="shared" si="2"/>
        <v>5891.5346358630131</v>
      </c>
      <c r="D56" s="32">
        <f t="shared" si="3"/>
        <v>34.682685699614325</v>
      </c>
      <c r="E56" s="32">
        <f t="shared" si="6"/>
        <v>5796.3287589976862</v>
      </c>
      <c r="F56" s="31">
        <f t="shared" si="7"/>
        <v>476.02938432663086</v>
      </c>
      <c r="G56" s="31">
        <f t="shared" si="8"/>
        <v>476.02938432663086</v>
      </c>
      <c r="H56" s="29">
        <f>SUM(G$3:G56)/COUNT(G$3:G56)</f>
        <v>398.25602935511591</v>
      </c>
      <c r="I56" s="29">
        <f>SUM(F$3:F56)/H56</f>
        <v>-1.3978796092456376</v>
      </c>
      <c r="J56" s="30">
        <f t="shared" si="9"/>
        <v>194343.40880504763</v>
      </c>
      <c r="K56" s="29">
        <f>IFERROR(SQRT(SUM(J$3:J56)/(COUNT(J$3:J56)-1)),"")</f>
        <v>544.63200651078773</v>
      </c>
    </row>
    <row r="57" spans="1:11" x14ac:dyDescent="0.2">
      <c r="A57" s="2">
        <f>[3]ArdiData!A57</f>
        <v>55</v>
      </c>
      <c r="B57" s="32">
        <v>5129.4309137141636</v>
      </c>
      <c r="C57" s="3">
        <f t="shared" si="2"/>
        <v>5766.8600399929346</v>
      </c>
      <c r="D57" s="32">
        <f t="shared" si="3"/>
        <v>-60.93168324220138</v>
      </c>
      <c r="E57" s="32">
        <f t="shared" si="6"/>
        <v>5926.2173215626271</v>
      </c>
      <c r="F57" s="31">
        <f t="shared" si="7"/>
        <v>-796.78640784846357</v>
      </c>
      <c r="G57" s="31">
        <f t="shared" si="8"/>
        <v>796.78640784846357</v>
      </c>
      <c r="H57" s="29">
        <f>SUM(G$3:G57)/COUNT(G$3:G57)</f>
        <v>405.50203623681313</v>
      </c>
      <c r="I57" s="29">
        <f>SUM(F$3:F57)/H57</f>
        <v>-3.3378387026216267</v>
      </c>
      <c r="J57" s="30">
        <f t="shared" si="9"/>
        <v>692177.10738324083</v>
      </c>
      <c r="K57" s="29">
        <f>IFERROR(SQRT(SUM(J$3:J57)/(COUNT(J$3:J57)-1)),"")</f>
        <v>551.31577126283844</v>
      </c>
    </row>
    <row r="58" spans="1:11" x14ac:dyDescent="0.2">
      <c r="A58" s="2">
        <f>[3]ArdiData!A58</f>
        <v>56</v>
      </c>
      <c r="B58" s="32">
        <v>5666.7623903768372</v>
      </c>
      <c r="C58" s="3">
        <f t="shared" si="2"/>
        <v>5698.0951634759549</v>
      </c>
      <c r="D58" s="32">
        <f t="shared" si="3"/>
        <v>-65.631599207068376</v>
      </c>
      <c r="E58" s="32">
        <f t="shared" si="6"/>
        <v>5705.9283567507337</v>
      </c>
      <c r="F58" s="31">
        <f t="shared" si="7"/>
        <v>-39.165966373896481</v>
      </c>
      <c r="G58" s="31">
        <f t="shared" si="8"/>
        <v>39.165966373896481</v>
      </c>
      <c r="H58" s="29">
        <f>SUM(G$3:G58)/COUNT(G$3:G58)</f>
        <v>398.96032070354676</v>
      </c>
      <c r="I58" s="29">
        <f>SUM(F$3:F58)/H58</f>
        <v>-3.4907390150005657</v>
      </c>
      <c r="J58" s="30">
        <f t="shared" si="9"/>
        <v>5528.1273196494303</v>
      </c>
      <c r="K58" s="29">
        <f>IFERROR(SQRT(SUM(J$3:J58)/(COUNT(J$3:J58)-1)),"")</f>
        <v>546.37280692430852</v>
      </c>
    </row>
    <row r="59" spans="1:11" x14ac:dyDescent="0.2">
      <c r="A59" s="2">
        <f>[3]ArdiData!A59</f>
        <v>57</v>
      </c>
      <c r="B59" s="32">
        <v>6383.3602430207802</v>
      </c>
      <c r="C59" s="3">
        <f t="shared" si="2"/>
        <v>5782.6429000192647</v>
      </c>
      <c r="D59" s="32">
        <f t="shared" si="3"/>
        <v>24.476002243158554</v>
      </c>
      <c r="E59" s="32">
        <f t="shared" si="6"/>
        <v>5632.4635642688863</v>
      </c>
      <c r="F59" s="31">
        <f t="shared" si="7"/>
        <v>750.89667875189389</v>
      </c>
      <c r="G59" s="31">
        <f t="shared" si="8"/>
        <v>750.89667875189389</v>
      </c>
      <c r="H59" s="29">
        <f>SUM(G$3:G59)/COUNT(G$3:G59)</f>
        <v>405.13464277457041</v>
      </c>
      <c r="I59" s="29">
        <f>SUM(F$3:F59)/H59</f>
        <v>-1.5840898565719927</v>
      </c>
      <c r="J59" s="30">
        <f t="shared" si="9"/>
        <v>512242.61876532721</v>
      </c>
      <c r="K59" s="29">
        <f>IFERROR(SQRT(SUM(J$3:J59)/(COUNT(J$3:J59)-1)),"")</f>
        <v>549.85421845272583</v>
      </c>
    </row>
    <row r="60" spans="1:11" x14ac:dyDescent="0.2">
      <c r="A60" s="2">
        <f>[3]ArdiData!A60</f>
        <v>58</v>
      </c>
      <c r="B60" s="32">
        <v>6421.0416971132518</v>
      </c>
      <c r="C60" s="3">
        <f t="shared" si="2"/>
        <v>5929.9034612325886</v>
      </c>
      <c r="D60" s="32">
        <f t="shared" si="3"/>
        <v>98.146737625257728</v>
      </c>
      <c r="E60" s="32">
        <f t="shared" si="6"/>
        <v>5807.118902262423</v>
      </c>
      <c r="F60" s="31">
        <f t="shared" si="7"/>
        <v>613.92279485082872</v>
      </c>
      <c r="G60" s="31">
        <f t="shared" si="8"/>
        <v>613.92279485082872</v>
      </c>
      <c r="H60" s="29">
        <f>SUM(G$3:G60)/COUNT(G$3:G60)</f>
        <v>408.73443850002315</v>
      </c>
      <c r="I60" s="29">
        <f>SUM(F$3:F60)/H60</f>
        <v>-6.8129525411361885E-2</v>
      </c>
      <c r="J60" s="30">
        <f t="shared" si="9"/>
        <v>334936.95944895776</v>
      </c>
      <c r="K60" s="29">
        <f>IFERROR(SQRT(SUM(J$3:J60)/(COUNT(J$3:J60)-1)),"")</f>
        <v>550.3740037188652</v>
      </c>
    </row>
    <row r="61" spans="1:11" x14ac:dyDescent="0.2">
      <c r="A61" s="2">
        <f>[3]ArdiData!A61</f>
        <v>59</v>
      </c>
      <c r="B61" s="32">
        <v>6732.3029027761122</v>
      </c>
      <c r="C61" s="3">
        <f t="shared" si="2"/>
        <v>6168.9007396415</v>
      </c>
      <c r="D61" s="32">
        <f t="shared" si="3"/>
        <v>182.6570620954499</v>
      </c>
      <c r="E61" s="32">
        <f t="shared" si="6"/>
        <v>6028.0501988578462</v>
      </c>
      <c r="F61" s="31">
        <f t="shared" si="7"/>
        <v>704.25270391826598</v>
      </c>
      <c r="G61" s="31">
        <f t="shared" si="8"/>
        <v>704.25270391826598</v>
      </c>
      <c r="H61" s="29">
        <f>SUM(G$3:G61)/COUNT(G$3:G61)</f>
        <v>413.74322265965441</v>
      </c>
      <c r="I61" s="29">
        <f>SUM(F$3:F61)/H61</f>
        <v>1.6348444725108937</v>
      </c>
      <c r="J61" s="30">
        <f t="shared" si="9"/>
        <v>447651.04243269475</v>
      </c>
      <c r="K61" s="29">
        <f>IFERROR(SQRT(SUM(J$3:J61)/(COUNT(J$3:J61)-1)),"")</f>
        <v>552.63645605743909</v>
      </c>
    </row>
    <row r="62" spans="1:11" x14ac:dyDescent="0.2">
      <c r="A62" s="2">
        <f>[3]ArdiData!A62</f>
        <v>60</v>
      </c>
      <c r="B62" s="32">
        <v>5383.813648815224</v>
      </c>
      <c r="C62" s="3">
        <f t="shared" si="2"/>
        <v>6158.0089711526052</v>
      </c>
      <c r="D62" s="32">
        <f t="shared" si="3"/>
        <v>66.527763744843114</v>
      </c>
      <c r="E62" s="32">
        <f t="shared" si="6"/>
        <v>6351.5578017369498</v>
      </c>
      <c r="F62" s="31">
        <f t="shared" si="7"/>
        <v>-967.7441529217258</v>
      </c>
      <c r="G62" s="31">
        <f t="shared" si="8"/>
        <v>967.7441529217258</v>
      </c>
      <c r="H62" s="29">
        <f>SUM(G$3:G62)/COUNT(G$3:G62)</f>
        <v>422.97657149735556</v>
      </c>
      <c r="I62" s="29">
        <f>SUM(F$3:F62)/H62</f>
        <v>-0.68878125161021431</v>
      </c>
      <c r="J62" s="30">
        <f t="shared" si="9"/>
        <v>1005867.7102186256</v>
      </c>
      <c r="K62" s="29">
        <f>IFERROR(SQRT(SUM(J$3:J62)/(COUNT(J$3:J62)-1)),"")</f>
        <v>563.27548064890027</v>
      </c>
    </row>
    <row r="63" spans="1:11" x14ac:dyDescent="0.2">
      <c r="A63" s="2">
        <f>[3]ArdiData!A63</f>
        <v>61</v>
      </c>
      <c r="B63" s="32">
        <v>6306.029263075081</v>
      </c>
      <c r="C63" s="3">
        <f t="shared" si="2"/>
        <v>6240.8352405329751</v>
      </c>
      <c r="D63" s="32">
        <f t="shared" si="3"/>
        <v>76.306867126159204</v>
      </c>
      <c r="E63" s="32">
        <f t="shared" si="6"/>
        <v>6224.5367348974487</v>
      </c>
      <c r="F63" s="31">
        <f t="shared" si="7"/>
        <v>81.492528177632266</v>
      </c>
      <c r="G63" s="31">
        <f t="shared" si="8"/>
        <v>81.492528177632266</v>
      </c>
      <c r="H63" s="29">
        <f>SUM(G$3:G63)/COUNT(G$3:G63)</f>
        <v>417.37847242654038</v>
      </c>
      <c r="I63" s="29">
        <f>SUM(F$3:F63)/H63</f>
        <v>-0.50277102918154692</v>
      </c>
      <c r="J63" s="30">
        <f t="shared" si="9"/>
        <v>2144.3490998992256</v>
      </c>
      <c r="K63" s="29">
        <f>IFERROR(SQRT(SUM(J$3:J63)/(COUNT(J$3:J63)-1)),"")</f>
        <v>558.59378663471591</v>
      </c>
    </row>
    <row r="64" spans="1:11" x14ac:dyDescent="0.2">
      <c r="A64" s="2">
        <f>[3]ArdiData!A64</f>
        <v>62</v>
      </c>
      <c r="B64" s="32">
        <v>6344.73822659077</v>
      </c>
      <c r="C64" s="3">
        <f t="shared" si="2"/>
        <v>6322.6613314454617</v>
      </c>
      <c r="D64" s="32">
        <f t="shared" si="3"/>
        <v>79.61840139795558</v>
      </c>
      <c r="E64" s="32">
        <f t="shared" si="6"/>
        <v>6317.1421076591341</v>
      </c>
      <c r="F64" s="31">
        <f t="shared" si="7"/>
        <v>27.596118931635829</v>
      </c>
      <c r="G64" s="31">
        <f t="shared" si="8"/>
        <v>27.596118931635829</v>
      </c>
      <c r="H64" s="29">
        <f>SUM(G$3:G64)/COUNT(G$3:G64)</f>
        <v>411.09166027339677</v>
      </c>
      <c r="I64" s="29">
        <f>SUM(F$3:F64)/H64</f>
        <v>-0.44333102035510163</v>
      </c>
      <c r="J64" s="30">
        <f t="shared" si="9"/>
        <v>57.597354328994768</v>
      </c>
      <c r="K64" s="29">
        <f>IFERROR(SQRT(SUM(J$3:J64)/(COUNT(J$3:J64)-1)),"")</f>
        <v>553.99708091449918</v>
      </c>
    </row>
    <row r="65" spans="1:11" x14ac:dyDescent="0.2">
      <c r="A65" s="2">
        <f>[3]ArdiData!A65</f>
        <v>63</v>
      </c>
      <c r="B65" s="32">
        <v>6433.484918596806</v>
      </c>
      <c r="C65" s="3">
        <f t="shared" si="2"/>
        <v>6408.5207699940947</v>
      </c>
      <c r="D65" s="32">
        <f t="shared" si="3"/>
        <v>83.363023688362091</v>
      </c>
      <c r="E65" s="32">
        <f t="shared" si="6"/>
        <v>6402.2797328434172</v>
      </c>
      <c r="F65" s="31">
        <f t="shared" si="7"/>
        <v>31.205185753388832</v>
      </c>
      <c r="G65" s="31">
        <f t="shared" si="8"/>
        <v>31.205185753388832</v>
      </c>
      <c r="H65" s="29">
        <f>SUM(G$3:G65)/COUNT(G$3:G65)</f>
        <v>405.06171623339668</v>
      </c>
      <c r="I65" s="29">
        <f>SUM(F$3:F65)/H65</f>
        <v>-0.37289255785421366</v>
      </c>
      <c r="J65" s="30">
        <f t="shared" si="9"/>
        <v>15.842193134416243</v>
      </c>
      <c r="K65" s="29">
        <f>IFERROR(SQRT(SUM(J$3:J65)/(COUNT(J$3:J65)-1)),"")</f>
        <v>549.51143325981809</v>
      </c>
    </row>
    <row r="66" spans="1:11" x14ac:dyDescent="0.2">
      <c r="A66" s="2">
        <f>[3]ArdiData!A66</f>
        <v>64</v>
      </c>
      <c r="B66" s="32">
        <v>7126.6521295344728</v>
      </c>
      <c r="C66" s="3">
        <f t="shared" si="2"/>
        <v>6618.8374608528602</v>
      </c>
      <c r="D66" s="32">
        <f t="shared" si="3"/>
        <v>159.53522399060412</v>
      </c>
      <c r="E66" s="32">
        <f t="shared" si="6"/>
        <v>6491.8837936824566</v>
      </c>
      <c r="F66" s="31">
        <f t="shared" si="7"/>
        <v>634.76833585201621</v>
      </c>
      <c r="G66" s="31">
        <f t="shared" si="8"/>
        <v>634.76833585201621</v>
      </c>
      <c r="H66" s="29">
        <f>SUM(G$3:G66)/COUNT(G$3:G66)</f>
        <v>408.65088216493757</v>
      </c>
      <c r="I66" s="29">
        <f>SUM(F$3:F66)/H66</f>
        <v>1.1837092675152703</v>
      </c>
      <c r="J66" s="30">
        <f t="shared" si="9"/>
        <v>359499.68375592289</v>
      </c>
      <c r="K66" s="29">
        <f>IFERROR(SQRT(SUM(J$3:J66)/(COUNT(J$3:J66)-1)),"")</f>
        <v>550.34180189206938</v>
      </c>
    </row>
    <row r="67" spans="1:11" x14ac:dyDescent="0.2">
      <c r="A67" s="2">
        <f>[3]ArdiData!A67</f>
        <v>65</v>
      </c>
      <c r="B67" s="32">
        <v>7865.1338288516981</v>
      </c>
      <c r="C67" s="3">
        <f t="shared" si="2"/>
        <v>6995.7249136451119</v>
      </c>
      <c r="D67" s="32">
        <f t="shared" si="3"/>
        <v>289.94656127159266</v>
      </c>
      <c r="E67" s="32">
        <f t="shared" ref="E67:E78" si="10">C66+D66</f>
        <v>6778.3726848434644</v>
      </c>
      <c r="F67" s="31">
        <f t="shared" ref="F67:F77" si="11">B67-E67</f>
        <v>1086.7611440082337</v>
      </c>
      <c r="G67" s="31">
        <f t="shared" ref="G67:G78" si="12">ABS(F67)</f>
        <v>1086.7611440082337</v>
      </c>
      <c r="H67" s="29">
        <f>SUM(G$3:G67)/COUNT(G$3:G67)</f>
        <v>419.0833477317575</v>
      </c>
      <c r="I67" s="29">
        <f>SUM(F$3:F67)/H67</f>
        <v>3.7474287368019708</v>
      </c>
      <c r="J67" s="30">
        <f t="shared" ref="J67:J77" si="13">(F67-$F$78)^2</f>
        <v>1105811.5222199268</v>
      </c>
      <c r="K67" s="29">
        <f>IFERROR(SQRT(SUM(J$3:J67)/(COUNT(J$3:J67)-1)),"")</f>
        <v>561.62439841857861</v>
      </c>
    </row>
    <row r="68" spans="1:11" x14ac:dyDescent="0.2">
      <c r="A68" s="2">
        <f>[3]ArdiData!A68</f>
        <v>66</v>
      </c>
      <c r="B68" s="32">
        <v>7010.35704845092</v>
      </c>
      <c r="C68" s="3">
        <f t="shared" ref="C68:C77" si="14">(1-$M$1)*E68+$M$1*B68</f>
        <v>7230.6085896235481</v>
      </c>
      <c r="D68" s="32">
        <f t="shared" ref="D68:D77" si="15">(1-$M$2)*D67+$M$2*(C68-C67)</f>
        <v>256.90883009569882</v>
      </c>
      <c r="E68" s="32">
        <f t="shared" si="10"/>
        <v>7285.6714749167049</v>
      </c>
      <c r="F68" s="31">
        <f t="shared" si="11"/>
        <v>-275.31442646578489</v>
      </c>
      <c r="G68" s="31">
        <f t="shared" si="12"/>
        <v>275.31442646578489</v>
      </c>
      <c r="H68" s="29">
        <f>SUM(G$3:G68)/COUNT(G$3:G68)</f>
        <v>416.90503074287915</v>
      </c>
      <c r="I68" s="29">
        <f>SUM(F$3:F68)/H68</f>
        <v>3.1066321066731284</v>
      </c>
      <c r="J68" s="30">
        <f t="shared" si="13"/>
        <v>96410.149075691224</v>
      </c>
      <c r="K68" s="29">
        <f>IFERROR(SQRT(SUM(J$3:J68)/(COUNT(J$3:J68)-1)),"")</f>
        <v>558.61664166752325</v>
      </c>
    </row>
    <row r="69" spans="1:11" x14ac:dyDescent="0.2">
      <c r="A69" s="2">
        <f>[3]ArdiData!A69</f>
        <v>67</v>
      </c>
      <c r="B69" s="32">
        <v>9422.7261880039478</v>
      </c>
      <c r="C69" s="3">
        <f t="shared" si="14"/>
        <v>7874.5591733761876</v>
      </c>
      <c r="D69" s="32">
        <f t="shared" si="15"/>
        <v>489.13388228986321</v>
      </c>
      <c r="E69" s="32">
        <f t="shared" si="10"/>
        <v>7487.5174197192473</v>
      </c>
      <c r="F69" s="31">
        <f t="shared" si="11"/>
        <v>1935.2087682847005</v>
      </c>
      <c r="G69" s="31">
        <f t="shared" si="12"/>
        <v>1935.2087682847005</v>
      </c>
      <c r="H69" s="29">
        <f>SUM(G$3:G69)/COUNT(G$3:G69)</f>
        <v>439.56628055693619</v>
      </c>
      <c r="I69" s="29">
        <f>SUM(F$3:F69)/H69</f>
        <v>7.3490153023820293</v>
      </c>
      <c r="J69" s="30">
        <f t="shared" si="13"/>
        <v>3610088.7581698275</v>
      </c>
      <c r="K69" s="29">
        <f>IFERROR(SQRT(SUM(J$3:J69)/(COUNT(J$3:J69)-1)),"")</f>
        <v>601.68330364956819</v>
      </c>
    </row>
    <row r="70" spans="1:11" x14ac:dyDescent="0.2">
      <c r="A70" s="2">
        <f>[3]ArdiData!A70</f>
        <v>68</v>
      </c>
      <c r="B70" s="32">
        <v>7040.5275765927445</v>
      </c>
      <c r="C70" s="3">
        <f t="shared" si="14"/>
        <v>8099.0599598513891</v>
      </c>
      <c r="D70" s="32">
        <f t="shared" si="15"/>
        <v>330.3540248010662</v>
      </c>
      <c r="E70" s="32">
        <f t="shared" si="10"/>
        <v>8363.69305566605</v>
      </c>
      <c r="F70" s="31">
        <f t="shared" si="11"/>
        <v>-1323.1654790733055</v>
      </c>
      <c r="G70" s="31">
        <f t="shared" si="12"/>
        <v>1323.1654790733055</v>
      </c>
      <c r="H70" s="29">
        <f>SUM(G$3:G70)/COUNT(G$3:G70)</f>
        <v>452.56038641747102</v>
      </c>
      <c r="I70" s="29">
        <f>SUM(F$3:F70)/H70</f>
        <v>4.2142748247334074</v>
      </c>
      <c r="J70" s="30">
        <f t="shared" si="13"/>
        <v>1845117.1406041181</v>
      </c>
      <c r="K70" s="29">
        <f>IFERROR(SQRT(SUM(J$3:J70)/(COUNT(J$3:J70)-1)),"")</f>
        <v>619.80523904616064</v>
      </c>
    </row>
    <row r="71" spans="1:11" x14ac:dyDescent="0.2">
      <c r="A71" s="2">
        <f>[3]ArdiData!A71</f>
        <v>69</v>
      </c>
      <c r="B71" s="32">
        <v>9903.7758241325882</v>
      </c>
      <c r="C71" s="3">
        <f t="shared" si="14"/>
        <v>8724.2863525484827</v>
      </c>
      <c r="D71" s="32">
        <f t="shared" si="15"/>
        <v>507.27744553868263</v>
      </c>
      <c r="E71" s="32">
        <f t="shared" si="10"/>
        <v>8429.4139846524558</v>
      </c>
      <c r="F71" s="31">
        <f t="shared" si="11"/>
        <v>1474.3618394801324</v>
      </c>
      <c r="G71" s="31">
        <f t="shared" si="12"/>
        <v>1474.3618394801324</v>
      </c>
      <c r="H71" s="29">
        <f>SUM(G$3:G71)/COUNT(G$3:G71)</f>
        <v>467.3691031285241</v>
      </c>
      <c r="I71" s="29">
        <f>SUM(F$3:F71)/H71</f>
        <v>7.235342815763727</v>
      </c>
      <c r="J71" s="30">
        <f t="shared" si="13"/>
        <v>2071228.7922492027</v>
      </c>
      <c r="K71" s="29">
        <f>IFERROR(SQRT(SUM(J$3:J71)/(COUNT(J$3:J71)-1)),"")</f>
        <v>639.50636516214115</v>
      </c>
    </row>
    <row r="72" spans="1:11" x14ac:dyDescent="0.2">
      <c r="A72" s="2">
        <f>[3]ArdiData!A72</f>
        <v>70</v>
      </c>
      <c r="B72" s="32">
        <v>7385.6932650971721</v>
      </c>
      <c r="C72" s="3">
        <f t="shared" si="14"/>
        <v>8862.3896914891666</v>
      </c>
      <c r="D72" s="32">
        <f t="shared" si="15"/>
        <v>285.77298157988338</v>
      </c>
      <c r="E72" s="32">
        <f t="shared" si="10"/>
        <v>9231.5637980871652</v>
      </c>
      <c r="F72" s="31">
        <f t="shared" si="11"/>
        <v>-1845.8705329899931</v>
      </c>
      <c r="G72" s="31">
        <f t="shared" si="12"/>
        <v>1845.8705329899931</v>
      </c>
      <c r="H72" s="29">
        <f>SUM(G$3:G72)/COUNT(G$3:G72)</f>
        <v>487.06198069797369</v>
      </c>
      <c r="I72" s="29">
        <f>SUM(F$3:F72)/H72</f>
        <v>3.1529973812371912</v>
      </c>
      <c r="J72" s="30">
        <f t="shared" si="13"/>
        <v>3538371.464477106</v>
      </c>
      <c r="K72" s="29">
        <f>IFERROR(SQRT(SUM(J$3:J72)/(COUNT(J$3:J72)-1)),"")</f>
        <v>674.03416739305192</v>
      </c>
    </row>
    <row r="73" spans="1:11" x14ac:dyDescent="0.2">
      <c r="A73" s="2">
        <f>[3]ArdiData!A73</f>
        <v>71</v>
      </c>
      <c r="B73" s="32">
        <v>9011.9704290236768</v>
      </c>
      <c r="C73" s="3">
        <f t="shared" si="14"/>
        <v>9120.9242242599757</v>
      </c>
      <c r="D73" s="32">
        <f t="shared" si="15"/>
        <v>269.42991229443885</v>
      </c>
      <c r="E73" s="32">
        <f t="shared" si="10"/>
        <v>9148.1626730690496</v>
      </c>
      <c r="F73" s="31">
        <f t="shared" si="11"/>
        <v>-136.19224404537272</v>
      </c>
      <c r="G73" s="31">
        <f t="shared" si="12"/>
        <v>136.19224404537272</v>
      </c>
      <c r="H73" s="29">
        <f>SUM(G$3:G73)/COUNT(G$3:G73)</f>
        <v>482.1201534211765</v>
      </c>
      <c r="I73" s="29">
        <f>SUM(F$3:F73)/H73</f>
        <v>2.9028301257776583</v>
      </c>
      <c r="J73" s="30">
        <f t="shared" si="13"/>
        <v>29370.300654045848</v>
      </c>
      <c r="K73" s="29">
        <f>IFERROR(SQRT(SUM(J$3:J73)/(COUNT(J$3:J73)-1)),"")</f>
        <v>669.51573499879032</v>
      </c>
    </row>
    <row r="74" spans="1:11" x14ac:dyDescent="0.2">
      <c r="A74" s="2">
        <f>[3]ArdiData!A74</f>
        <v>72</v>
      </c>
      <c r="B74" s="32">
        <v>10014.199326672129</v>
      </c>
      <c r="C74" s="3">
        <f t="shared" si="14"/>
        <v>9515.1231745779587</v>
      </c>
      <c r="D74" s="32">
        <f t="shared" si="15"/>
        <v>344.29133510856531</v>
      </c>
      <c r="E74" s="32">
        <f t="shared" si="10"/>
        <v>9390.3541365544152</v>
      </c>
      <c r="F74" s="31">
        <f t="shared" si="11"/>
        <v>623.84519011771408</v>
      </c>
      <c r="G74" s="31">
        <f t="shared" si="12"/>
        <v>623.84519011771408</v>
      </c>
      <c r="H74" s="29">
        <f>SUM(G$3:G74)/COUNT(G$3:G74)</f>
        <v>484.08855670862835</v>
      </c>
      <c r="I74" s="29">
        <f>SUM(F$3:F74)/H74</f>
        <v>4.179727175271994</v>
      </c>
      <c r="J74" s="30">
        <f t="shared" si="13"/>
        <v>346520.33553307143</v>
      </c>
      <c r="K74" s="29">
        <f>IFERROR(SQRT(SUM(J$3:J74)/(COUNT(J$3:J74)-1)),"")</f>
        <v>668.44482842799141</v>
      </c>
    </row>
    <row r="75" spans="1:11" x14ac:dyDescent="0.2">
      <c r="A75" s="2">
        <f>[3]ArdiData!A75</f>
        <v>73</v>
      </c>
      <c r="B75" s="32">
        <v>10910.3731121908</v>
      </c>
      <c r="C75" s="3">
        <f t="shared" si="14"/>
        <v>10069.606230187379</v>
      </c>
      <c r="D75" s="32">
        <f t="shared" si="15"/>
        <v>470.40636740907826</v>
      </c>
      <c r="E75" s="32">
        <f t="shared" si="10"/>
        <v>9859.4145096865232</v>
      </c>
      <c r="F75" s="31">
        <f t="shared" si="11"/>
        <v>1050.9586025042772</v>
      </c>
      <c r="G75" s="31">
        <f t="shared" si="12"/>
        <v>1050.9586025042772</v>
      </c>
      <c r="H75" s="29">
        <f>SUM(G$3:G75)/COUNT(G$3:G75)</f>
        <v>491.85389980171948</v>
      </c>
      <c r="I75" s="29">
        <f>SUM(F$3:F75)/H75</f>
        <v>6.2504672616337391</v>
      </c>
      <c r="J75" s="30">
        <f t="shared" si="13"/>
        <v>1031795.1765479931</v>
      </c>
      <c r="K75" s="29">
        <f>IFERROR(SQRT(SUM(J$3:J75)/(COUNT(J$3:J75)-1)),"")</f>
        <v>674.49474784678841</v>
      </c>
    </row>
    <row r="76" spans="1:11" x14ac:dyDescent="0.2">
      <c r="A76" s="2">
        <f>[3]ArdiData!A76</f>
        <v>74</v>
      </c>
      <c r="B76" s="32">
        <v>8358.5918304447059</v>
      </c>
      <c r="C76" s="3">
        <f t="shared" si="14"/>
        <v>10103.728444166107</v>
      </c>
      <c r="D76" s="32">
        <f t="shared" si="15"/>
        <v>208.63587535086799</v>
      </c>
      <c r="E76" s="32">
        <f t="shared" si="10"/>
        <v>10540.012597596457</v>
      </c>
      <c r="F76" s="31">
        <f t="shared" si="11"/>
        <v>-2181.4207671517506</v>
      </c>
      <c r="G76" s="31">
        <f t="shared" si="12"/>
        <v>2181.4207671517506</v>
      </c>
      <c r="H76" s="29">
        <f>SUM(G$3:G76)/COUNT(G$3:G76)</f>
        <v>514.68588449563879</v>
      </c>
      <c r="I76" s="29">
        <f>SUM(F$3:F76)/H76</f>
        <v>1.734836641072375</v>
      </c>
      <c r="J76" s="30">
        <f t="shared" si="13"/>
        <v>4913342.9490877027</v>
      </c>
      <c r="K76" s="29">
        <f>IFERROR(SQRT(SUM(J$3:J76)/(COUNT(J$3:J76)-1)),"")</f>
        <v>718.34332635563669</v>
      </c>
    </row>
    <row r="77" spans="1:11" x14ac:dyDescent="0.2">
      <c r="A77" s="2">
        <f>[3]ArdiData!A77</f>
        <v>75</v>
      </c>
      <c r="B77" s="32">
        <v>12058.374214587961</v>
      </c>
      <c r="C77" s="3">
        <f t="shared" si="14"/>
        <v>10661.566298531172</v>
      </c>
      <c r="D77" s="32">
        <f t="shared" si="15"/>
        <v>418.15706275938624</v>
      </c>
      <c r="E77" s="32">
        <f t="shared" si="10"/>
        <v>10312.364319516975</v>
      </c>
      <c r="F77" s="31">
        <f t="shared" si="11"/>
        <v>1746.0098950709853</v>
      </c>
      <c r="G77" s="31">
        <f t="shared" si="12"/>
        <v>1746.0098950709853</v>
      </c>
      <c r="H77" s="29">
        <f>SUM(G$3:G77)/COUNT(G$3:G77)</f>
        <v>531.10353796997686</v>
      </c>
      <c r="I77" s="29">
        <f>SUM(F$3:F77)/H77</f>
        <v>4.9687219863444785</v>
      </c>
      <c r="J77" s="30">
        <f t="shared" si="13"/>
        <v>2926920.4152448913</v>
      </c>
      <c r="K77" s="29">
        <f>IFERROR(SQRT(SUM(J$3:J77)/(COUNT(J$3:J77)-1)),"")</f>
        <v>740.67328059241811</v>
      </c>
    </row>
    <row r="78" spans="1:11" x14ac:dyDescent="0.2">
      <c r="A78" s="2">
        <f>[3]ArdiData!A78</f>
        <v>0</v>
      </c>
      <c r="B78" s="28"/>
      <c r="D78" s="32"/>
      <c r="E78" s="32">
        <f t="shared" si="10"/>
        <v>11079.723361290558</v>
      </c>
      <c r="F78" s="28">
        <f>AVERAGE(F3:F77)</f>
        <v>35.185411015156845</v>
      </c>
      <c r="G78" s="28">
        <f t="shared" si="12"/>
        <v>35.185411015156845</v>
      </c>
      <c r="H78" s="29">
        <f>1.25*H77</f>
        <v>663.8794224624711</v>
      </c>
      <c r="I78" s="29"/>
      <c r="J78" s="28"/>
      <c r="K78" s="28"/>
    </row>
  </sheetData>
  <conditionalFormatting sqref="L6:L15">
    <cfRule type="expression" dxfId="1" priority="2">
      <formula>$M5=$M$16</formula>
    </cfRule>
  </conditionalFormatting>
  <conditionalFormatting sqref="M6:V15">
    <cfRule type="cellIs" dxfId="0" priority="1" operator="equal">
      <formula>$W$16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0.ArdiData28Fixed</vt:lpstr>
      <vt:lpstr>1.StatFitPoissNorm</vt:lpstr>
      <vt:lpstr>MA.1P.AP</vt:lpstr>
      <vt:lpstr>MA.MAD.TS</vt:lpstr>
      <vt:lpstr>MA.MSE.MAPE</vt:lpstr>
      <vt:lpstr>BIA.MAD.MSE.MAPE.TS</vt:lpstr>
      <vt:lpstr>Stationary</vt:lpstr>
      <vt:lpstr>Every.MA</vt:lpstr>
      <vt:lpstr>ES-Simp</vt:lpstr>
      <vt:lpstr>ES.Simp.Trend</vt:lpstr>
      <vt:lpstr>TrendAdj</vt:lpstr>
      <vt:lpstr>Trend&amp;SeasIravaniMine</vt:lpstr>
      <vt:lpstr>Trend&amp;SeasonPractice</vt:lpstr>
      <vt:lpstr>1.RegLineDataAnalyFormula</vt:lpstr>
      <vt:lpstr>2.R2&amp;R</vt:lpstr>
      <vt:lpstr>3.RegForAssociation</vt:lpstr>
      <vt:lpstr>4.MaxTrMaxTP</vt:lpstr>
      <vt:lpstr>5.RegreSSE&amp;SST</vt:lpstr>
      <vt:lpstr>6.AllRegFormula&amp;Solver</vt:lpstr>
      <vt:lpstr>TrendAndSeasChopraMine</vt:lpstr>
      <vt:lpstr>TrendAndSeasSocic</vt:lpstr>
      <vt:lpstr>TrendAndSeasChopraBook</vt:lpstr>
      <vt:lpstr>1.Trend&amp;Season</vt:lpstr>
      <vt:lpstr>MultiRefSeas</vt:lpstr>
      <vt:lpstr>TrAdES</vt:lpstr>
      <vt:lpstr>'2.R2&amp;R'!Page1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2021-07-12T07:41:51Z</dcterms:modified>
</cp:coreProperties>
</file>